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Hdb2XEDyxIx6KVHs0+rL/AUkDwhie4J7gsXjvyat+wLaOdrhNnA2uNCtkRlTxcUjp2AaL9BwlEZMBQQ88ryLRg==" workbookSaltValue="UOh4z4Ao2YP1p9zngOEJjQ=="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7" i="16" l="1"/>
  <c r="B6" i="16"/>
  <c r="C13" i="24" l="1"/>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K12"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J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BF5" i="17"/>
  <c r="BB5" i="17"/>
  <c r="AX5" i="17"/>
  <c r="AT5" i="17"/>
  <c r="AP5" i="17"/>
  <c r="AY5" i="17"/>
  <c r="AQ5" i="17"/>
  <c r="BE5" i="17"/>
  <c r="BA5" i="17"/>
  <c r="AW5" i="17"/>
  <c r="AS5" i="17"/>
  <c r="AO5" i="17"/>
  <c r="AU5" i="17"/>
  <c r="BD5" i="17"/>
  <c r="AZ5" i="17"/>
  <c r="AV5" i="17"/>
  <c r="AR5" i="17"/>
  <c r="AN5" i="17"/>
  <c r="BC5" i="17"/>
  <c r="AM5" i="17"/>
  <c r="A39" i="15"/>
  <c r="A7" i="15"/>
  <c r="BF3" i="17"/>
  <c r="BB3" i="17"/>
  <c r="AX3" i="17"/>
  <c r="AT3" i="17"/>
  <c r="AP3" i="17"/>
  <c r="AZ3" i="17"/>
  <c r="AR3" i="17"/>
  <c r="AQ3" i="17"/>
  <c r="BE3" i="17"/>
  <c r="BA3" i="17"/>
  <c r="AW3" i="17"/>
  <c r="AS3" i="17"/>
  <c r="AO3" i="17"/>
  <c r="BD3" i="17"/>
  <c r="AN3" i="17"/>
  <c r="BC3" i="17"/>
  <c r="AU3" i="17"/>
  <c r="AV3" i="17"/>
  <c r="AY3" i="17"/>
  <c r="AM3" i="17"/>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Q3" i="17" s="1"/>
  <c r="BD7" i="17"/>
  <c r="CC3" i="17" s="1"/>
  <c r="O51" i="18"/>
  <c r="O41" i="18"/>
  <c r="O15" i="18"/>
  <c r="O59" i="18"/>
  <c r="AV7" i="17"/>
  <c r="BU3" i="17" s="1"/>
  <c r="BF6" i="17"/>
  <c r="BB6" i="17"/>
  <c r="AX6" i="17"/>
  <c r="AT6" i="17"/>
  <c r="AP6" i="17"/>
  <c r="BC6" i="17"/>
  <c r="AQ6" i="17"/>
  <c r="BE6" i="17"/>
  <c r="BA6" i="17"/>
  <c r="AW6" i="17"/>
  <c r="AS6" i="17"/>
  <c r="AO6" i="17"/>
  <c r="AY6" i="17"/>
  <c r="AM6" i="17"/>
  <c r="BD6" i="17"/>
  <c r="AZ6" i="17"/>
  <c r="AV6" i="17"/>
  <c r="AR6" i="17"/>
  <c r="AN6" i="17"/>
  <c r="AU6" i="17"/>
  <c r="BF4" i="17"/>
  <c r="BF8" i="17" s="1"/>
  <c r="CE4" i="17" s="1"/>
  <c r="BB4" i="17"/>
  <c r="BB8" i="17" s="1"/>
  <c r="CA4" i="17" s="1"/>
  <c r="AX4" i="17"/>
  <c r="AT4" i="17"/>
  <c r="AP4" i="17"/>
  <c r="AR4" i="17"/>
  <c r="AY4" i="17"/>
  <c r="AM4" i="17"/>
  <c r="BE4" i="17"/>
  <c r="BA4" i="17"/>
  <c r="AW4" i="17"/>
  <c r="AS4" i="17"/>
  <c r="AO4" i="17"/>
  <c r="AV4" i="17"/>
  <c r="BC4" i="17"/>
  <c r="AU4" i="17"/>
  <c r="AU8" i="17" s="1"/>
  <c r="BT4" i="17" s="1"/>
  <c r="BD4" i="17"/>
  <c r="AZ4" i="17"/>
  <c r="AN4" i="17"/>
  <c r="AN8" i="17" s="1"/>
  <c r="BM4" i="17" s="1"/>
  <c r="AQ4" i="17"/>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O62" i="18"/>
  <c r="O26" i="18"/>
  <c r="CO13" i="17"/>
  <c r="O54" i="18"/>
  <c r="O18" i="18"/>
  <c r="BI13" i="17"/>
  <c r="O46" i="18"/>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X8" i="17" l="1"/>
  <c r="BW4" i="17" s="1"/>
  <c r="AP8" i="17"/>
  <c r="BO4" i="17" s="1"/>
  <c r="ED4" i="17" s="1"/>
  <c r="AT8" i="17"/>
  <c r="BS4" i="17" s="1"/>
  <c r="EH4" i="17" s="1"/>
  <c r="O14" i="18"/>
  <c r="AV8" i="17"/>
  <c r="BU4" i="17" s="1"/>
  <c r="DB4" i="17" s="1"/>
  <c r="BD8" i="17"/>
  <c r="CC4" i="17" s="1"/>
  <c r="CC5"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DD7" i="17" s="1"/>
  <c r="AM8" i="17"/>
  <c r="BL4" i="17" s="1"/>
  <c r="BM7" i="17" s="1"/>
  <c r="O58" i="18"/>
  <c r="BA8" i="17"/>
  <c r="BZ4" i="17" s="1"/>
  <c r="BZ5" i="17" s="1"/>
  <c r="O32" i="18"/>
  <c r="AQ8" i="17"/>
  <c r="BP4" i="17" s="1"/>
  <c r="AS8" i="17"/>
  <c r="BR4" i="17" s="1"/>
  <c r="BS7" i="17" s="1"/>
  <c r="AZ8" i="17"/>
  <c r="BY4" i="17" s="1"/>
  <c r="BZ7" i="17" s="1"/>
  <c r="AO8" i="17"/>
  <c r="BN4" i="17" s="1"/>
  <c r="O38" i="18"/>
  <c r="A111" i="21" s="1"/>
  <c r="BE8" i="17"/>
  <c r="CD4" i="17" s="1"/>
  <c r="CD5" i="17" s="1"/>
  <c r="I60" i="18"/>
  <c r="P60" i="18" s="1"/>
  <c r="DK3" i="17"/>
  <c r="DL6" i="17" s="1"/>
  <c r="ES3" i="17"/>
  <c r="O53" i="18"/>
  <c r="O43" i="18"/>
  <c r="O25" i="18"/>
  <c r="O64" i="18"/>
  <c r="O56" i="18"/>
  <c r="O20" i="18"/>
  <c r="A77" i="21" s="1"/>
  <c r="EP4" i="17"/>
  <c r="CY3" i="17"/>
  <c r="CZ6" i="17" s="1"/>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DA4" i="17"/>
  <c r="EI4" i="17"/>
  <c r="CW3" i="17"/>
  <c r="CX6" i="17" s="1"/>
  <c r="CU3" i="17"/>
  <c r="CV6" i="17" s="1"/>
  <c r="EC3" i="17"/>
  <c r="EC20" i="17" s="1"/>
  <c r="EQ3" i="17"/>
  <c r="EQ20" i="17" s="1"/>
  <c r="CZ4" i="17"/>
  <c r="DA7" i="17" s="1"/>
  <c r="EN3" i="17"/>
  <c r="EN20" i="17" s="1"/>
  <c r="EP3" i="17"/>
  <c r="EP20" i="17" s="1"/>
  <c r="CT3" i="17"/>
  <c r="CU6" i="17" s="1"/>
  <c r="EB3" i="17"/>
  <c r="DD4" i="17"/>
  <c r="EL4" i="17"/>
  <c r="DB3" i="17"/>
  <c r="EJ3" i="17"/>
  <c r="EJ20" i="17" s="1"/>
  <c r="CS3" i="17"/>
  <c r="CT6" i="17" s="1"/>
  <c r="EA3" i="17"/>
  <c r="EA20" i="17" s="1"/>
  <c r="O35" i="18"/>
  <c r="O17" i="18"/>
  <c r="CT4" i="17"/>
  <c r="BW5" i="17"/>
  <c r="CD6" i="17"/>
  <c r="BM5" i="17"/>
  <c r="CE6" i="17"/>
  <c r="CO10" i="17"/>
  <c r="CP11" i="17"/>
  <c r="CO11" i="17" s="1"/>
  <c r="BI5" i="17"/>
  <c r="BH5" i="17" s="1"/>
  <c r="BH4" i="17"/>
  <c r="BI14" i="17"/>
  <c r="BH14" i="17" s="1"/>
  <c r="BH13" i="17"/>
  <c r="CE5" i="17"/>
  <c r="BT5" i="17"/>
  <c r="BU6" i="17"/>
  <c r="BW6" i="17"/>
  <c r="BO6" i="17"/>
  <c r="CH3" i="17"/>
  <c r="BR6" i="17"/>
  <c r="BS6" i="17"/>
  <c r="BQ6" i="17"/>
  <c r="DI3" i="17"/>
  <c r="CC6" i="17"/>
  <c r="BM6" i="17"/>
  <c r="CG3" i="17"/>
  <c r="DH4" i="17"/>
  <c r="CM3" i="17"/>
  <c r="DG3" i="17"/>
  <c r="CA6" i="17"/>
  <c r="CJ3" i="17"/>
  <c r="DF3" i="17"/>
  <c r="BZ6" i="17"/>
  <c r="DE3" i="17"/>
  <c r="BY6" i="17"/>
  <c r="CI3" i="17"/>
  <c r="DH3" i="17"/>
  <c r="CB6" i="17"/>
  <c r="CA5" i="17"/>
  <c r="BN6" i="17"/>
  <c r="BV6" i="17"/>
  <c r="BX6" i="17"/>
  <c r="BP6" i="17"/>
  <c r="BT6" i="17"/>
  <c r="O42" i="18"/>
  <c r="O60" i="18"/>
  <c r="O52" i="18"/>
  <c r="O24" i="18"/>
  <c r="O34" i="18"/>
  <c r="O16" i="18"/>
  <c r="BT7" i="17" l="1"/>
  <c r="BS5" i="17"/>
  <c r="EJ4" i="17"/>
  <c r="EJ21" i="17" s="1"/>
  <c r="EJ22" i="17" s="1"/>
  <c r="CV4" i="17"/>
  <c r="CW7" i="17" s="1"/>
  <c r="BO5" i="17"/>
  <c r="BU5" i="17"/>
  <c r="O75" i="18"/>
  <c r="DJ4" i="17"/>
  <c r="DK7" i="17" s="1"/>
  <c r="DL10" i="17" s="1"/>
  <c r="P137" i="18" s="1"/>
  <c r="DI7" i="17"/>
  <c r="DJ10" i="17" s="1"/>
  <c r="ER4" i="17"/>
  <c r="ER21" i="17" s="1"/>
  <c r="ER22" i="17" s="1"/>
  <c r="EQ4" i="17"/>
  <c r="ER7" i="17" s="1"/>
  <c r="BQ5" i="17"/>
  <c r="DB7" i="17"/>
  <c r="DC10" i="17" s="1"/>
  <c r="BU7" i="17"/>
  <c r="BU8" i="17" s="1"/>
  <c r="DG4" i="17"/>
  <c r="DH7" i="17" s="1"/>
  <c r="P85" i="18" s="1"/>
  <c r="DK4" i="17"/>
  <c r="DL7" i="17" s="1"/>
  <c r="DL8" i="17" s="1"/>
  <c r="BR7" i="17"/>
  <c r="BR8" i="17" s="1"/>
  <c r="CD7" i="17"/>
  <c r="CD8" i="17" s="1"/>
  <c r="BR5" i="17"/>
  <c r="O71" i="18"/>
  <c r="O76" i="18"/>
  <c r="E74" i="15"/>
  <c r="CE7" i="17"/>
  <c r="CE8" i="17" s="1"/>
  <c r="ES4" i="17"/>
  <c r="ES21" i="17" s="1"/>
  <c r="CY4" i="17"/>
  <c r="CZ7" i="17" s="1"/>
  <c r="DA10" i="17" s="1"/>
  <c r="O88" i="18"/>
  <c r="K6" i="18"/>
  <c r="R6" i="18" s="1"/>
  <c r="P6" i="18"/>
  <c r="O82" i="18"/>
  <c r="BY5" i="17"/>
  <c r="P79" i="18"/>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DC7" i="17"/>
  <c r="P80"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H85" i="18"/>
  <c r="H79" i="18"/>
  <c r="ED20" i="17"/>
  <c r="ED21" i="17"/>
  <c r="ET6" i="17"/>
  <c r="ET23" i="17" s="1"/>
  <c r="ES20" i="17"/>
  <c r="EY20" i="17" s="1"/>
  <c r="EJ7" i="17"/>
  <c r="EI21" i="17"/>
  <c r="EI22" i="17" s="1"/>
  <c r="P42" i="18"/>
  <c r="C71" i="15"/>
  <c r="EM7" i="17"/>
  <c r="EM24" i="17" s="1"/>
  <c r="EL21" i="17"/>
  <c r="EL22" i="17" s="1"/>
  <c r="EB20" i="17"/>
  <c r="EW20" i="17" s="1"/>
  <c r="EW3" i="17"/>
  <c r="EQ7" i="17"/>
  <c r="EP21" i="17"/>
  <c r="EI7" i="17"/>
  <c r="EH21" i="17"/>
  <c r="EH22" i="17" s="1"/>
  <c r="ET22" i="17"/>
  <c r="P34" i="18"/>
  <c r="C70" i="15"/>
  <c r="DB5" i="17"/>
  <c r="H78" i="18"/>
  <c r="H86" i="18"/>
  <c r="H77" i="18"/>
  <c r="H73" i="18"/>
  <c r="I71" i="18"/>
  <c r="H72" i="18"/>
  <c r="H75" i="18"/>
  <c r="H74" i="18"/>
  <c r="H71" i="18"/>
  <c r="H80" i="18"/>
  <c r="I73" i="18"/>
  <c r="I89" i="18"/>
  <c r="H87" i="18"/>
  <c r="H76" i="18"/>
  <c r="H81" i="18"/>
  <c r="H89" i="18"/>
  <c r="I87" i="18"/>
  <c r="I76" i="18"/>
  <c r="I88" i="18"/>
  <c r="I79" i="18"/>
  <c r="BU10" i="17"/>
  <c r="BV13" i="17" s="1"/>
  <c r="I152" i="18" s="1"/>
  <c r="I78" i="18"/>
  <c r="BT10" i="17"/>
  <c r="BU13" i="17" s="1"/>
  <c r="I151" i="18" s="1"/>
  <c r="I77" i="18"/>
  <c r="I75" i="18"/>
  <c r="I81" i="18"/>
  <c r="I82" i="18"/>
  <c r="I86" i="18"/>
  <c r="I80" i="18"/>
  <c r="CE9" i="17"/>
  <c r="H137" i="18" s="1"/>
  <c r="H88" i="18"/>
  <c r="DL5" i="17"/>
  <c r="DA9" i="17"/>
  <c r="DO3" i="17"/>
  <c r="DC6" i="17"/>
  <c r="DD5" i="17"/>
  <c r="EQ6" i="17"/>
  <c r="EQ23" i="17" s="1"/>
  <c r="EP5" i="17"/>
  <c r="EC7" i="17"/>
  <c r="ED5" i="17"/>
  <c r="EL5" i="17"/>
  <c r="EM6" i="17"/>
  <c r="EM23" i="17" s="1"/>
  <c r="ER6" i="17"/>
  <c r="ER23" i="17" s="1"/>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CJ5" i="17"/>
  <c r="BR9" i="17"/>
  <c r="BS12" i="17" s="1"/>
  <c r="H101" i="18" s="1"/>
  <c r="CZ5" i="17"/>
  <c r="DC5" i="17"/>
  <c r="DA5" i="17"/>
  <c r="BQ9" i="17"/>
  <c r="H123" i="18" s="1"/>
  <c r="CA10" i="17"/>
  <c r="CB13" i="17"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BZ8" i="17"/>
  <c r="CB9" i="17"/>
  <c r="H134" i="18" s="1"/>
  <c r="DF7" i="17"/>
  <c r="DJ6" i="17"/>
  <c r="O87" i="18" s="1"/>
  <c r="BX9" i="17"/>
  <c r="H130" i="18" s="1"/>
  <c r="BY9" i="17"/>
  <c r="H131" i="18" s="1"/>
  <c r="CI6" i="17"/>
  <c r="DF9" i="17"/>
  <c r="O131" i="18" s="1"/>
  <c r="DG6" i="17"/>
  <c r="DH6" i="17"/>
  <c r="O85" i="18" s="1"/>
  <c r="DQ3" i="17"/>
  <c r="BN9" i="17"/>
  <c r="H120" i="18" s="1"/>
  <c r="BM8" i="17"/>
  <c r="CH6" i="17"/>
  <c r="CM6" i="17"/>
  <c r="BP9" i="17"/>
  <c r="H122" i="18" s="1"/>
  <c r="BV9" i="17"/>
  <c r="BW12" i="17" s="1"/>
  <c r="H105" i="18" s="1"/>
  <c r="CV5" i="17" l="1"/>
  <c r="EJ5" i="17"/>
  <c r="EK7" i="17"/>
  <c r="EL10" i="17" s="1"/>
  <c r="EQ21" i="17"/>
  <c r="EQ22" i="17" s="1"/>
  <c r="DJ5" i="17"/>
  <c r="ER5" i="17"/>
  <c r="ES7" i="17"/>
  <c r="ES24" i="17" s="1"/>
  <c r="ES25" i="17" s="1"/>
  <c r="P87" i="18"/>
  <c r="EQ5" i="17"/>
  <c r="BV10" i="17"/>
  <c r="BW13" i="17" s="1"/>
  <c r="I153" i="18" s="1"/>
  <c r="CM5" i="17"/>
  <c r="P84" i="18"/>
  <c r="DG5" i="17"/>
  <c r="CD10" i="17"/>
  <c r="CE13" i="17" s="1"/>
  <c r="I113" i="18" s="1"/>
  <c r="O234" i="18" s="1"/>
  <c r="BS10" i="17"/>
  <c r="BT13" i="17" s="1"/>
  <c r="I150" i="18" s="1"/>
  <c r="DK5" i="17"/>
  <c r="EV4" i="17"/>
  <c r="ET7" i="17"/>
  <c r="ET24" i="17" s="1"/>
  <c r="ET25" i="17" s="1"/>
  <c r="DD10" i="17"/>
  <c r="P129" i="18" s="1"/>
  <c r="P88" i="18"/>
  <c r="CE10" i="17"/>
  <c r="I137" i="18" s="1"/>
  <c r="CY5" i="17"/>
  <c r="P76" i="18"/>
  <c r="BV8" i="17"/>
  <c r="CC10" i="17"/>
  <c r="CD13" i="17" s="1"/>
  <c r="I160" i="18" s="1"/>
  <c r="CI5" i="17"/>
  <c r="BX8" i="17"/>
  <c r="EM5" i="17"/>
  <c r="ES5" i="17"/>
  <c r="P86" i="18"/>
  <c r="DI5" i="17"/>
  <c r="DK8" i="17"/>
  <c r="I110" i="18"/>
  <c r="CZ10" i="17"/>
  <c r="P125" i="18" s="1"/>
  <c r="EN7" i="17"/>
  <c r="EN8" i="17" s="1"/>
  <c r="EL7" i="17"/>
  <c r="EM10"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CJ8" i="17" s="1"/>
  <c r="I97" i="18"/>
  <c r="DF10" i="17"/>
  <c r="DE8" i="17"/>
  <c r="BK4" i="17"/>
  <c r="DZ4" i="17" s="1"/>
  <c r="DZ21" i="17" s="1"/>
  <c r="BZ10" i="17"/>
  <c r="CA13" i="17" s="1"/>
  <c r="I109" i="18" s="1"/>
  <c r="BW8" i="17"/>
  <c r="I105" i="18"/>
  <c r="O226" i="18" s="1"/>
  <c r="BO8" i="17"/>
  <c r="I98" i="18"/>
  <c r="EK5" i="17"/>
  <c r="I149" i="18"/>
  <c r="I130" i="18"/>
  <c r="I159" i="18"/>
  <c r="I121" i="18"/>
  <c r="I120" i="18"/>
  <c r="H161" i="18"/>
  <c r="I127" i="18"/>
  <c r="I145" i="18"/>
  <c r="K4" i="18"/>
  <c r="R4" i="18" s="1"/>
  <c r="I158" i="18"/>
  <c r="I124" i="18"/>
  <c r="H136" i="18"/>
  <c r="I133" i="18"/>
  <c r="I122" i="18"/>
  <c r="H128" i="18"/>
  <c r="H124" i="18"/>
  <c r="H153" i="18"/>
  <c r="I126"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I85" i="18"/>
  <c r="I43" i="18" s="1"/>
  <c r="P43" i="18" s="1"/>
  <c r="BQ8" i="17"/>
  <c r="CV10" i="17"/>
  <c r="EP7" i="17"/>
  <c r="EP8" i="17" s="1"/>
  <c r="BQ10" i="17"/>
  <c r="EO7" i="17"/>
  <c r="EO24" i="17" s="1"/>
  <c r="EO25" i="17" s="1"/>
  <c r="EO5" i="17"/>
  <c r="BP8" i="17"/>
  <c r="BY8" i="17"/>
  <c r="EN10" i="17"/>
  <c r="EN27" i="17" s="1"/>
  <c r="EX4" i="17"/>
  <c r="CI7" i="17"/>
  <c r="EV20" i="17"/>
  <c r="ES22" i="17"/>
  <c r="EY23" i="17"/>
  <c r="ES10" i="17"/>
  <c r="ER24" i="17"/>
  <c r="ER25" i="17" s="1"/>
  <c r="EW23" i="17"/>
  <c r="EK10" i="17"/>
  <c r="EJ24" i="17"/>
  <c r="EJ25" i="17" s="1"/>
  <c r="EM25" i="17"/>
  <c r="EX23" i="17"/>
  <c r="EP22" i="17"/>
  <c r="ER10" i="17"/>
  <c r="EQ24" i="17"/>
  <c r="EQ25" i="17" s="1"/>
  <c r="ED24" i="17"/>
  <c r="ED23" i="17"/>
  <c r="ED10" i="17"/>
  <c r="EC24" i="17"/>
  <c r="ED22" i="17"/>
  <c r="EX20" i="17"/>
  <c r="EJ10" i="17"/>
  <c r="EI24" i="17"/>
  <c r="EI25" i="17" s="1"/>
  <c r="EB22" i="17"/>
  <c r="DL11" i="17"/>
  <c r="DD9" i="17"/>
  <c r="O80" i="18"/>
  <c r="BY16" i="17"/>
  <c r="I106" i="18"/>
  <c r="P112" i="18"/>
  <c r="BV16" i="17"/>
  <c r="I103" i="18"/>
  <c r="I102" i="18"/>
  <c r="O84" i="18"/>
  <c r="I112" i="18"/>
  <c r="CA16" i="17"/>
  <c r="I108" i="18"/>
  <c r="BW16" i="17"/>
  <c r="I104" i="18"/>
  <c r="DC8" i="17"/>
  <c r="DI10" i="17"/>
  <c r="DG10" i="17"/>
  <c r="BL6" i="17"/>
  <c r="H70" i="18" s="1"/>
  <c r="EO9" i="17"/>
  <c r="EO26" i="17" s="1"/>
  <c r="EC8" i="17"/>
  <c r="ED9" i="17"/>
  <c r="EQ9" i="17"/>
  <c r="EQ26" i="17" s="1"/>
  <c r="ES9" i="17"/>
  <c r="ES26" i="17" s="1"/>
  <c r="ER8" i="17"/>
  <c r="EL9" i="17"/>
  <c r="EL26" i="17" s="1"/>
  <c r="ED8" i="17"/>
  <c r="ER9" i="17"/>
  <c r="ER26" i="17" s="1"/>
  <c r="EQ8" i="17"/>
  <c r="EK9" i="17"/>
  <c r="EK26" i="17" s="1"/>
  <c r="EJ8" i="17"/>
  <c r="EJ9" i="17"/>
  <c r="EJ26" i="17" s="1"/>
  <c r="EI8" i="17"/>
  <c r="EM9" i="17"/>
  <c r="EM26" i="17" s="1"/>
  <c r="EP9" i="17"/>
  <c r="EP26" i="17" s="1"/>
  <c r="EY6" i="17"/>
  <c r="EN9" i="17"/>
  <c r="EN26" i="17" s="1"/>
  <c r="EM8" i="17"/>
  <c r="EX6" i="17"/>
  <c r="ET9" i="17"/>
  <c r="EC9" i="17"/>
  <c r="EC26" i="17" s="1"/>
  <c r="EW6" i="17"/>
  <c r="CR3" i="17"/>
  <c r="O69" i="18" s="1"/>
  <c r="BQ16" i="17"/>
  <c r="BT16" i="17"/>
  <c r="BX15" i="17"/>
  <c r="H178" i="18" s="1"/>
  <c r="BZ16" i="17"/>
  <c r="I180" i="18" s="1"/>
  <c r="CD16" i="17"/>
  <c r="CC16" i="17"/>
  <c r="BT15" i="17"/>
  <c r="H174" i="18" s="1"/>
  <c r="BP16" i="17"/>
  <c r="BR16" i="17"/>
  <c r="DO7" i="17"/>
  <c r="DT7" i="17"/>
  <c r="BR11" i="17"/>
  <c r="CU8" i="17"/>
  <c r="CW8" i="17"/>
  <c r="DQ7" i="17"/>
  <c r="DP6" i="17"/>
  <c r="BP11" i="17"/>
  <c r="BQ12" i="17"/>
  <c r="H147" i="18" s="1"/>
  <c r="CZ8" i="17"/>
  <c r="DI9" i="17"/>
  <c r="O134" i="18" s="1"/>
  <c r="DH8" i="17"/>
  <c r="DG12" i="17"/>
  <c r="CB11" i="17"/>
  <c r="CC12" i="17"/>
  <c r="H159" i="18" s="1"/>
  <c r="CF3" i="17"/>
  <c r="BO11" i="17"/>
  <c r="BP12" i="17"/>
  <c r="H146" i="18" s="1"/>
  <c r="CM9"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T12" i="17"/>
  <c r="H150" i="18" s="1"/>
  <c r="BT11" i="17"/>
  <c r="BU12" i="17"/>
  <c r="H151" i="18" s="1"/>
  <c r="O248" i="18" s="1"/>
  <c r="BR12" i="17"/>
  <c r="H148" i="18" s="1"/>
  <c r="DE9" i="17"/>
  <c r="O130" i="18" s="1"/>
  <c r="DD8" i="17"/>
  <c r="DP7" i="17"/>
  <c r="BU11" i="17"/>
  <c r="BV12" i="17"/>
  <c r="H152" i="18" s="1"/>
  <c r="O249" i="18" s="1"/>
  <c r="EK24" i="17" l="1"/>
  <c r="EK25" i="17" s="1"/>
  <c r="EK8" i="17"/>
  <c r="EY21" i="17"/>
  <c r="EX21" i="17"/>
  <c r="DE13" i="17"/>
  <c r="DF16" i="17" s="1"/>
  <c r="P179" i="18" s="1"/>
  <c r="ET10" i="17"/>
  <c r="ET27" i="17" s="1"/>
  <c r="ES8" i="17"/>
  <c r="CD11" i="17"/>
  <c r="CE14" i="17"/>
  <c r="BX16" i="17"/>
  <c r="I178" i="18" s="1"/>
  <c r="I136" i="18"/>
  <c r="BV11" i="17"/>
  <c r="I161" i="18"/>
  <c r="O258" i="18" s="1"/>
  <c r="BW14" i="17"/>
  <c r="I128" i="18"/>
  <c r="EO8" i="17"/>
  <c r="O247" i="18"/>
  <c r="BS11" i="17"/>
  <c r="I125" i="18"/>
  <c r="BU16" i="17"/>
  <c r="I175" i="18" s="1"/>
  <c r="DQ5" i="17"/>
  <c r="O257" i="18"/>
  <c r="I135" i="18"/>
  <c r="DP5" i="17"/>
  <c r="ET8" i="17"/>
  <c r="O256" i="18"/>
  <c r="BZ11" i="17"/>
  <c r="DT5" i="17"/>
  <c r="EO10" i="17"/>
  <c r="EO27" i="17" s="1"/>
  <c r="EO28" i="17" s="1"/>
  <c r="CI8" i="17"/>
  <c r="CE11" i="17"/>
  <c r="CC11" i="17"/>
  <c r="CJ10" i="17"/>
  <c r="EN24" i="17"/>
  <c r="EN25" i="17" s="1"/>
  <c r="BL7" i="17"/>
  <c r="BM10" i="17" s="1"/>
  <c r="I119" i="18" s="1"/>
  <c r="O255" i="18"/>
  <c r="CI13" i="17"/>
  <c r="CE16" i="17"/>
  <c r="I185" i="18" s="1"/>
  <c r="CR4" i="17"/>
  <c r="DM4" i="17" s="1"/>
  <c r="DA13" i="17"/>
  <c r="DA14" i="17" s="1"/>
  <c r="CF4" i="17"/>
  <c r="O244" i="18"/>
  <c r="EL8" i="17"/>
  <c r="EL24" i="17"/>
  <c r="EL25" i="17" s="1"/>
  <c r="BK5" i="17"/>
  <c r="CF5" i="17" s="1"/>
  <c r="CL5"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DG19" i="17"/>
  <c r="P204" i="18" s="1"/>
  <c r="EW22" i="17"/>
  <c r="EX5" i="17"/>
  <c r="O246" i="18"/>
  <c r="O250"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M27" i="17"/>
  <c r="EM28" i="17" s="1"/>
  <c r="EN13" i="17"/>
  <c r="EN30" i="17" s="1"/>
  <c r="ET13" i="17"/>
  <c r="ET30" i="17" s="1"/>
  <c r="ES27" i="17"/>
  <c r="ES28" i="17" s="1"/>
  <c r="ED27" i="17"/>
  <c r="EL13" i="17"/>
  <c r="EL30" i="17" s="1"/>
  <c r="EK27" i="17"/>
  <c r="EK28" i="17" s="1"/>
  <c r="EM13" i="17"/>
  <c r="EM30" i="17" s="1"/>
  <c r="EL27" i="17"/>
  <c r="EL28" i="17" s="1"/>
  <c r="ET26" i="17"/>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M11"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W11" i="17"/>
  <c r="DQ8"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DP8" i="17"/>
  <c r="P154" i="18" l="1"/>
  <c r="P226" i="18"/>
  <c r="P250" i="18"/>
  <c r="DB16" i="17"/>
  <c r="DC19" i="17" s="1"/>
  <c r="P200" i="18" s="1"/>
  <c r="P249" i="18"/>
  <c r="ET28" i="17"/>
  <c r="ET11" i="17"/>
  <c r="BX17" i="17"/>
  <c r="BY19" i="17"/>
  <c r="I203" i="18" s="1"/>
  <c r="I45" i="18"/>
  <c r="P45" i="18" s="1"/>
  <c r="BV19" i="17"/>
  <c r="I200" i="18" s="1"/>
  <c r="EY8" i="17"/>
  <c r="CL4" i="17"/>
  <c r="EX8" i="17"/>
  <c r="CK5" i="17"/>
  <c r="BL8" i="17"/>
  <c r="CG8" i="17" s="1"/>
  <c r="I18" i="18" s="1"/>
  <c r="P224" i="18"/>
  <c r="EC11" i="17"/>
  <c r="P248" i="18"/>
  <c r="EP13" i="17"/>
  <c r="EP30" i="17" s="1"/>
  <c r="DE14" i="17"/>
  <c r="EO11" i="17"/>
  <c r="P150" i="18"/>
  <c r="P247" i="18" s="1"/>
  <c r="CJ16" i="17"/>
  <c r="CJ11" i="17"/>
  <c r="CI16" i="17"/>
  <c r="I182" i="18"/>
  <c r="CG7" i="17"/>
  <c r="CI11" i="17"/>
  <c r="CC19" i="17"/>
  <c r="I207" i="18" s="1"/>
  <c r="CF7" i="17"/>
  <c r="CK7" i="17" s="1"/>
  <c r="CR5" i="17"/>
  <c r="DM5" i="17" s="1"/>
  <c r="DR5" i="17" s="1"/>
  <c r="CS7" i="17"/>
  <c r="P70" i="18" s="1"/>
  <c r="I94" i="18"/>
  <c r="P69" i="18"/>
  <c r="I93" i="18"/>
  <c r="O214" i="18" s="1"/>
  <c r="CK4" i="17"/>
  <c r="DP13" i="17"/>
  <c r="BK8" i="17"/>
  <c r="ED13" i="17"/>
  <c r="ED30" i="17" s="1"/>
  <c r="CW14"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I205" i="18"/>
  <c r="CC18" i="17"/>
  <c r="H182" i="18"/>
  <c r="CD17" i="17"/>
  <c r="H184" i="18"/>
  <c r="BW17" i="17"/>
  <c r="H177" i="18"/>
  <c r="H173" i="18"/>
  <c r="BR17" i="17"/>
  <c r="H172" i="18"/>
  <c r="I9" i="18"/>
  <c r="P9" i="18" s="1"/>
  <c r="H94" i="18"/>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CF10" i="17" s="1"/>
  <c r="CK10" i="17" s="1"/>
  <c r="EY24" i="17"/>
  <c r="EQ11" i="17"/>
  <c r="EX24" i="17"/>
  <c r="EX10" i="17"/>
  <c r="CB17" i="17"/>
  <c r="CE18" i="17"/>
  <c r="BX18" i="17"/>
  <c r="EQ13" i="17"/>
  <c r="EQ30" i="17" s="1"/>
  <c r="EP27" i="17"/>
  <c r="EP28" i="17" s="1"/>
  <c r="EY10" i="17"/>
  <c r="BS18" i="17"/>
  <c r="BZ17" i="17"/>
  <c r="ED28" i="17"/>
  <c r="EM31" i="17"/>
  <c r="EQ29" i="17"/>
  <c r="EL14" i="17"/>
  <c r="EL29" i="17"/>
  <c r="EL31" i="17" s="1"/>
  <c r="EV23" i="17"/>
  <c r="EA25" i="17"/>
  <c r="EV25" i="17" s="1"/>
  <c r="ES14" i="17"/>
  <c r="ES29" i="17"/>
  <c r="ES31" i="17" s="1"/>
  <c r="EN14" i="17"/>
  <c r="EN29" i="17"/>
  <c r="EN31" i="17" s="1"/>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CJ15" i="17"/>
  <c r="CR8" i="17"/>
  <c r="CS9" i="17"/>
  <c r="CS10" i="17"/>
  <c r="DM6" i="17"/>
  <c r="DS6" i="17" s="1"/>
  <c r="CF9" i="17"/>
  <c r="CL9" i="17" s="1"/>
  <c r="DT11" i="17"/>
  <c r="CK6" i="17"/>
  <c r="CL6" i="17"/>
  <c r="DP11" i="17"/>
  <c r="DQ12" i="17"/>
  <c r="BN13" i="17"/>
  <c r="CH10" i="17"/>
  <c r="DS3" i="17"/>
  <c r="DR3" i="17"/>
  <c r="CM14" i="17"/>
  <c r="CJ14" i="17"/>
  <c r="DR4" i="17"/>
  <c r="DS4" i="17"/>
  <c r="DQ11" i="17"/>
  <c r="CG9" i="17"/>
  <c r="BN12" i="17"/>
  <c r="CH9" i="17"/>
  <c r="BM11" i="17"/>
  <c r="CH11" i="17" s="1"/>
  <c r="I27" i="18" s="1"/>
  <c r="P27" i="18" s="1"/>
  <c r="CV14" i="17"/>
  <c r="DT12" i="17"/>
  <c r="DN6" i="17"/>
  <c r="BL11" i="17"/>
  <c r="BM12" i="17"/>
  <c r="DP12" i="17"/>
  <c r="CI14" i="17"/>
  <c r="BM13" i="17"/>
  <c r="CG10" i="17"/>
  <c r="DB17" i="17" l="1"/>
  <c r="P175" i="18"/>
  <c r="DC20" i="17"/>
  <c r="O215" i="18"/>
  <c r="CJ19" i="17"/>
  <c r="H142" i="18"/>
  <c r="BY20" i="17"/>
  <c r="EP14" i="17"/>
  <c r="EY30" i="17"/>
  <c r="CF8" i="17"/>
  <c r="CK8" i="17" s="1"/>
  <c r="CI19" i="17"/>
  <c r="EY11" i="17"/>
  <c r="EX30" i="17"/>
  <c r="DS5" i="17"/>
  <c r="EP31" i="17"/>
  <c r="DN7" i="17"/>
  <c r="CS8" i="17"/>
  <c r="DM8" i="17" s="1"/>
  <c r="DR8" i="17" s="1"/>
  <c r="CL7" i="17"/>
  <c r="ED14" i="17"/>
  <c r="DJ19" i="17"/>
  <c r="P207" i="18" s="1"/>
  <c r="Q53" i="18"/>
  <c r="T7" i="18"/>
  <c r="U7" i="18" s="1"/>
  <c r="DM7" i="17"/>
  <c r="DS7" i="17" s="1"/>
  <c r="CT10" i="17"/>
  <c r="CU13" i="17" s="1"/>
  <c r="CV16" i="17" s="1"/>
  <c r="DT16" i="17" s="1"/>
  <c r="CR15" i="17" s="1"/>
  <c r="O165" i="18" s="1"/>
  <c r="Q61" i="18"/>
  <c r="BM15" i="17"/>
  <c r="BN18" i="17"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CF11" i="17" s="1"/>
  <c r="I117" i="18"/>
  <c r="EY13" i="17"/>
  <c r="EX13" i="17"/>
  <c r="EQ14" i="17"/>
  <c r="CJ17" i="17"/>
  <c r="EY28" i="17"/>
  <c r="EY27" i="17"/>
  <c r="ED31" i="17"/>
  <c r="EB28" i="17"/>
  <c r="EW28" i="17" s="1"/>
  <c r="EW26" i="17"/>
  <c r="EX29" i="17"/>
  <c r="EX28" i="17"/>
  <c r="EY29" i="17"/>
  <c r="CI18" i="17"/>
  <c r="EC13" i="17"/>
  <c r="EW10" i="17"/>
  <c r="EV8" i="17"/>
  <c r="EC12" i="17"/>
  <c r="EB11" i="17"/>
  <c r="EW9" i="17"/>
  <c r="CK9" i="17"/>
  <c r="DP14" i="17"/>
  <c r="DQ14" i="17"/>
  <c r="DR6" i="17"/>
  <c r="BN15" i="17"/>
  <c r="CL10" i="17"/>
  <c r="BO16" i="17"/>
  <c r="I169" i="18" s="1"/>
  <c r="DG17" i="17"/>
  <c r="DH18" i="17"/>
  <c r="O205" i="18" s="1"/>
  <c r="DQ15" i="17"/>
  <c r="DP15" i="17"/>
  <c r="BZ20" i="17"/>
  <c r="CJ18" i="17"/>
  <c r="DI17" i="17"/>
  <c r="DJ18" i="17"/>
  <c r="DJ17" i="17"/>
  <c r="DK18" i="17"/>
  <c r="DK17" i="17"/>
  <c r="DL18" i="17"/>
  <c r="BN16" i="17"/>
  <c r="BO15" i="17"/>
  <c r="H169" i="18" s="1"/>
  <c r="CS11" i="17"/>
  <c r="CI17" i="17"/>
  <c r="DT14" i="17"/>
  <c r="BN14" i="17"/>
  <c r="CG11" i="17"/>
  <c r="I19" i="18" s="1"/>
  <c r="P19" i="18" s="1"/>
  <c r="P46" i="18"/>
  <c r="P38" i="18"/>
  <c r="BM14" i="17"/>
  <c r="CH12" i="17"/>
  <c r="DO9" i="17"/>
  <c r="CH13" i="17"/>
  <c r="CG12" i="17"/>
  <c r="DM9" i="17"/>
  <c r="P18" i="18"/>
  <c r="DN9" i="17"/>
  <c r="EY14" i="17" l="1"/>
  <c r="CF12" i="17"/>
  <c r="CK12" i="17" s="1"/>
  <c r="DW7" i="17"/>
  <c r="DW8" i="17"/>
  <c r="DW10" i="17"/>
  <c r="DW16" i="17" s="1"/>
  <c r="O239" i="18"/>
  <c r="CL8" i="17"/>
  <c r="DN8" i="17"/>
  <c r="Q18" i="18" s="1"/>
  <c r="EX31" i="17"/>
  <c r="CT11" i="17"/>
  <c r="DM11" i="17" s="1"/>
  <c r="P144" i="18"/>
  <c r="DR7" i="17"/>
  <c r="H167" i="18"/>
  <c r="P119" i="18"/>
  <c r="T9" i="18" s="1"/>
  <c r="DO10" i="17"/>
  <c r="DN10" i="17"/>
  <c r="DM10" i="17"/>
  <c r="DR10" i="17" s="1"/>
  <c r="CR14" i="17"/>
  <c r="O240" i="18"/>
  <c r="EY31" i="17"/>
  <c r="CS16" i="17"/>
  <c r="DN16" i="17" s="1"/>
  <c r="DN12" i="17"/>
  <c r="O217" i="18"/>
  <c r="O166" i="18"/>
  <c r="I141" i="18"/>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CL12" i="17"/>
  <c r="DO13" i="17"/>
  <c r="DR9" i="17"/>
  <c r="DS9" i="17"/>
  <c r="CU14" i="17"/>
  <c r="CH14" i="17"/>
  <c r="I28" i="18" s="1"/>
  <c r="DW9" i="17" l="1"/>
  <c r="CK13" i="17"/>
  <c r="DW17" i="17"/>
  <c r="DX1" i="17" s="1"/>
  <c r="DN11" i="17"/>
  <c r="Q19" i="18" s="1"/>
  <c r="DO11" i="17"/>
  <c r="Q27" i="18" s="1"/>
  <c r="Q63" i="18"/>
  <c r="P241" i="18"/>
  <c r="T10" i="18"/>
  <c r="DS10" i="17"/>
  <c r="Q55" i="18"/>
  <c r="P166" i="18"/>
  <c r="CT19" i="17"/>
  <c r="CT20" i="17" s="1"/>
  <c r="DR13" i="17"/>
  <c r="CS17" i="17"/>
  <c r="CL13" i="17"/>
  <c r="BN19" i="17"/>
  <c r="I192" i="18" s="1"/>
  <c r="I56" i="18"/>
  <c r="E74" i="19" s="1"/>
  <c r="U9" i="18"/>
  <c r="CG16" i="17"/>
  <c r="I64" i="18"/>
  <c r="P64" i="18" s="1"/>
  <c r="J10" i="18"/>
  <c r="F12" i="19" s="1"/>
  <c r="CF14" i="17"/>
  <c r="CK14" i="17" s="1"/>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EE12" i="17" l="1"/>
  <c r="EE6" i="17"/>
  <c r="EF9" i="17" s="1"/>
  <c r="EE9" i="17"/>
  <c r="EF12" i="17" s="1"/>
  <c r="EE4" i="17"/>
  <c r="EF7" i="17" s="1"/>
  <c r="EG10" i="17" s="1"/>
  <c r="EF4" i="17"/>
  <c r="EF21" i="17" s="1"/>
  <c r="EE3" i="17"/>
  <c r="EE13" i="17"/>
  <c r="DX18" i="17"/>
  <c r="EE7" i="17"/>
  <c r="C37" i="21"/>
  <c r="EG4" i="17"/>
  <c r="EE10" i="17"/>
  <c r="EG3" i="17"/>
  <c r="EF3" i="17"/>
  <c r="U10" i="18"/>
  <c r="D44" i="21" s="1"/>
  <c r="DN17" i="17"/>
  <c r="P191" i="18"/>
  <c r="G71" i="19"/>
  <c r="P56" i="18"/>
  <c r="E116" i="21" s="1"/>
  <c r="C12" i="19"/>
  <c r="CL14" i="17"/>
  <c r="E75" i="19"/>
  <c r="BK18" i="17"/>
  <c r="H189" i="18" s="1"/>
  <c r="DO19" i="17"/>
  <c r="BN20" i="17"/>
  <c r="G70" i="19"/>
  <c r="Q10" i="18"/>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E117" i="21"/>
  <c r="G113" i="21"/>
  <c r="O192" i="18"/>
  <c r="CU20" i="17"/>
  <c r="DO20" i="17" s="1"/>
  <c r="DO18" i="17"/>
  <c r="DO17" i="17"/>
  <c r="G112" i="21"/>
  <c r="DR16" i="17"/>
  <c r="BL18" i="17"/>
  <c r="BK17" i="17"/>
  <c r="CF17" i="17" s="1"/>
  <c r="CF15" i="17"/>
  <c r="CM20" i="17"/>
  <c r="CF16" i="17"/>
  <c r="BL19" i="17"/>
  <c r="DR14" i="17"/>
  <c r="DS14" i="17"/>
  <c r="EG7" i="17" l="1"/>
  <c r="CH20" i="17"/>
  <c r="EF13" i="17"/>
  <c r="EF30" i="17" s="1"/>
  <c r="EE27" i="17"/>
  <c r="EG21" i="17"/>
  <c r="EH7" i="17"/>
  <c r="EH13" i="17"/>
  <c r="EH30" i="17" s="1"/>
  <c r="EE24" i="17"/>
  <c r="FB7" i="17"/>
  <c r="EG27" i="17"/>
  <c r="D38" i="21"/>
  <c r="C38" i="21"/>
  <c r="C39" i="21"/>
  <c r="D39" i="21"/>
  <c r="D37" i="21"/>
  <c r="EF29" i="17"/>
  <c r="EE30" i="17"/>
  <c r="EH10" i="17"/>
  <c r="EG24" i="17"/>
  <c r="EF6" i="17"/>
  <c r="EE5" i="17"/>
  <c r="EE20" i="17"/>
  <c r="EU3" i="17"/>
  <c r="FB3" i="17"/>
  <c r="EG12" i="17"/>
  <c r="EF26" i="17"/>
  <c r="EF24" i="17"/>
  <c r="EE21" i="17"/>
  <c r="EU4" i="17"/>
  <c r="FB4" i="17"/>
  <c r="EF10" i="17"/>
  <c r="EE26" i="17"/>
  <c r="EE11" i="17"/>
  <c r="EG6" i="17"/>
  <c r="EG8" i="17" s="1"/>
  <c r="EF5" i="17"/>
  <c r="EF20" i="17"/>
  <c r="EF22" i="17" s="1"/>
  <c r="EE23" i="17"/>
  <c r="EE8" i="17"/>
  <c r="EH6" i="17"/>
  <c r="EG5" i="17"/>
  <c r="EG20" i="17"/>
  <c r="EE29" i="17"/>
  <c r="EE31" i="17" s="1"/>
  <c r="EE14" i="17"/>
  <c r="FB12" i="17"/>
  <c r="D10" i="19"/>
  <c r="D47" i="21" s="1"/>
  <c r="D46" i="21"/>
  <c r="BK20" i="17"/>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EF31" i="17" l="1"/>
  <c r="EF14" i="17"/>
  <c r="EG22" i="17"/>
  <c r="FB6" i="17"/>
  <c r="EE25" i="17"/>
  <c r="EG13" i="17"/>
  <c r="EG14" i="17" s="1"/>
  <c r="FB14" i="17" s="1"/>
  <c r="EF27" i="17"/>
  <c r="EU5" i="17"/>
  <c r="FB5" i="17"/>
  <c r="EI9" i="17"/>
  <c r="EH23" i="17"/>
  <c r="EH8" i="17"/>
  <c r="FA4" i="17"/>
  <c r="EZ4" i="17"/>
  <c r="FB21" i="17"/>
  <c r="EU21" i="17"/>
  <c r="EH27" i="17"/>
  <c r="EI13" i="17"/>
  <c r="EI30" i="17" s="1"/>
  <c r="DZ7" i="17"/>
  <c r="DZ6" i="17"/>
  <c r="FB24" i="17"/>
  <c r="EE22" i="17"/>
  <c r="FB20" i="17"/>
  <c r="EU20" i="17"/>
  <c r="EF11" i="17"/>
  <c r="FB10" i="17"/>
  <c r="EI10" i="17"/>
  <c r="EH24" i="17"/>
  <c r="EG23" i="17"/>
  <c r="EG25" i="17" s="1"/>
  <c r="EH9" i="17"/>
  <c r="EG29" i="17"/>
  <c r="EF23" i="17"/>
  <c r="EF25" i="17" s="1"/>
  <c r="EG9" i="17"/>
  <c r="EF8" i="17"/>
  <c r="FB8" i="17" s="1"/>
  <c r="EE28" i="17"/>
  <c r="EZ3" i="17"/>
  <c r="FA3" i="17"/>
  <c r="D11" i="19"/>
  <c r="CK18" i="17"/>
  <c r="DS20" i="17"/>
  <c r="DS18" i="17"/>
  <c r="CK19" i="17"/>
  <c r="CL19" i="17"/>
  <c r="CF20" i="17"/>
  <c r="FB25" i="17" l="1"/>
  <c r="EH25" i="17"/>
  <c r="EG26" i="17"/>
  <c r="EH12" i="17"/>
  <c r="EG11" i="17"/>
  <c r="FB11" i="17" s="1"/>
  <c r="FB9" i="17"/>
  <c r="FB22" i="17"/>
  <c r="EU22" i="17"/>
  <c r="FA20" i="17"/>
  <c r="EZ20" i="17"/>
  <c r="EH26" i="17"/>
  <c r="EH28" i="17" s="1"/>
  <c r="EI12" i="17"/>
  <c r="EH11" i="17"/>
  <c r="FB23" i="17"/>
  <c r="FB29" i="17"/>
  <c r="DZ23" i="17"/>
  <c r="EU6" i="17"/>
  <c r="DZ8" i="17"/>
  <c r="EU8" i="17" s="1"/>
  <c r="EA9" i="17"/>
  <c r="DZ24" i="17"/>
  <c r="EU24" i="17" s="1"/>
  <c r="EA10" i="17"/>
  <c r="EU7" i="17"/>
  <c r="EI26" i="17"/>
  <c r="EI11" i="17"/>
  <c r="EJ12" i="17"/>
  <c r="DZ10" i="17"/>
  <c r="DZ9" i="17"/>
  <c r="EZ5" i="17"/>
  <c r="FA5" i="17"/>
  <c r="EI27" i="17"/>
  <c r="EJ13" i="17"/>
  <c r="EJ30" i="17" s="1"/>
  <c r="FA21" i="17"/>
  <c r="EZ21" i="17"/>
  <c r="EF28" i="17"/>
  <c r="FB27" i="17"/>
  <c r="EG30" i="17"/>
  <c r="FB30" i="17" s="1"/>
  <c r="FB13" i="17"/>
  <c r="CK20" i="17"/>
  <c r="CL20" i="17"/>
  <c r="EI28" i="17" l="1"/>
  <c r="EA27" i="17"/>
  <c r="EV27" i="17" s="1"/>
  <c r="EB13" i="17"/>
  <c r="EV10" i="17"/>
  <c r="EI29" i="17"/>
  <c r="EI31" i="17" s="1"/>
  <c r="EI14" i="17"/>
  <c r="EZ24" i="17"/>
  <c r="FA24" i="17"/>
  <c r="EU9" i="17"/>
  <c r="EA11" i="17"/>
  <c r="EV11" i="17" s="1"/>
  <c r="EV9" i="17"/>
  <c r="EA26" i="17"/>
  <c r="EB12" i="17"/>
  <c r="FA22" i="17"/>
  <c r="EZ22" i="17"/>
  <c r="H36" i="21"/>
  <c r="EJ29" i="17"/>
  <c r="EJ31" i="17" s="1"/>
  <c r="EJ14" i="17"/>
  <c r="EZ6" i="17"/>
  <c r="FA6" i="17"/>
  <c r="EA12" i="17"/>
  <c r="DZ26" i="17"/>
  <c r="DZ11" i="17"/>
  <c r="DZ25" i="17"/>
  <c r="EU25" i="17" s="1"/>
  <c r="EU23" i="17"/>
  <c r="FA7" i="17"/>
  <c r="EZ7" i="17"/>
  <c r="FA8" i="17"/>
  <c r="EZ8" i="17"/>
  <c r="EA13" i="17"/>
  <c r="EA30" i="17" s="1"/>
  <c r="DZ27" i="17"/>
  <c r="EU10" i="17"/>
  <c r="EG31" i="17"/>
  <c r="FB31" i="17" s="1"/>
  <c r="EH29" i="17"/>
  <c r="EH31" i="17" s="1"/>
  <c r="EH14" i="17"/>
  <c r="DZ13" i="17"/>
  <c r="DZ12" i="17"/>
  <c r="FB26" i="17"/>
  <c r="EG28" i="17"/>
  <c r="FB28" i="17" s="1"/>
  <c r="EU11" i="17" l="1"/>
  <c r="FA11" i="17" s="1"/>
  <c r="EU27" i="17"/>
  <c r="EZ27" i="17" s="1"/>
  <c r="EA28" i="17"/>
  <c r="EV28" i="17" s="1"/>
  <c r="EV26" i="17"/>
  <c r="FA25" i="17"/>
  <c r="EZ25" i="17"/>
  <c r="H37" i="21"/>
  <c r="EZ9" i="17"/>
  <c r="FA9" i="17"/>
  <c r="DZ29" i="17"/>
  <c r="DZ14" i="17"/>
  <c r="EU12" i="17"/>
  <c r="EA14" i="17"/>
  <c r="EA29" i="17"/>
  <c r="EV12" i="17"/>
  <c r="EZ23" i="17"/>
  <c r="FA23" i="17"/>
  <c r="DZ28" i="17"/>
  <c r="EU26" i="17"/>
  <c r="EZ11" i="17"/>
  <c r="EB29" i="17"/>
  <c r="EB14" i="17"/>
  <c r="EW14" i="17" s="1"/>
  <c r="EW12" i="17"/>
  <c r="FA10" i="17"/>
  <c r="EZ10" i="17"/>
  <c r="DZ30" i="17"/>
  <c r="EU13" i="17"/>
  <c r="FA27" i="17"/>
  <c r="EV13" i="17"/>
  <c r="EW13" i="17"/>
  <c r="EB30" i="17"/>
  <c r="EW30" i="17" s="1"/>
  <c r="EV14" i="17" l="1"/>
  <c r="EU28" i="17"/>
  <c r="H38" i="21" s="1"/>
  <c r="EU30" i="17"/>
  <c r="EZ30" i="17" s="1"/>
  <c r="DZ31" i="17"/>
  <c r="EU29" i="17"/>
  <c r="EB31" i="17"/>
  <c r="EW31" i="17" s="1"/>
  <c r="EW29" i="17"/>
  <c r="EA31" i="17"/>
  <c r="EV29" i="17"/>
  <c r="EU14" i="17"/>
  <c r="EV30" i="17"/>
  <c r="FA28" i="17"/>
  <c r="EZ26" i="17"/>
  <c r="FA26" i="17"/>
  <c r="FA12" i="17"/>
  <c r="EZ12" i="17"/>
  <c r="FA13" i="17"/>
  <c r="EZ13" i="17"/>
  <c r="EV31" i="17" l="1"/>
  <c r="EZ28" i="17"/>
  <c r="FA30" i="17"/>
  <c r="FA14" i="17"/>
  <c r="EZ14" i="17"/>
  <c r="FA29" i="17"/>
  <c r="EZ29" i="17"/>
  <c r="EU31" i="17"/>
  <c r="FA31" i="17" l="1"/>
  <c r="EZ31" i="17"/>
  <c r="H39" i="21"/>
</calcChain>
</file>

<file path=xl/sharedStrings.xml><?xml version="1.0" encoding="utf-8"?>
<sst xmlns="http://schemas.openxmlformats.org/spreadsheetml/2006/main" count="1357" uniqueCount="443">
  <si>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</si>
  <si>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</si>
  <si>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</si>
  <si>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</si>
  <si>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</si>
  <si>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</si>
  <si>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</si>
  <si>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</si>
  <si>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</si>
  <si>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</si>
  <si>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</si>
  <si>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</si>
  <si>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</si>
  <si>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</si>
  <si>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</si>
  <si>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</si>
  <si>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</si>
  <si>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</si>
  <si>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</si>
  <si>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</si>
  <si>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</si>
  <si>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</si>
  <si>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</si>
  <si>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</si>
  <si>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</si>
  <si>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</si>
  <si>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</si>
  <si>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</si>
  <si>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</si>
  <si>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</si>
  <si>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</si>
  <si>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</si>
  <si>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</si>
  <si>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</si>
  <si>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</si>
  <si>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</si>
  <si>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</si>
  <si>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</si>
  <si>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</si>
  <si>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</si>
  <si>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</si>
  <si>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</si>
  <si>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</si>
  <si>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</si>
  <si>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</si>
  <si>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</si>
  <si>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</si>
  <si>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</si>
  <si>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</si>
  <si>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</si>
  <si>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</si>
  <si>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</si>
  <si>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</si>
  <si>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</si>
  <si>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</si>
  <si>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</si>
  <si>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</si>
  <si>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</si>
  <si>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</si>
  <si>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</si>
  <si>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</si>
  <si>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</si>
  <si>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</si>
  <si>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</si>
  <si>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</si>
  <si>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</si>
  <si>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</si>
  <si>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</si>
  <si>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</si>
  <si>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</si>
  <si>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</si>
  <si>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</si>
  <si>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</si>
  <si>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</si>
  <si>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</si>
  <si>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</si>
  <si>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</si>
  <si>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</si>
  <si>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</si>
  <si>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</si>
  <si>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</si>
  <si>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</si>
  <si>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</si>
  <si>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</si>
  <si>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</si>
  <si>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</si>
  <si>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</si>
  <si>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</si>
  <si>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</si>
  <si>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</si>
  <si>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</si>
  <si>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</si>
  <si>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</si>
  <si>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</si>
  <si>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</si>
  <si>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</si>
  <si>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</si>
  <si>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</si>
  <si>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</si>
  <si>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</si>
  <si>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</si>
  <si>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</si>
  <si>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</si>
  <si>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</si>
  <si>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</si>
  <si>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</si>
  <si>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</si>
  <si>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</si>
  <si>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</si>
  <si>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</si>
  <si>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</si>
  <si>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</si>
  <si>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</si>
  <si>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</si>
  <si>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</si>
  <si>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</si>
  <si>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</si>
  <si>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</si>
  <si>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</si>
  <si>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</si>
  <si>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</si>
  <si>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</si>
  <si>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</si>
  <si>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</si>
  <si>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</si>
  <si>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</si>
  <si>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</si>
  <si>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</si>
  <si>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</si>
  <si>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</si>
  <si>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</si>
  <si>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</si>
  <si>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</si>
  <si>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</si>
  <si>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</si>
  <si>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</si>
  <si>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</si>
  <si>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</si>
  <si>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</si>
  <si>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</si>
  <si>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</si>
  <si>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</si>
  <si>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</si>
  <si>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</si>
  <si>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</si>
  <si>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</si>
  <si>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</si>
  <si>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</si>
  <si>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</si>
  <si>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</si>
  <si>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</si>
  <si>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</si>
  <si>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</si>
  <si>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</si>
  <si>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</si>
  <si>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</si>
  <si>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</si>
  <si>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</si>
  <si>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</si>
  <si>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</si>
  <si>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</si>
  <si>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</si>
  <si>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</si>
  <si>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</si>
  <si>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</si>
  <si>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</si>
  <si>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</si>
  <si>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</si>
  <si>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</si>
  <si>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</si>
  <si>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</si>
  <si>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</si>
  <si>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</si>
  <si>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</si>
  <si>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</si>
  <si>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</si>
  <si>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</si>
  <si>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</si>
  <si>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</si>
  <si>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</si>
  <si>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</si>
  <si>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</si>
  <si>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</si>
  <si>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</si>
  <si>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</si>
  <si>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</si>
  <si>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</si>
  <si>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</si>
  <si>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</si>
  <si>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</si>
  <si>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</si>
  <si>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</si>
  <si>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</si>
  <si>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</si>
  <si>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</si>
  <si>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</si>
  <si>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</si>
  <si>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</si>
  <si>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</si>
  <si>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</si>
  <si>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</si>
  <si>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</si>
  <si>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</si>
  <si>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</si>
  <si>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</si>
  <si>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</si>
  <si>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</si>
  <si>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</si>
  <si>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</si>
  <si>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</si>
  <si>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</si>
  <si>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</si>
  <si>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</si>
  <si>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</si>
  <si>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</si>
  <si>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</si>
  <si>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</si>
  <si>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</si>
  <si>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</si>
  <si>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</si>
  <si>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</si>
  <si>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</si>
  <si>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</si>
  <si>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</si>
  <si>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</si>
  <si>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</si>
  <si>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</si>
  <si>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</si>
  <si>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</si>
  <si>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</si>
  <si>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</si>
  <si>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</si>
  <si>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</si>
  <si>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</si>
  <si>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</si>
  <si>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</si>
  <si>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</si>
  <si>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</si>
  <si>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</si>
  <si>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</si>
  <si>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</si>
  <si>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</si>
  <si>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</si>
  <si>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</si>
  <si>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</si>
  <si>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</si>
  <si>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</si>
  <si>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</si>
  <si>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</si>
  <si>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</si>
  <si>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</si>
  <si>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</si>
  <si>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</si>
  <si>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</si>
  <si>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</si>
  <si>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</si>
  <si>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</si>
  <si>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</si>
  <si>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</si>
  <si>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</si>
  <si>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</si>
  <si>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</si>
  <si>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</si>
  <si>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</si>
  <si>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</si>
  <si>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</si>
  <si>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</si>
  <si>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</si>
  <si>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</si>
  <si>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</si>
  <si>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</si>
  <si>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</si>
  <si>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</si>
  <si>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</si>
  <si>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</si>
  <si>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</si>
  <si>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</si>
  <si>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</si>
  <si>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</si>
  <si>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</si>
  <si>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</si>
  <si>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</si>
  <si>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</si>
  <si>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</si>
  <si>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</si>
  <si>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</si>
  <si>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</si>
  <si>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</si>
  <si>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</si>
  <si>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</si>
  <si>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</si>
  <si>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</si>
  <si>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</si>
  <si>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</si>
  <si>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</si>
  <si>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</si>
  <si>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</si>
  <si>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</si>
  <si>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</si>
  <si>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</si>
  <si>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</si>
  <si>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</si>
  <si>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</si>
  <si>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</si>
  <si>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</si>
  <si>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</si>
  <si>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</si>
  <si>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</si>
  <si>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</si>
  <si>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</si>
  <si>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</si>
  <si>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</si>
  <si>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</si>
  <si>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</si>
  <si>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</si>
  <si>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</si>
  <si>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</si>
  <si>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</si>
  <si>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</si>
  <si>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</si>
  <si>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</si>
  <si>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</si>
  <si>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</si>
  <si>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</si>
  <si>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</si>
  <si>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</si>
  <si>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</si>
  <si>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</si>
  <si>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</si>
  <si>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</si>
  <si>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</si>
  <si>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</si>
  <si>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</si>
  <si>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</si>
  <si>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</si>
  <si>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</si>
  <si>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</si>
  <si>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</si>
  <si>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</si>
  <si>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</si>
  <si>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</si>
  <si>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</si>
  <si>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</si>
  <si>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</si>
  <si>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</si>
  <si>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</si>
  <si>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</si>
  <si>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</si>
  <si>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</si>
  <si>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</si>
  <si>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</si>
  <si>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</si>
  <si>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</si>
  <si>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</si>
  <si>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</si>
  <si>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</si>
  <si>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</si>
  <si>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</si>
  <si>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</si>
  <si>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</si>
  <si>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</si>
  <si>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</si>
  <si>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</si>
  <si>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</si>
  <si>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</si>
  <si>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</si>
  <si>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</si>
  <si>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</si>
  <si>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</si>
  <si>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</si>
  <si>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</si>
  <si>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</si>
  <si>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</si>
  <si>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</si>
  <si>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</si>
  <si>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</si>
  <si>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</si>
  <si>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</si>
  <si>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</si>
  <si>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</si>
  <si>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</si>
  <si>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</si>
  <si>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</si>
  <si>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</si>
  <si>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</si>
  <si>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</si>
  <si>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</si>
  <si>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</si>
  <si>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</si>
  <si>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</si>
  <si>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</si>
  <si>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</si>
  <si>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</si>
  <si>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</si>
  <si>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</si>
  <si>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</si>
  <si>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</si>
  <si>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</si>
  <si>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</si>
  <si>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</si>
  <si>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</si>
  <si>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</si>
  <si>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</si>
  <si>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</si>
  <si>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</si>
  <si>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</si>
  <si>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</si>
  <si>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</si>
  <si>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</si>
  <si>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</si>
  <si>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</si>
  <si>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</si>
  <si>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</si>
  <si>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</si>
  <si>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</si>
  <si>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</si>
  <si>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</si>
  <si>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</si>
  <si>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</si>
  <si>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</si>
  <si>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</si>
  <si>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</si>
  <si>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</si>
  <si>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</si>
  <si>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</si>
  <si>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</si>
  <si>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</si>
  <si>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</si>
  <si>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</si>
  <si>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45382_1</t>
  </si>
  <si>
    <t>国富町</t>
    <rPh sb="0" eb="2">
      <t>クニトミ</t>
    </rPh>
    <rPh sb="2" eb="3">
      <t>チョウ</t>
    </rPh>
    <phoneticPr fontId="1"/>
  </si>
  <si>
    <t>本庄小学校区</t>
  </si>
  <si>
    <t>45382_2</t>
  </si>
  <si>
    <t>森永小学校区</t>
  </si>
  <si>
    <t>45382_3</t>
  </si>
  <si>
    <t>旧八代小学校区</t>
  </si>
  <si>
    <t>45382_4</t>
  </si>
  <si>
    <t>旧北俣小学校区</t>
  </si>
  <si>
    <t>45382_5</t>
  </si>
  <si>
    <t>旧深年小学校区</t>
  </si>
  <si>
    <t>45382_6</t>
  </si>
  <si>
    <t>木脇小学校区</t>
  </si>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</sst>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4"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2">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181" fontId="0" fillId="5" borderId="0" xfId="0" applyNumberFormat="1" applyFill="1" applyAlignment="1">
      <alignment horizontal="center" vertical="center"/>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522</c:v>
                </c:pt>
                <c:pt idx="1">
                  <c:v>426</c:v>
                </c:pt>
                <c:pt idx="2">
                  <c:v>385</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7153728"/>
        <c:axId val="397151376"/>
      </c:barChart>
      <c:catAx>
        <c:axId val="397153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51376"/>
        <c:crosses val="autoZero"/>
        <c:auto val="1"/>
        <c:lblAlgn val="ctr"/>
        <c:lblOffset val="100"/>
        <c:noMultiLvlLbl val="0"/>
      </c:catAx>
      <c:valAx>
        <c:axId val="39715137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537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269</c:v>
                </c:pt>
                <c:pt idx="1">
                  <c:v>230</c:v>
                </c:pt>
                <c:pt idx="2">
                  <c:v>198</c:v>
                </c:pt>
                <c:pt idx="3">
                  <c:v>176</c:v>
                </c:pt>
                <c:pt idx="4">
                  <c:v>158</c:v>
                </c:pt>
                <c:pt idx="5">
                  <c:v>130</c:v>
                </c:pt>
                <c:pt idx="6">
                  <c:v>107</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7816448"/>
        <c:axId val="397818016"/>
      </c:barChart>
      <c:catAx>
        <c:axId val="397816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18016"/>
        <c:crosses val="autoZero"/>
        <c:auto val="1"/>
        <c:lblAlgn val="ctr"/>
        <c:lblOffset val="100"/>
        <c:noMultiLvlLbl val="0"/>
      </c:catAx>
      <c:valAx>
        <c:axId val="39781801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1644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0.24</c:v>
                </c:pt>
                <c:pt idx="1">
                  <c:v>0.28999999999999998</c:v>
                </c:pt>
                <c:pt idx="2">
                  <c:v>0.34</c:v>
                </c:pt>
                <c:pt idx="3">
                  <c:v>0.38</c:v>
                </c:pt>
                <c:pt idx="4">
                  <c:v>0.41</c:v>
                </c:pt>
                <c:pt idx="5">
                  <c:v>0.42</c:v>
                </c:pt>
                <c:pt idx="6">
                  <c:v>0.45</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397815664"/>
        <c:axId val="397816056"/>
      </c:barChart>
      <c:catAx>
        <c:axId val="3978156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16056"/>
        <c:crosses val="autoZero"/>
        <c:auto val="1"/>
        <c:lblAlgn val="ctr"/>
        <c:lblOffset val="100"/>
        <c:noMultiLvlLbl val="0"/>
      </c:catAx>
      <c:valAx>
        <c:axId val="3978160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1566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0.12</c:v>
                </c:pt>
                <c:pt idx="1">
                  <c:v>0.15</c:v>
                </c:pt>
                <c:pt idx="2">
                  <c:v>0.17</c:v>
                </c:pt>
                <c:pt idx="3">
                  <c:v>0.21</c:v>
                </c:pt>
                <c:pt idx="4">
                  <c:v>0.25</c:v>
                </c:pt>
                <c:pt idx="5">
                  <c:v>0.28000000000000003</c:v>
                </c:pt>
                <c:pt idx="6">
                  <c:v>0.28999999999999998</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397820368"/>
        <c:axId val="397820760"/>
      </c:barChart>
      <c:catAx>
        <c:axId val="3978203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20760"/>
        <c:crosses val="autoZero"/>
        <c:auto val="1"/>
        <c:lblAlgn val="ctr"/>
        <c:lblOffset val="100"/>
        <c:noMultiLvlLbl val="0"/>
      </c:catAx>
      <c:valAx>
        <c:axId val="39782076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2036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2295793083897608"/>
          <c:y val="1.9857405479765017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19"/>
              <c:layout>
                <c:manualLayout>
                  <c:x val="-2.1724130910727932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E02-4C0C-B6A3-5AC7D38DE0E9}"/>
                </c:ext>
                <c:ext xmlns:c15="http://schemas.microsoft.com/office/drawing/2012/chart" uri="{CE6537A1-D6FC-4f65-9D91-7224C49458BB}"/>
              </c:extLst>
            </c:dLbl>
            <c:dLbl>
              <c:idx val="20"/>
              <c:layout>
                <c:manualLayout>
                  <c:x val="-3.6707588031232245E-2"/>
                  <c:y val="-3.2961185800888587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E02-4C0C-B6A3-5AC7D38DE0E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94</c:v>
                </c:pt>
                <c:pt idx="1">
                  <c:v>114</c:v>
                </c:pt>
                <c:pt idx="2">
                  <c:v>135</c:v>
                </c:pt>
                <c:pt idx="3">
                  <c:v>120</c:v>
                </c:pt>
                <c:pt idx="4">
                  <c:v>76</c:v>
                </c:pt>
                <c:pt idx="5">
                  <c:v>100</c:v>
                </c:pt>
                <c:pt idx="6">
                  <c:v>119</c:v>
                </c:pt>
                <c:pt idx="7">
                  <c:v>131</c:v>
                </c:pt>
                <c:pt idx="8">
                  <c:v>162</c:v>
                </c:pt>
                <c:pt idx="9">
                  <c:v>191</c:v>
                </c:pt>
                <c:pt idx="10">
                  <c:v>206</c:v>
                </c:pt>
                <c:pt idx="11">
                  <c:v>218</c:v>
                </c:pt>
                <c:pt idx="12">
                  <c:v>194</c:v>
                </c:pt>
                <c:pt idx="13">
                  <c:v>202</c:v>
                </c:pt>
                <c:pt idx="14">
                  <c:v>254</c:v>
                </c:pt>
                <c:pt idx="15">
                  <c:v>257</c:v>
                </c:pt>
                <c:pt idx="16">
                  <c:v>215</c:v>
                </c:pt>
                <c:pt idx="17">
                  <c:v>108</c:v>
                </c:pt>
                <c:pt idx="18">
                  <c:v>50</c:v>
                </c:pt>
                <c:pt idx="19">
                  <c:v>19</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398510768"/>
        <c:axId val="398511552"/>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83</c:v>
                </c:pt>
                <c:pt idx="1">
                  <c:v>106</c:v>
                </c:pt>
                <c:pt idx="2">
                  <c:v>132</c:v>
                </c:pt>
                <c:pt idx="3">
                  <c:v>135</c:v>
                </c:pt>
                <c:pt idx="4">
                  <c:v>102</c:v>
                </c:pt>
                <c:pt idx="5">
                  <c:v>88</c:v>
                </c:pt>
                <c:pt idx="6">
                  <c:v>99</c:v>
                </c:pt>
                <c:pt idx="7">
                  <c:v>116</c:v>
                </c:pt>
                <c:pt idx="8">
                  <c:v>166</c:v>
                </c:pt>
                <c:pt idx="9">
                  <c:v>195</c:v>
                </c:pt>
                <c:pt idx="10">
                  <c:v>219</c:v>
                </c:pt>
                <c:pt idx="11">
                  <c:v>248</c:v>
                </c:pt>
                <c:pt idx="12">
                  <c:v>234</c:v>
                </c:pt>
                <c:pt idx="13">
                  <c:v>241</c:v>
                </c:pt>
                <c:pt idx="14">
                  <c:v>315</c:v>
                </c:pt>
                <c:pt idx="15">
                  <c:v>301</c:v>
                </c:pt>
                <c:pt idx="16">
                  <c:v>302</c:v>
                </c:pt>
                <c:pt idx="17">
                  <c:v>176</c:v>
                </c:pt>
                <c:pt idx="18">
                  <c:v>98</c:v>
                </c:pt>
                <c:pt idx="19">
                  <c:v>36</c:v>
                </c:pt>
                <c:pt idx="20">
                  <c:v>6</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398506848"/>
        <c:axId val="398509200"/>
      </c:barChart>
      <c:catAx>
        <c:axId val="39851076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1552"/>
        <c:crosses val="autoZero"/>
        <c:auto val="1"/>
        <c:lblAlgn val="ctr"/>
        <c:lblOffset val="100"/>
        <c:noMultiLvlLbl val="0"/>
      </c:catAx>
      <c:valAx>
        <c:axId val="398511552"/>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0768"/>
        <c:crosses val="autoZero"/>
        <c:crossBetween val="between"/>
        <c:majorUnit val="250"/>
      </c:valAx>
      <c:valAx>
        <c:axId val="39850920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06848"/>
        <c:crosses val="max"/>
        <c:crossBetween val="between"/>
        <c:majorUnit val="250"/>
      </c:valAx>
      <c:catAx>
        <c:axId val="398506848"/>
        <c:scaling>
          <c:orientation val="minMax"/>
        </c:scaling>
        <c:delete val="1"/>
        <c:axPos val="l"/>
        <c:numFmt formatCode="General" sourceLinked="1"/>
        <c:majorTickMark val="out"/>
        <c:minorTickMark val="none"/>
        <c:tickLblPos val="nextTo"/>
        <c:crossAx val="3985092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19"/>
              <c:layout>
                <c:manualLayout>
                  <c:x val="-2.1768180364923023E-3"/>
                  <c:y val="-3.26609002604256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391-4AB5-B732-BE846AE55400}"/>
                </c:ext>
                <c:ext xmlns:c15="http://schemas.microsoft.com/office/drawing/2012/chart" uri="{CE6537A1-D6FC-4f65-9D91-7224C49458BB}"/>
              </c:extLst>
            </c:dLbl>
            <c:dLbl>
              <c:idx val="20"/>
              <c:layout>
                <c:manualLayout>
                  <c:x val="-4.2195092473623352E-2"/>
                  <c:y val="-4.931667353102779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391-4AB5-B732-BE846AE5540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74</c:v>
                </c:pt>
                <c:pt idx="1">
                  <c:v>84</c:v>
                </c:pt>
                <c:pt idx="2">
                  <c:v>89</c:v>
                </c:pt>
                <c:pt idx="3">
                  <c:v>90</c:v>
                </c:pt>
                <c:pt idx="4">
                  <c:v>69</c:v>
                </c:pt>
                <c:pt idx="5">
                  <c:v>72</c:v>
                </c:pt>
                <c:pt idx="6">
                  <c:v>75</c:v>
                </c:pt>
                <c:pt idx="7">
                  <c:v>100</c:v>
                </c:pt>
                <c:pt idx="8">
                  <c:v>115</c:v>
                </c:pt>
                <c:pt idx="9">
                  <c:v>125</c:v>
                </c:pt>
                <c:pt idx="10">
                  <c:v>153</c:v>
                </c:pt>
                <c:pt idx="11">
                  <c:v>175</c:v>
                </c:pt>
                <c:pt idx="12">
                  <c:v>192</c:v>
                </c:pt>
                <c:pt idx="13">
                  <c:v>202</c:v>
                </c:pt>
                <c:pt idx="14">
                  <c:v>170</c:v>
                </c:pt>
                <c:pt idx="15">
                  <c:v>167</c:v>
                </c:pt>
                <c:pt idx="16">
                  <c:v>188</c:v>
                </c:pt>
                <c:pt idx="17">
                  <c:v>146</c:v>
                </c:pt>
                <c:pt idx="18">
                  <c:v>70</c:v>
                </c:pt>
                <c:pt idx="19">
                  <c:v>19</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62501688"/>
        <c:axId val="462496200"/>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65</c:v>
                </c:pt>
                <c:pt idx="1">
                  <c:v>78</c:v>
                </c:pt>
                <c:pt idx="2">
                  <c:v>87</c:v>
                </c:pt>
                <c:pt idx="3">
                  <c:v>91</c:v>
                </c:pt>
                <c:pt idx="4">
                  <c:v>72</c:v>
                </c:pt>
                <c:pt idx="5">
                  <c:v>76</c:v>
                </c:pt>
                <c:pt idx="6">
                  <c:v>87</c:v>
                </c:pt>
                <c:pt idx="7">
                  <c:v>84</c:v>
                </c:pt>
                <c:pt idx="8">
                  <c:v>97</c:v>
                </c:pt>
                <c:pt idx="9">
                  <c:v>109</c:v>
                </c:pt>
                <c:pt idx="10">
                  <c:v>157</c:v>
                </c:pt>
                <c:pt idx="11">
                  <c:v>188</c:v>
                </c:pt>
                <c:pt idx="12">
                  <c:v>213</c:v>
                </c:pt>
                <c:pt idx="13">
                  <c:v>237</c:v>
                </c:pt>
                <c:pt idx="14">
                  <c:v>224</c:v>
                </c:pt>
                <c:pt idx="15">
                  <c:v>224</c:v>
                </c:pt>
                <c:pt idx="16">
                  <c:v>269</c:v>
                </c:pt>
                <c:pt idx="17">
                  <c:v>220</c:v>
                </c:pt>
                <c:pt idx="18">
                  <c:v>134</c:v>
                </c:pt>
                <c:pt idx="19">
                  <c:v>37</c:v>
                </c:pt>
                <c:pt idx="20">
                  <c:v>6</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62500512"/>
        <c:axId val="462496984"/>
      </c:barChart>
      <c:catAx>
        <c:axId val="4625016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96200"/>
        <c:crosses val="autoZero"/>
        <c:auto val="1"/>
        <c:lblAlgn val="ctr"/>
        <c:lblOffset val="100"/>
        <c:noMultiLvlLbl val="0"/>
      </c:catAx>
      <c:valAx>
        <c:axId val="46249620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01688"/>
        <c:crosses val="autoZero"/>
        <c:crossBetween val="between"/>
        <c:majorUnit val="250"/>
      </c:valAx>
      <c:valAx>
        <c:axId val="462496984"/>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00512"/>
        <c:crosses val="max"/>
        <c:crossBetween val="between"/>
        <c:majorUnit val="250"/>
      </c:valAx>
      <c:catAx>
        <c:axId val="462500512"/>
        <c:scaling>
          <c:orientation val="minMax"/>
        </c:scaling>
        <c:delete val="1"/>
        <c:axPos val="l"/>
        <c:numFmt formatCode="General" sourceLinked="1"/>
        <c:majorTickMark val="out"/>
        <c:minorTickMark val="none"/>
        <c:tickLblPos val="nextTo"/>
        <c:crossAx val="46249698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8405</c:v>
                </c:pt>
                <c:pt idx="1">
                  <c:v>7897</c:v>
                </c:pt>
                <c:pt idx="2">
                  <c:v>7495</c:v>
                </c:pt>
                <c:pt idx="3">
                  <c:v>6951</c:v>
                </c:pt>
                <c:pt idx="4">
                  <c:v>6363</c:v>
                </c:pt>
                <c:pt idx="5">
                  <c:v>5753</c:v>
                </c:pt>
                <c:pt idx="6">
                  <c:v>5130</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4AFE-4D2A-A9DE-67920476FF89}"/>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4AFE-4D2A-A9DE-67920476FF89}"/>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4AFE-4D2A-A9DE-67920476FF89}"/>
                </c:ext>
                <c:ext xmlns:c15="http://schemas.microsoft.com/office/drawing/2012/chart" uri="{CE6537A1-D6FC-4f65-9D91-7224C49458BB}"/>
              </c:extLst>
            </c:dLbl>
            <c:dLbl>
              <c:idx val="6"/>
              <c:layout>
                <c:manualLayout>
                  <c:x val="0"/>
                  <c:y val="-2.62280992190301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4AFE-4D2A-A9DE-67920476FF8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6960</c:v>
                </c:pt>
                <c:pt idx="4" formatCode="#,##0_);[Red]\(#,##0\)">
                  <c:v>6383</c:v>
                </c:pt>
                <c:pt idx="5" formatCode="#,##0_);[Red]\(#,##0\)">
                  <c:v>5783</c:v>
                </c:pt>
                <c:pt idx="6" formatCode="#,##0_);[Red]\(#,##0\)">
                  <c:v>5172</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62498552"/>
        <c:axId val="462500904"/>
      </c:barChart>
      <c:catAx>
        <c:axId val="4624985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00904"/>
        <c:crosses val="autoZero"/>
        <c:auto val="1"/>
        <c:lblAlgn val="ctr"/>
        <c:lblOffset val="100"/>
        <c:noMultiLvlLbl val="0"/>
      </c:catAx>
      <c:valAx>
        <c:axId val="46250090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98552"/>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9.1742117189389863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522</c:v>
                </c:pt>
                <c:pt idx="1">
                  <c:v>426</c:v>
                </c:pt>
                <c:pt idx="2">
                  <c:v>385</c:v>
                </c:pt>
                <c:pt idx="3">
                  <c:v>345</c:v>
                </c:pt>
                <c:pt idx="4">
                  <c:v>292</c:v>
                </c:pt>
                <c:pt idx="5">
                  <c:v>236</c:v>
                </c:pt>
                <c:pt idx="6">
                  <c:v>203</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4.082149066378509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4.404616079608902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8012823348659E-3"/>
                  <c:y val="-4.444444444444444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346</c:v>
                </c:pt>
                <c:pt idx="4">
                  <c:v>294</c:v>
                </c:pt>
                <c:pt idx="5">
                  <c:v>241</c:v>
                </c:pt>
                <c:pt idx="6">
                  <c:v>209</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62501296"/>
        <c:axId val="462502472"/>
      </c:barChart>
      <c:catAx>
        <c:axId val="4625012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02472"/>
        <c:crosses val="autoZero"/>
        <c:auto val="1"/>
        <c:lblAlgn val="ctr"/>
        <c:lblOffset val="100"/>
        <c:noMultiLvlLbl val="0"/>
      </c:catAx>
      <c:valAx>
        <c:axId val="4625024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01296"/>
        <c:crosses val="autoZero"/>
        <c:crossBetween val="between"/>
      </c:valAx>
      <c:spPr>
        <a:noFill/>
        <a:ln>
          <a:noFill/>
        </a:ln>
        <a:effectLst/>
      </c:spPr>
    </c:plotArea>
    <c:legend>
      <c:legendPos val="t"/>
      <c:layout>
        <c:manualLayout>
          <c:xMode val="edge"/>
          <c:yMode val="edge"/>
          <c:x val="5.7385836743297169E-2"/>
          <c:y val="0.11340928033462169"/>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0.24</c:v>
                </c:pt>
                <c:pt idx="1">
                  <c:v>0.28999999999999998</c:v>
                </c:pt>
                <c:pt idx="2">
                  <c:v>0.34</c:v>
                </c:pt>
                <c:pt idx="3">
                  <c:v>0.38</c:v>
                </c:pt>
                <c:pt idx="4">
                  <c:v>0.41</c:v>
                </c:pt>
                <c:pt idx="5">
                  <c:v>0.42</c:v>
                </c:pt>
                <c:pt idx="6">
                  <c:v>0.45</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DB5-49CE-BDDD-4E89A678B1F1}"/>
                </c:ext>
                <c:ext xmlns:c15="http://schemas.microsoft.com/office/drawing/2012/chart" uri="{CE6537A1-D6FC-4f65-9D91-7224C49458BB}"/>
              </c:extLst>
            </c:dLbl>
            <c:dLbl>
              <c:idx val="4"/>
              <c:layout>
                <c:manualLayout>
                  <c:x val="2.3218187170398938E-3"/>
                  <c:y val="-7.704981514659332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DB5-49CE-BDDD-4E89A678B1F1}"/>
                </c:ext>
                <c:ext xmlns:c15="http://schemas.microsoft.com/office/drawing/2012/chart" uri="{CE6537A1-D6FC-4f65-9D91-7224C49458BB}"/>
              </c:extLst>
            </c:dLbl>
            <c:dLbl>
              <c:idx val="5"/>
              <c:layout>
                <c:manualLayout>
                  <c:x val="6.9656244598342194E-3"/>
                  <c:y val="-8.4985149968198295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DB5-49CE-BDDD-4E89A678B1F1}"/>
                </c:ext>
                <c:ext xmlns:c15="http://schemas.microsoft.com/office/drawing/2012/chart" uri="{CE6537A1-D6FC-4f65-9D91-7224C49458BB}"/>
              </c:extLst>
            </c:dLbl>
            <c:dLbl>
              <c:idx val="6"/>
              <c:layout>
                <c:manualLayout>
                  <c:x val="1.5037542100321082E-2"/>
                  <c:y val="-7.1318203384700851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DB5-49CE-BDDD-4E89A678B1F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0.38</c:v>
                </c:pt>
                <c:pt idx="4" formatCode="0%">
                  <c:v>0.4</c:v>
                </c:pt>
                <c:pt idx="5" formatCode="0%">
                  <c:v>0.42</c:v>
                </c:pt>
                <c:pt idx="6" formatCode="0%">
                  <c:v>0.45</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462502864"/>
        <c:axId val="462503256"/>
      </c:barChart>
      <c:catAx>
        <c:axId val="4625028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03256"/>
        <c:crosses val="autoZero"/>
        <c:auto val="1"/>
        <c:lblAlgn val="ctr"/>
        <c:lblOffset val="100"/>
        <c:noMultiLvlLbl val="0"/>
      </c:catAx>
      <c:valAx>
        <c:axId val="46250325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0286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0.12</c:v>
                </c:pt>
                <c:pt idx="1">
                  <c:v>0.15</c:v>
                </c:pt>
                <c:pt idx="2">
                  <c:v>0.17</c:v>
                </c:pt>
                <c:pt idx="3">
                  <c:v>0.21</c:v>
                </c:pt>
                <c:pt idx="4">
                  <c:v>0.25</c:v>
                </c:pt>
                <c:pt idx="5">
                  <c:v>0.28000000000000003</c:v>
                </c:pt>
                <c:pt idx="6">
                  <c:v>0.28999999999999998</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00B7-404C-A668-A94C4498BCF4}"/>
                </c:ext>
                <c:ext xmlns:c15="http://schemas.microsoft.com/office/drawing/2012/chart" uri="{CE6537A1-D6FC-4f65-9D91-7224C49458BB}"/>
              </c:extLst>
            </c:dLbl>
            <c:dLbl>
              <c:idx val="4"/>
              <c:layout>
                <c:manualLayout>
                  <c:x val="2.1375206746218002E-3"/>
                  <c:y val="-7.43452858503067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00B7-404C-A668-A94C4498BCF4}"/>
                </c:ext>
                <c:ext xmlns:c15="http://schemas.microsoft.com/office/drawing/2012/chart" uri="{CE6537A1-D6FC-4f65-9D91-7224C49458BB}"/>
              </c:extLst>
            </c:dLbl>
            <c:dLbl>
              <c:idx val="5"/>
              <c:layout>
                <c:manualLayout>
                  <c:x val="4.8281037852124977E-3"/>
                  <c:y val="-8.268134840142954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00B7-404C-A668-A94C4498BCF4}"/>
                </c:ext>
                <c:ext xmlns:c15="http://schemas.microsoft.com/office/drawing/2012/chart" uri="{CE6537A1-D6FC-4f65-9D91-7224C49458BB}"/>
              </c:extLst>
            </c:dLbl>
            <c:dLbl>
              <c:idx val="6"/>
              <c:layout>
                <c:manualLayout>
                  <c:x val="1.3562652834832094E-2"/>
                  <c:y val="-8.669921469110110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00B7-404C-A668-A94C4498BCF4}"/>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0.21</c:v>
                </c:pt>
                <c:pt idx="4" formatCode="0%">
                  <c:v>0.25</c:v>
                </c:pt>
                <c:pt idx="5" formatCode="0%">
                  <c:v>0.28000000000000003</c:v>
                </c:pt>
                <c:pt idx="6" formatCode="0%">
                  <c:v>0.28999999999999998</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462496592"/>
        <c:axId val="462497768"/>
      </c:barChart>
      <c:catAx>
        <c:axId val="4624965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97768"/>
        <c:crosses val="autoZero"/>
        <c:auto val="1"/>
        <c:lblAlgn val="ctr"/>
        <c:lblOffset val="100"/>
        <c:noMultiLvlLbl val="0"/>
      </c:catAx>
      <c:valAx>
        <c:axId val="462497768"/>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96592"/>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269</c:v>
                </c:pt>
                <c:pt idx="1">
                  <c:v>230</c:v>
                </c:pt>
                <c:pt idx="2">
                  <c:v>198</c:v>
                </c:pt>
                <c:pt idx="3">
                  <c:v>176</c:v>
                </c:pt>
                <c:pt idx="4">
                  <c:v>158</c:v>
                </c:pt>
                <c:pt idx="5">
                  <c:v>130</c:v>
                </c:pt>
                <c:pt idx="6">
                  <c:v>107</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5.4857784683800814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177</c:v>
                </c:pt>
                <c:pt idx="4">
                  <c:v>159</c:v>
                </c:pt>
                <c:pt idx="5">
                  <c:v>132</c:v>
                </c:pt>
                <c:pt idx="6">
                  <c:v>110</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462499336"/>
        <c:axId val="462500120"/>
      </c:barChart>
      <c:catAx>
        <c:axId val="4624993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500120"/>
        <c:crosses val="autoZero"/>
        <c:auto val="1"/>
        <c:lblAlgn val="ctr"/>
        <c:lblOffset val="100"/>
        <c:noMultiLvlLbl val="0"/>
      </c:catAx>
      <c:valAx>
        <c:axId val="46250012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499336"/>
        <c:crosses val="autoZero"/>
        <c:crossBetween val="between"/>
      </c:valAx>
      <c:spPr>
        <a:noFill/>
        <a:ln>
          <a:noFill/>
        </a:ln>
        <a:effectLst/>
      </c:spPr>
    </c:plotArea>
    <c:legend>
      <c:legendPos val="t"/>
      <c:layout>
        <c:manualLayout>
          <c:xMode val="edge"/>
          <c:yMode val="edge"/>
          <c:x val="0.1067062707832858"/>
          <c:y val="0.11892926637781874"/>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269</c:v>
                </c:pt>
                <c:pt idx="1">
                  <c:v>230</c:v>
                </c:pt>
                <c:pt idx="2">
                  <c:v>198</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7152160"/>
        <c:axId val="397153336"/>
      </c:barChart>
      <c:catAx>
        <c:axId val="3971521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53336"/>
        <c:crosses val="autoZero"/>
        <c:auto val="1"/>
        <c:lblAlgn val="ctr"/>
        <c:lblOffset val="100"/>
        <c:noMultiLvlLbl val="0"/>
      </c:catAx>
      <c:valAx>
        <c:axId val="3971533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152160"/>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19"/>
              <c:layout>
                <c:manualLayout>
                  <c:x val="-4.4839652956128418E-3"/>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95D-4EAA-A4AE-9DCF48A71F26}"/>
                </c:ext>
                <c:ext xmlns:c15="http://schemas.microsoft.com/office/drawing/2012/chart" uri="{CE6537A1-D6FC-4f65-9D91-7224C49458BB}"/>
              </c:extLst>
            </c:dLbl>
            <c:dLbl>
              <c:idx val="20"/>
              <c:layout>
                <c:manualLayout>
                  <c:x val="-3.8529828573688384E-2"/>
                  <c:y val="-3.228247835792869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95D-4EAA-A4AE-9DCF48A71F26}"/>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96</c:v>
                </c:pt>
                <c:pt idx="1">
                  <c:v>115</c:v>
                </c:pt>
                <c:pt idx="2">
                  <c:v>136</c:v>
                </c:pt>
                <c:pt idx="3">
                  <c:v>121</c:v>
                </c:pt>
                <c:pt idx="4">
                  <c:v>76</c:v>
                </c:pt>
                <c:pt idx="5">
                  <c:v>102</c:v>
                </c:pt>
                <c:pt idx="6">
                  <c:v>121</c:v>
                </c:pt>
                <c:pt idx="7">
                  <c:v>131</c:v>
                </c:pt>
                <c:pt idx="8">
                  <c:v>162</c:v>
                </c:pt>
                <c:pt idx="9">
                  <c:v>191</c:v>
                </c:pt>
                <c:pt idx="10">
                  <c:v>206</c:v>
                </c:pt>
                <c:pt idx="11">
                  <c:v>218</c:v>
                </c:pt>
                <c:pt idx="12">
                  <c:v>194</c:v>
                </c:pt>
                <c:pt idx="13">
                  <c:v>202</c:v>
                </c:pt>
                <c:pt idx="14">
                  <c:v>254</c:v>
                </c:pt>
                <c:pt idx="15">
                  <c:v>257</c:v>
                </c:pt>
                <c:pt idx="16">
                  <c:v>215</c:v>
                </c:pt>
                <c:pt idx="17">
                  <c:v>108</c:v>
                </c:pt>
                <c:pt idx="18">
                  <c:v>50</c:v>
                </c:pt>
                <c:pt idx="19">
                  <c:v>19</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47333912"/>
        <c:axId val="34733861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85</c:v>
                </c:pt>
                <c:pt idx="1">
                  <c:v>107</c:v>
                </c:pt>
                <c:pt idx="2">
                  <c:v>133</c:v>
                </c:pt>
                <c:pt idx="3">
                  <c:v>136</c:v>
                </c:pt>
                <c:pt idx="4">
                  <c:v>102</c:v>
                </c:pt>
                <c:pt idx="5">
                  <c:v>90</c:v>
                </c:pt>
                <c:pt idx="6">
                  <c:v>101</c:v>
                </c:pt>
                <c:pt idx="7">
                  <c:v>116</c:v>
                </c:pt>
                <c:pt idx="8">
                  <c:v>167</c:v>
                </c:pt>
                <c:pt idx="9">
                  <c:v>196</c:v>
                </c:pt>
                <c:pt idx="10">
                  <c:v>219</c:v>
                </c:pt>
                <c:pt idx="11">
                  <c:v>248</c:v>
                </c:pt>
                <c:pt idx="12">
                  <c:v>234</c:v>
                </c:pt>
                <c:pt idx="13">
                  <c:v>241</c:v>
                </c:pt>
                <c:pt idx="14">
                  <c:v>315</c:v>
                </c:pt>
                <c:pt idx="15">
                  <c:v>301</c:v>
                </c:pt>
                <c:pt idx="16">
                  <c:v>302</c:v>
                </c:pt>
                <c:pt idx="17">
                  <c:v>176</c:v>
                </c:pt>
                <c:pt idx="18">
                  <c:v>98</c:v>
                </c:pt>
                <c:pt idx="19">
                  <c:v>36</c:v>
                </c:pt>
                <c:pt idx="20">
                  <c:v>6</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47334696"/>
        <c:axId val="347337832"/>
      </c:barChart>
      <c:catAx>
        <c:axId val="3473339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338616"/>
        <c:crosses val="autoZero"/>
        <c:auto val="1"/>
        <c:lblAlgn val="ctr"/>
        <c:lblOffset val="100"/>
        <c:noMultiLvlLbl val="0"/>
      </c:catAx>
      <c:valAx>
        <c:axId val="347338616"/>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333912"/>
        <c:crosses val="autoZero"/>
        <c:crossBetween val="between"/>
        <c:majorUnit val="250"/>
      </c:valAx>
      <c:valAx>
        <c:axId val="34733783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334696"/>
        <c:crosses val="max"/>
        <c:crossBetween val="between"/>
        <c:majorUnit val="250"/>
      </c:valAx>
      <c:catAx>
        <c:axId val="347334696"/>
        <c:scaling>
          <c:orientation val="minMax"/>
        </c:scaling>
        <c:delete val="1"/>
        <c:axPos val="l"/>
        <c:numFmt formatCode="General" sourceLinked="1"/>
        <c:majorTickMark val="out"/>
        <c:minorTickMark val="none"/>
        <c:tickLblPos val="nextTo"/>
        <c:crossAx val="34733783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19"/>
              <c:layout>
                <c:manualLayout>
                  <c:x val="-6.726124491387413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CCC0-4638-A72C-CD04F93B3B98}"/>
                </c:ext>
                <c:ext xmlns:c15="http://schemas.microsoft.com/office/drawing/2012/chart" uri="{CE6537A1-D6FC-4f65-9D91-7224C49458BB}"/>
              </c:extLst>
            </c:dLbl>
            <c:dLbl>
              <c:idx val="20"/>
              <c:layout>
                <c:manualLayout>
                  <c:x val="-3.8530005121656559E-2"/>
                  <c:y val="-3.228119923892624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CCC0-4638-A72C-CD04F93B3B9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76</c:v>
                </c:pt>
                <c:pt idx="1">
                  <c:v>86</c:v>
                </c:pt>
                <c:pt idx="2">
                  <c:v>92</c:v>
                </c:pt>
                <c:pt idx="3">
                  <c:v>91</c:v>
                </c:pt>
                <c:pt idx="4">
                  <c:v>70</c:v>
                </c:pt>
                <c:pt idx="5">
                  <c:v>75</c:v>
                </c:pt>
                <c:pt idx="6">
                  <c:v>77</c:v>
                </c:pt>
                <c:pt idx="7">
                  <c:v>102</c:v>
                </c:pt>
                <c:pt idx="8">
                  <c:v>117</c:v>
                </c:pt>
                <c:pt idx="9">
                  <c:v>125</c:v>
                </c:pt>
                <c:pt idx="10">
                  <c:v>153</c:v>
                </c:pt>
                <c:pt idx="11">
                  <c:v>175</c:v>
                </c:pt>
                <c:pt idx="12">
                  <c:v>192</c:v>
                </c:pt>
                <c:pt idx="13">
                  <c:v>202</c:v>
                </c:pt>
                <c:pt idx="14">
                  <c:v>170</c:v>
                </c:pt>
                <c:pt idx="15">
                  <c:v>167</c:v>
                </c:pt>
                <c:pt idx="16">
                  <c:v>188</c:v>
                </c:pt>
                <c:pt idx="17">
                  <c:v>146</c:v>
                </c:pt>
                <c:pt idx="18">
                  <c:v>70</c:v>
                </c:pt>
                <c:pt idx="19">
                  <c:v>19</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47336656"/>
        <c:axId val="347334304"/>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68</c:v>
                </c:pt>
                <c:pt idx="1">
                  <c:v>80</c:v>
                </c:pt>
                <c:pt idx="2">
                  <c:v>90</c:v>
                </c:pt>
                <c:pt idx="3">
                  <c:v>93</c:v>
                </c:pt>
                <c:pt idx="4">
                  <c:v>73</c:v>
                </c:pt>
                <c:pt idx="5">
                  <c:v>79</c:v>
                </c:pt>
                <c:pt idx="6">
                  <c:v>89</c:v>
                </c:pt>
                <c:pt idx="7">
                  <c:v>86</c:v>
                </c:pt>
                <c:pt idx="8">
                  <c:v>100</c:v>
                </c:pt>
                <c:pt idx="9">
                  <c:v>110</c:v>
                </c:pt>
                <c:pt idx="10">
                  <c:v>158</c:v>
                </c:pt>
                <c:pt idx="11">
                  <c:v>189</c:v>
                </c:pt>
                <c:pt idx="12">
                  <c:v>213</c:v>
                </c:pt>
                <c:pt idx="13">
                  <c:v>237</c:v>
                </c:pt>
                <c:pt idx="14">
                  <c:v>224</c:v>
                </c:pt>
                <c:pt idx="15">
                  <c:v>224</c:v>
                </c:pt>
                <c:pt idx="16">
                  <c:v>269</c:v>
                </c:pt>
                <c:pt idx="17">
                  <c:v>220</c:v>
                </c:pt>
                <c:pt idx="18">
                  <c:v>134</c:v>
                </c:pt>
                <c:pt idx="19">
                  <c:v>37</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47337048"/>
        <c:axId val="347339400"/>
      </c:barChart>
      <c:catAx>
        <c:axId val="34733665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334304"/>
        <c:crosses val="autoZero"/>
        <c:auto val="1"/>
        <c:lblAlgn val="ctr"/>
        <c:lblOffset val="100"/>
        <c:noMultiLvlLbl val="0"/>
      </c:catAx>
      <c:valAx>
        <c:axId val="347334304"/>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336656"/>
        <c:crosses val="autoZero"/>
        <c:crossBetween val="between"/>
        <c:majorUnit val="250"/>
      </c:valAx>
      <c:valAx>
        <c:axId val="347339400"/>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337048"/>
        <c:crosses val="max"/>
        <c:crossBetween val="between"/>
        <c:majorUnit val="250"/>
      </c:valAx>
      <c:catAx>
        <c:axId val="347337048"/>
        <c:scaling>
          <c:orientation val="minMax"/>
        </c:scaling>
        <c:delete val="1"/>
        <c:axPos val="l"/>
        <c:numFmt formatCode="General" sourceLinked="1"/>
        <c:majorTickMark val="out"/>
        <c:minorTickMark val="none"/>
        <c:tickLblPos val="nextTo"/>
        <c:crossAx val="347339400"/>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20"/>
              <c:layout>
                <c:manualLayout>
                  <c:x val="-6.3352369474065084E-3"/>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4030-4DC2-9C23-D122ACC64C2F}"/>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177</c:v>
                </c:pt>
                <c:pt idx="1">
                  <c:v>220</c:v>
                </c:pt>
                <c:pt idx="2">
                  <c:v>267</c:v>
                </c:pt>
                <c:pt idx="3">
                  <c:v>255</c:v>
                </c:pt>
                <c:pt idx="4">
                  <c:v>178</c:v>
                </c:pt>
                <c:pt idx="5">
                  <c:v>188</c:v>
                </c:pt>
                <c:pt idx="6">
                  <c:v>218</c:v>
                </c:pt>
                <c:pt idx="7">
                  <c:v>247</c:v>
                </c:pt>
                <c:pt idx="8">
                  <c:v>328</c:v>
                </c:pt>
                <c:pt idx="9">
                  <c:v>386</c:v>
                </c:pt>
                <c:pt idx="10">
                  <c:v>425</c:v>
                </c:pt>
                <c:pt idx="11">
                  <c:v>466</c:v>
                </c:pt>
                <c:pt idx="12">
                  <c:v>428</c:v>
                </c:pt>
                <c:pt idx="13">
                  <c:v>443</c:v>
                </c:pt>
                <c:pt idx="14">
                  <c:v>569</c:v>
                </c:pt>
                <c:pt idx="15">
                  <c:v>558</c:v>
                </c:pt>
                <c:pt idx="16">
                  <c:v>517</c:v>
                </c:pt>
                <c:pt idx="17">
                  <c:v>284</c:v>
                </c:pt>
                <c:pt idx="18">
                  <c:v>148</c:v>
                </c:pt>
                <c:pt idx="19">
                  <c:v>55</c:v>
                </c:pt>
                <c:pt idx="20">
                  <c:v>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47332344"/>
        <c:axId val="34733273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181</c:v>
                </c:pt>
                <c:pt idx="1">
                  <c:v>222</c:v>
                </c:pt>
                <c:pt idx="2">
                  <c:v>269</c:v>
                </c:pt>
                <c:pt idx="3">
                  <c:v>257</c:v>
                </c:pt>
                <c:pt idx="4">
                  <c:v>178</c:v>
                </c:pt>
                <c:pt idx="5">
                  <c:v>192</c:v>
                </c:pt>
                <c:pt idx="6">
                  <c:v>222</c:v>
                </c:pt>
                <c:pt idx="7">
                  <c:v>247</c:v>
                </c:pt>
                <c:pt idx="8">
                  <c:v>329</c:v>
                </c:pt>
                <c:pt idx="9">
                  <c:v>387</c:v>
                </c:pt>
                <c:pt idx="10">
                  <c:v>425</c:v>
                </c:pt>
                <c:pt idx="11">
                  <c:v>466</c:v>
                </c:pt>
                <c:pt idx="12">
                  <c:v>428</c:v>
                </c:pt>
                <c:pt idx="13">
                  <c:v>443</c:v>
                </c:pt>
                <c:pt idx="14">
                  <c:v>569</c:v>
                </c:pt>
                <c:pt idx="15">
                  <c:v>558</c:v>
                </c:pt>
                <c:pt idx="16">
                  <c:v>517</c:v>
                </c:pt>
                <c:pt idx="17">
                  <c:v>284</c:v>
                </c:pt>
                <c:pt idx="18">
                  <c:v>148</c:v>
                </c:pt>
                <c:pt idx="19">
                  <c:v>55</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47337440"/>
        <c:axId val="347335872"/>
      </c:barChart>
      <c:catAx>
        <c:axId val="3473323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332736"/>
        <c:crosses val="autoZero"/>
        <c:auto val="1"/>
        <c:lblAlgn val="ctr"/>
        <c:lblOffset val="100"/>
        <c:noMultiLvlLbl val="0"/>
      </c:catAx>
      <c:valAx>
        <c:axId val="347332736"/>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332344"/>
        <c:crosses val="autoZero"/>
        <c:crossBetween val="between"/>
        <c:majorUnit val="500"/>
      </c:valAx>
      <c:valAx>
        <c:axId val="347335872"/>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337440"/>
        <c:crosses val="max"/>
        <c:crossBetween val="between"/>
        <c:majorUnit val="500"/>
      </c:valAx>
      <c:catAx>
        <c:axId val="347337440"/>
        <c:scaling>
          <c:orientation val="minMax"/>
        </c:scaling>
        <c:delete val="1"/>
        <c:axPos val="l"/>
        <c:numFmt formatCode="General" sourceLinked="1"/>
        <c:majorTickMark val="out"/>
        <c:minorTickMark val="none"/>
        <c:tickLblPos val="nextTo"/>
        <c:crossAx val="347335872"/>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20"/>
              <c:layout>
                <c:manualLayout>
                  <c:x val="-2.11032413641478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C69-4EE5-BC30-5469BE521783}"/>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139</c:v>
                </c:pt>
                <c:pt idx="1">
                  <c:v>162</c:v>
                </c:pt>
                <c:pt idx="2">
                  <c:v>176</c:v>
                </c:pt>
                <c:pt idx="3">
                  <c:v>181</c:v>
                </c:pt>
                <c:pt idx="4">
                  <c:v>141</c:v>
                </c:pt>
                <c:pt idx="5">
                  <c:v>148</c:v>
                </c:pt>
                <c:pt idx="6">
                  <c:v>162</c:v>
                </c:pt>
                <c:pt idx="7">
                  <c:v>184</c:v>
                </c:pt>
                <c:pt idx="8">
                  <c:v>212</c:v>
                </c:pt>
                <c:pt idx="9">
                  <c:v>234</c:v>
                </c:pt>
                <c:pt idx="10">
                  <c:v>310</c:v>
                </c:pt>
                <c:pt idx="11">
                  <c:v>363</c:v>
                </c:pt>
                <c:pt idx="12">
                  <c:v>405</c:v>
                </c:pt>
                <c:pt idx="13">
                  <c:v>439</c:v>
                </c:pt>
                <c:pt idx="14">
                  <c:v>394</c:v>
                </c:pt>
                <c:pt idx="15">
                  <c:v>391</c:v>
                </c:pt>
                <c:pt idx="16">
                  <c:v>457</c:v>
                </c:pt>
                <c:pt idx="17">
                  <c:v>366</c:v>
                </c:pt>
                <c:pt idx="18">
                  <c:v>204</c:v>
                </c:pt>
                <c:pt idx="19">
                  <c:v>56</c:v>
                </c:pt>
                <c:pt idx="20">
                  <c:v>6</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47338224"/>
        <c:axId val="347339008"/>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144</c:v>
                </c:pt>
                <c:pt idx="1">
                  <c:v>166</c:v>
                </c:pt>
                <c:pt idx="2">
                  <c:v>182</c:v>
                </c:pt>
                <c:pt idx="3">
                  <c:v>184</c:v>
                </c:pt>
                <c:pt idx="4">
                  <c:v>143</c:v>
                </c:pt>
                <c:pt idx="5">
                  <c:v>154</c:v>
                </c:pt>
                <c:pt idx="6">
                  <c:v>166</c:v>
                </c:pt>
                <c:pt idx="7">
                  <c:v>188</c:v>
                </c:pt>
                <c:pt idx="8">
                  <c:v>217</c:v>
                </c:pt>
                <c:pt idx="9">
                  <c:v>235</c:v>
                </c:pt>
                <c:pt idx="10">
                  <c:v>311</c:v>
                </c:pt>
                <c:pt idx="11">
                  <c:v>364</c:v>
                </c:pt>
                <c:pt idx="12">
                  <c:v>405</c:v>
                </c:pt>
                <c:pt idx="13">
                  <c:v>439</c:v>
                </c:pt>
                <c:pt idx="14">
                  <c:v>394</c:v>
                </c:pt>
                <c:pt idx="15">
                  <c:v>391</c:v>
                </c:pt>
                <c:pt idx="16">
                  <c:v>457</c:v>
                </c:pt>
                <c:pt idx="17">
                  <c:v>366</c:v>
                </c:pt>
                <c:pt idx="18">
                  <c:v>204</c:v>
                </c:pt>
                <c:pt idx="19">
                  <c:v>56</c:v>
                </c:pt>
                <c:pt idx="20">
                  <c:v>6</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47335088"/>
        <c:axId val="347333520"/>
      </c:barChart>
      <c:catAx>
        <c:axId val="34733822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339008"/>
        <c:crosses val="autoZero"/>
        <c:auto val="1"/>
        <c:lblAlgn val="ctr"/>
        <c:lblOffset val="100"/>
        <c:noMultiLvlLbl val="0"/>
      </c:catAx>
      <c:valAx>
        <c:axId val="347339008"/>
        <c:scaling>
          <c:orientation val="maxMin"/>
          <c:max val="1000"/>
          <c:min val="-150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338224"/>
        <c:crosses val="autoZero"/>
        <c:crossBetween val="between"/>
        <c:majorUnit val="500"/>
      </c:valAx>
      <c:valAx>
        <c:axId val="347333520"/>
        <c:scaling>
          <c:orientation val="minMax"/>
          <c:max val="1000"/>
          <c:min val="-150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47335088"/>
        <c:crosses val="max"/>
        <c:crossBetween val="between"/>
        <c:majorUnit val="500"/>
      </c:valAx>
      <c:catAx>
        <c:axId val="347335088"/>
        <c:scaling>
          <c:orientation val="minMax"/>
        </c:scaling>
        <c:delete val="1"/>
        <c:axPos val="l"/>
        <c:numFmt formatCode="General" sourceLinked="1"/>
        <c:majorTickMark val="out"/>
        <c:minorTickMark val="none"/>
        <c:tickLblPos val="nextTo"/>
        <c:crossAx val="347333520"/>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本庄小学校区</c:v>
                </c:pt>
              </c:strCache>
            </c:strRef>
          </c:cat>
          <c:val>
            <c:numRef>
              <c:f>管理者用地域特徴シート!$H$3:$H$5</c:f>
              <c:numCache>
                <c:formatCode>0.0%</c:formatCode>
                <c:ptCount val="3"/>
                <c:pt idx="0">
                  <c:v>0.46108733927332846</c:v>
                </c:pt>
                <c:pt idx="1">
                  <c:v>0.56187919463087244</c:v>
                </c:pt>
                <c:pt idx="2">
                  <c:v>0.52207691311666449</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62679720"/>
        <c:axId val="462681288"/>
      </c:barChart>
      <c:catAx>
        <c:axId val="4626797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1288"/>
        <c:crosses val="autoZero"/>
        <c:auto val="1"/>
        <c:lblAlgn val="ctr"/>
        <c:lblOffset val="100"/>
        <c:noMultiLvlLbl val="0"/>
      </c:catAx>
      <c:valAx>
        <c:axId val="46268128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797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本庄小学校区</c:v>
                </c:pt>
              </c:strCache>
            </c:strRef>
          </c:cat>
          <c:val>
            <c:numRef>
              <c:f>管理者用地域特徴シート!$J$3:$J$5</c:f>
              <c:numCache>
                <c:formatCode>0.0%</c:formatCode>
                <c:ptCount val="3"/>
                <c:pt idx="0">
                  <c:v>0.15075281438403673</c:v>
                </c:pt>
                <c:pt idx="1">
                  <c:v>0.17140939597315435</c:v>
                </c:pt>
                <c:pt idx="2">
                  <c:v>0.15702347632944549</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62682464"/>
        <c:axId val="462681680"/>
      </c:barChart>
      <c:catAx>
        <c:axId val="46268246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1680"/>
        <c:crosses val="autoZero"/>
        <c:auto val="1"/>
        <c:lblAlgn val="ctr"/>
        <c:lblOffset val="100"/>
        <c:noMultiLvlLbl val="0"/>
      </c:catAx>
      <c:valAx>
        <c:axId val="46268168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246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本庄小学校区</c:v>
                </c:pt>
              </c:strCache>
            </c:strRef>
          </c:cat>
          <c:val>
            <c:numRef>
              <c:f>管理者用地域特徴シート!$P$3:$P$5</c:f>
              <c:numCache>
                <c:formatCode>0.0%</c:formatCode>
                <c:ptCount val="3"/>
                <c:pt idx="0">
                  <c:v>0.34758352842621743</c:v>
                </c:pt>
                <c:pt idx="1">
                  <c:v>0.29095553864550494</c:v>
                </c:pt>
                <c:pt idx="2">
                  <c:v>0.31752623544106506</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62679328"/>
        <c:axId val="462680112"/>
      </c:barChart>
      <c:catAx>
        <c:axId val="46267932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0112"/>
        <c:crosses val="autoZero"/>
        <c:auto val="1"/>
        <c:lblAlgn val="ctr"/>
        <c:lblOffset val="100"/>
        <c:noMultiLvlLbl val="0"/>
      </c:catAx>
      <c:valAx>
        <c:axId val="46268011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79328"/>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本庄小学校区</c:v>
                </c:pt>
              </c:strCache>
            </c:strRef>
          </c:cat>
          <c:val>
            <c:numRef>
              <c:f>管理者用地域特徴シート!$AO$3:$AO$5</c:f>
              <c:numCache>
                <c:formatCode>0.0%</c:formatCode>
                <c:ptCount val="3"/>
                <c:pt idx="0">
                  <c:v>0.5259093009439566</c:v>
                </c:pt>
                <c:pt idx="1">
                  <c:v>0.53609181516158255</c:v>
                </c:pt>
                <c:pt idx="2">
                  <c:v>0.52421810495723109</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62686384"/>
        <c:axId val="462683248"/>
      </c:barChart>
      <c:catAx>
        <c:axId val="46268638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3248"/>
        <c:crosses val="autoZero"/>
        <c:auto val="1"/>
        <c:lblAlgn val="ctr"/>
        <c:lblOffset val="100"/>
        <c:noMultiLvlLbl val="0"/>
      </c:catAx>
      <c:valAx>
        <c:axId val="46268324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638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本庄小学校区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0.1221989953178827</c:v>
                </c:pt>
                <c:pt idx="1">
                  <c:v>2.2397372041680445E-4</c:v>
                </c:pt>
                <c:pt idx="2">
                  <c:v>0</c:v>
                </c:pt>
                <c:pt idx="3">
                  <c:v>9.8876398502575721E-2</c:v>
                </c:pt>
                <c:pt idx="4">
                  <c:v>0.12567058798434319</c:v>
                </c:pt>
                <c:pt idx="5">
                  <c:v>2.1997418969507579E-3</c:v>
                </c:pt>
                <c:pt idx="6">
                  <c:v>1.0796066594852872E-2</c:v>
                </c:pt>
                <c:pt idx="7">
                  <c:v>3.8646132187156713E-2</c:v>
                </c:pt>
                <c:pt idx="8">
                  <c:v>0.14207133029724511</c:v>
                </c:pt>
                <c:pt idx="9">
                  <c:v>1.2033254764774267E-2</c:v>
                </c:pt>
                <c:pt idx="10">
                  <c:v>1.0268128539584689E-2</c:v>
                </c:pt>
                <c:pt idx="11">
                  <c:v>1.996832371668391E-2</c:v>
                </c:pt>
                <c:pt idx="12">
                  <c:v>3.5334520749565383E-2</c:v>
                </c:pt>
                <c:pt idx="13">
                  <c:v>4.007796418553556E-2</c:v>
                </c:pt>
                <c:pt idx="14">
                  <c:v>3.62677445846354E-2</c:v>
                </c:pt>
                <c:pt idx="15">
                  <c:v>0.1925107454058724</c:v>
                </c:pt>
                <c:pt idx="16">
                  <c:v>1.7509945499728036E-2</c:v>
                </c:pt>
                <c:pt idx="17">
                  <c:v>5.5670801292648335E-2</c:v>
                </c:pt>
                <c:pt idx="18">
                  <c:v>3.5891788696792916E-2</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国富町平均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0.18755991053360316</c:v>
                </c:pt>
                <c:pt idx="1">
                  <c:v>2.1301523058898708E-4</c:v>
                </c:pt>
                <c:pt idx="2">
                  <c:v>0</c:v>
                </c:pt>
                <c:pt idx="3">
                  <c:v>0.10565555437213761</c:v>
                </c:pt>
                <c:pt idx="4">
                  <c:v>0.12344232612631803</c:v>
                </c:pt>
                <c:pt idx="5">
                  <c:v>2.4496751517733518E-3</c:v>
                </c:pt>
                <c:pt idx="6">
                  <c:v>8.3075939929704978E-3</c:v>
                </c:pt>
                <c:pt idx="7">
                  <c:v>3.5041005431888379E-2</c:v>
                </c:pt>
                <c:pt idx="8">
                  <c:v>0.13047182873575461</c:v>
                </c:pt>
                <c:pt idx="9">
                  <c:v>1.1289807221216317E-2</c:v>
                </c:pt>
                <c:pt idx="10">
                  <c:v>9.0531473000319516E-3</c:v>
                </c:pt>
                <c:pt idx="11">
                  <c:v>1.949089359889232E-2</c:v>
                </c:pt>
                <c:pt idx="12">
                  <c:v>3.2378315049526041E-2</c:v>
                </c:pt>
                <c:pt idx="13">
                  <c:v>3.173926935775908E-2</c:v>
                </c:pt>
                <c:pt idx="14">
                  <c:v>2.9289594205985727E-2</c:v>
                </c:pt>
                <c:pt idx="15">
                  <c:v>0.16881457024177229</c:v>
                </c:pt>
                <c:pt idx="16">
                  <c:v>1.5124081371818084E-2</c:v>
                </c:pt>
                <c:pt idx="17">
                  <c:v>5.6342528490787094E-2</c:v>
                </c:pt>
                <c:pt idx="18">
                  <c:v>3.1100223665992119E-2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62684032"/>
        <c:axId val="462680896"/>
      </c:barChart>
      <c:catAx>
        <c:axId val="4626840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0896"/>
        <c:crosses val="autoZero"/>
        <c:auto val="1"/>
        <c:lblAlgn val="ctr"/>
        <c:lblOffset val="100"/>
        <c:noMultiLvlLbl val="0"/>
      </c:catAx>
      <c:valAx>
        <c:axId val="462680896"/>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4032"/>
        <c:crosses val="autoZero"/>
        <c:crossBetween val="between"/>
      </c:valAx>
      <c:spPr>
        <a:noFill/>
        <a:ln>
          <a:noFill/>
        </a:ln>
        <a:effectLst/>
      </c:spPr>
    </c:plotArea>
    <c:legend>
      <c:legendPos val="b"/>
      <c:layout>
        <c:manualLayout>
          <c:xMode val="edge"/>
          <c:yMode val="edge"/>
          <c:x val="0.52327632989538275"/>
          <c:y val="9.5239711905191704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国富町平均</c:v>
                </c:pt>
                <c:pt idx="2">
                  <c:v>本庄小学校区</c:v>
                </c:pt>
              </c:strCache>
            </c:strRef>
          </c:cat>
          <c:val>
            <c:numRef>
              <c:f>管理者用地域特徴シート!$CK$3:$CK$5</c:f>
              <c:numCache>
                <c:formatCode>0.0%</c:formatCode>
                <c:ptCount val="3"/>
                <c:pt idx="0">
                  <c:v>0.82747216160708559</c:v>
                </c:pt>
                <c:pt idx="1">
                  <c:v>0.58366173181382464</c:v>
                </c:pt>
                <c:pt idx="2">
                  <c:v>0.56721344695555731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62684424"/>
        <c:axId val="462684816"/>
      </c:barChart>
      <c:catAx>
        <c:axId val="4626844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4816"/>
        <c:crosses val="autoZero"/>
        <c:auto val="1"/>
        <c:lblAlgn val="ctr"/>
        <c:lblOffset val="100"/>
        <c:noMultiLvlLbl val="0"/>
      </c:catAx>
      <c:valAx>
        <c:axId val="46268481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626844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0.24</c:v>
                </c:pt>
                <c:pt idx="1">
                  <c:v>0.28999999999999998</c:v>
                </c:pt>
                <c:pt idx="2">
                  <c:v>0.34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8512728"/>
        <c:axId val="398513904"/>
      </c:barChart>
      <c:catAx>
        <c:axId val="3985127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3904"/>
        <c:crosses val="autoZero"/>
        <c:auto val="1"/>
        <c:lblAlgn val="ctr"/>
        <c:lblOffset val="100"/>
        <c:noMultiLvlLbl val="0"/>
      </c:catAx>
      <c:valAx>
        <c:axId val="39851390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2728"/>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0.12</c:v>
                </c:pt>
                <c:pt idx="1">
                  <c:v>0.15</c:v>
                </c:pt>
                <c:pt idx="2">
                  <c:v>0.17</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8506456"/>
        <c:axId val="398509984"/>
      </c:barChart>
      <c:catAx>
        <c:axId val="3985064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09984"/>
        <c:crosses val="autoZero"/>
        <c:auto val="1"/>
        <c:lblAlgn val="ctr"/>
        <c:lblOffset val="100"/>
        <c:noMultiLvlLbl val="0"/>
      </c:catAx>
      <c:valAx>
        <c:axId val="3985099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06456"/>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2.0602816540339608E-3"/>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5D18-43E7-BCB3-38476E6A8E67}"/>
                </c:ext>
                <c:ext xmlns:c15="http://schemas.microsoft.com/office/drawing/2012/chart" uri="{CE6537A1-D6FC-4f65-9D91-7224C49458BB}"/>
              </c:extLst>
            </c:dLbl>
            <c:dLbl>
              <c:idx val="20"/>
              <c:layout>
                <c:manualLayout>
                  <c:x val="-3.4931979715198271E-2"/>
                  <c:y val="-3.4818220786176236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D18-43E7-BCB3-38476E6A8E6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162</c:v>
                </c:pt>
                <c:pt idx="1">
                  <c:v>210</c:v>
                </c:pt>
                <c:pt idx="2">
                  <c:v>235</c:v>
                </c:pt>
                <c:pt idx="3">
                  <c:v>208</c:v>
                </c:pt>
                <c:pt idx="4">
                  <c:v>162</c:v>
                </c:pt>
                <c:pt idx="5">
                  <c:v>215</c:v>
                </c:pt>
                <c:pt idx="6">
                  <c:v>233</c:v>
                </c:pt>
                <c:pt idx="7">
                  <c:v>252</c:v>
                </c:pt>
                <c:pt idx="8">
                  <c:v>224</c:v>
                </c:pt>
                <c:pt idx="9">
                  <c:v>232</c:v>
                </c:pt>
                <c:pt idx="10">
                  <c:v>309</c:v>
                </c:pt>
                <c:pt idx="11">
                  <c:v>343</c:v>
                </c:pt>
                <c:pt idx="12">
                  <c:v>326</c:v>
                </c:pt>
                <c:pt idx="13">
                  <c:v>227</c:v>
                </c:pt>
                <c:pt idx="14">
                  <c:v>216</c:v>
                </c:pt>
                <c:pt idx="15">
                  <c:v>199</c:v>
                </c:pt>
                <c:pt idx="16">
                  <c:v>133</c:v>
                </c:pt>
                <c:pt idx="17">
                  <c:v>42</c:v>
                </c:pt>
                <c:pt idx="18">
                  <c:v>19</c:v>
                </c:pt>
                <c:pt idx="19">
                  <c:v>3</c:v>
                </c:pt>
                <c:pt idx="20">
                  <c:v>2</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8511944"/>
        <c:axId val="39851312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185</c:v>
                </c:pt>
                <c:pt idx="1">
                  <c:v>183</c:v>
                </c:pt>
                <c:pt idx="2">
                  <c:v>242</c:v>
                </c:pt>
                <c:pt idx="3">
                  <c:v>183</c:v>
                </c:pt>
                <c:pt idx="4">
                  <c:v>202</c:v>
                </c:pt>
                <c:pt idx="5">
                  <c:v>213</c:v>
                </c:pt>
                <c:pt idx="6">
                  <c:v>248</c:v>
                </c:pt>
                <c:pt idx="7">
                  <c:v>270</c:v>
                </c:pt>
                <c:pt idx="8">
                  <c:v>260</c:v>
                </c:pt>
                <c:pt idx="9">
                  <c:v>260</c:v>
                </c:pt>
                <c:pt idx="10">
                  <c:v>334</c:v>
                </c:pt>
                <c:pt idx="11">
                  <c:v>339</c:v>
                </c:pt>
                <c:pt idx="12">
                  <c:v>383</c:v>
                </c:pt>
                <c:pt idx="13">
                  <c:v>253</c:v>
                </c:pt>
                <c:pt idx="14">
                  <c:v>253</c:v>
                </c:pt>
                <c:pt idx="15">
                  <c:v>241</c:v>
                </c:pt>
                <c:pt idx="16">
                  <c:v>207</c:v>
                </c:pt>
                <c:pt idx="17">
                  <c:v>124</c:v>
                </c:pt>
                <c:pt idx="18">
                  <c:v>54</c:v>
                </c:pt>
                <c:pt idx="19">
                  <c:v>16</c:v>
                </c:pt>
                <c:pt idx="20">
                  <c:v>3</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8507240"/>
        <c:axId val="398513512"/>
      </c:barChart>
      <c:catAx>
        <c:axId val="39851194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3120"/>
        <c:crosses val="autoZero"/>
        <c:auto val="1"/>
        <c:lblAlgn val="ctr"/>
        <c:lblOffset val="100"/>
        <c:noMultiLvlLbl val="0"/>
      </c:catAx>
      <c:valAx>
        <c:axId val="39851312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1944"/>
        <c:crosses val="autoZero"/>
        <c:crossBetween val="between"/>
        <c:majorUnit val="250"/>
      </c:valAx>
      <c:valAx>
        <c:axId val="398513512"/>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07240"/>
        <c:crosses val="max"/>
        <c:crossBetween val="between"/>
        <c:majorUnit val="250"/>
      </c:valAx>
      <c:catAx>
        <c:axId val="398507240"/>
        <c:scaling>
          <c:orientation val="minMax"/>
        </c:scaling>
        <c:delete val="1"/>
        <c:axPos val="l"/>
        <c:numFmt formatCode="General" sourceLinked="1"/>
        <c:majorTickMark val="out"/>
        <c:minorTickMark val="none"/>
        <c:tickLblPos val="nextTo"/>
        <c:crossAx val="3985135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3952</c:v>
                </c:pt>
                <c:pt idx="1">
                  <c:v>3672</c:v>
                </c:pt>
                <c:pt idx="2">
                  <c:v>3513</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4453</c:v>
                </c:pt>
                <c:pt idx="1">
                  <c:v>4225</c:v>
                </c:pt>
                <c:pt idx="2">
                  <c:v>3982</c:v>
                </c:pt>
              </c:numCache>
            </c:numRef>
          </c:val>
          <c:extLst xmlns:c16r2="http://schemas.microsoft.com/office/drawing/2015/06/chart">
            <c:ext xmlns:c16="http://schemas.microsoft.com/office/drawing/2014/chart" uri="{C3380CC4-5D6E-409C-BE32-E72D297353CC}">
              <c16:uniqueId val="{00000000-BE76-481C-8CA2-9678ADC28D74}"/>
            </c:ext>
          </c:extLst>
        </c:ser>
        <c:dLbls>
          <c:showLegendKey val="0"/>
          <c:showVal val="0"/>
          <c:showCatName val="0"/>
          <c:showSerName val="0"/>
          <c:showPercent val="0"/>
          <c:showBubbleSize val="0"/>
        </c:dLbls>
        <c:gapWidth val="219"/>
        <c:overlap val="100"/>
        <c:axId val="398510376"/>
        <c:axId val="39851233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dLbl>
              <c:idx val="2"/>
              <c:layout>
                <c:manualLayout>
                  <c:x val="-6.9995829549231434E-2"/>
                  <c:y val="-3.9847804937680503E-2"/>
                </c:manualLayout>
              </c:layout>
              <c:dLblPos val="r"/>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BE76-481C-8CA2-9678ADC28D74}"/>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8405</c:v>
                </c:pt>
                <c:pt idx="1">
                  <c:v>7897</c:v>
                </c:pt>
                <c:pt idx="2">
                  <c:v>7495</c:v>
                </c:pt>
              </c:numCache>
            </c:numRef>
          </c:val>
          <c:smooth val="0"/>
          <c:extLst xmlns:c16r2="http://schemas.microsoft.com/office/drawing/2015/06/chart">
            <c:ext xmlns:c16="http://schemas.microsoft.com/office/drawing/2014/chart" uri="{C3380CC4-5D6E-409C-BE32-E72D297353CC}">
              <c16:uniqueId val="{00000002-BE76-481C-8CA2-9678ADC28D74}"/>
            </c:ext>
          </c:extLst>
        </c:ser>
        <c:dLbls>
          <c:showLegendKey val="0"/>
          <c:showVal val="0"/>
          <c:showCatName val="0"/>
          <c:showSerName val="0"/>
          <c:showPercent val="0"/>
          <c:showBubbleSize val="0"/>
        </c:dLbls>
        <c:marker val="1"/>
        <c:smooth val="0"/>
        <c:axId val="398510376"/>
        <c:axId val="398512336"/>
      </c:lineChart>
      <c:catAx>
        <c:axId val="3985103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2336"/>
        <c:crosses val="autoZero"/>
        <c:auto val="1"/>
        <c:lblAlgn val="ctr"/>
        <c:lblOffset val="100"/>
        <c:noMultiLvlLbl val="0"/>
      </c:catAx>
      <c:valAx>
        <c:axId val="3985123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8510376"/>
        <c:crosses val="autoZero"/>
        <c:crossBetween val="between"/>
      </c:valAx>
      <c:spPr>
        <a:noFill/>
        <a:ln>
          <a:noFill/>
        </a:ln>
        <a:effectLst/>
      </c:spPr>
    </c:plotArea>
    <c:legend>
      <c:legendPos val="t"/>
      <c:legendEntry>
        <c:idx val="2"/>
        <c:delete val="1"/>
      </c:legendEntry>
      <c:layout>
        <c:manualLayout>
          <c:xMode val="edge"/>
          <c:yMode val="edge"/>
          <c:x val="0.70851122072725436"/>
          <c:y val="4.0072532051118798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19"/>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0E98-4DCF-9959-C5B1E8ACC5A8}"/>
                </c:ext>
                <c:ext xmlns:c15="http://schemas.microsoft.com/office/drawing/2012/chart" uri="{CE6537A1-D6FC-4f65-9D91-7224C49458BB}"/>
              </c:extLst>
            </c:dLbl>
            <c:dLbl>
              <c:idx val="20"/>
              <c:layout>
                <c:manualLayout>
                  <c:x val="-5.348361736621880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E98-4DCF-9959-C5B1E8ACC5A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142</c:v>
                </c:pt>
                <c:pt idx="1">
                  <c:v>152</c:v>
                </c:pt>
                <c:pt idx="2">
                  <c:v>148</c:v>
                </c:pt>
                <c:pt idx="3">
                  <c:v>166</c:v>
                </c:pt>
                <c:pt idx="4">
                  <c:v>120</c:v>
                </c:pt>
                <c:pt idx="5">
                  <c:v>131</c:v>
                </c:pt>
                <c:pt idx="6">
                  <c:v>167</c:v>
                </c:pt>
                <c:pt idx="7">
                  <c:v>201</c:v>
                </c:pt>
                <c:pt idx="8">
                  <c:v>218</c:v>
                </c:pt>
                <c:pt idx="9">
                  <c:v>239</c:v>
                </c:pt>
                <c:pt idx="10">
                  <c:v>209</c:v>
                </c:pt>
                <c:pt idx="11">
                  <c:v>218</c:v>
                </c:pt>
                <c:pt idx="12">
                  <c:v>291</c:v>
                </c:pt>
                <c:pt idx="13">
                  <c:v>312</c:v>
                </c:pt>
                <c:pt idx="14">
                  <c:v>291</c:v>
                </c:pt>
                <c:pt idx="15">
                  <c:v>191</c:v>
                </c:pt>
                <c:pt idx="16">
                  <c:v>154</c:v>
                </c:pt>
                <c:pt idx="17">
                  <c:v>107</c:v>
                </c:pt>
                <c:pt idx="18">
                  <c:v>47</c:v>
                </c:pt>
                <c:pt idx="19">
                  <c:v>8</c:v>
                </c:pt>
                <c:pt idx="20">
                  <c:v>1</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397819192"/>
        <c:axId val="397816840"/>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126</c:v>
                </c:pt>
                <c:pt idx="1">
                  <c:v>156</c:v>
                </c:pt>
                <c:pt idx="2">
                  <c:v>185</c:v>
                </c:pt>
                <c:pt idx="3">
                  <c:v>156</c:v>
                </c:pt>
                <c:pt idx="4">
                  <c:v>117</c:v>
                </c:pt>
                <c:pt idx="5">
                  <c:v>122</c:v>
                </c:pt>
                <c:pt idx="6">
                  <c:v>170</c:v>
                </c:pt>
                <c:pt idx="7">
                  <c:v>207</c:v>
                </c:pt>
                <c:pt idx="8">
                  <c:v>231</c:v>
                </c:pt>
                <c:pt idx="9">
                  <c:v>257</c:v>
                </c:pt>
                <c:pt idx="10">
                  <c:v>241</c:v>
                </c:pt>
                <c:pt idx="11">
                  <c:v>252</c:v>
                </c:pt>
                <c:pt idx="12">
                  <c:v>330</c:v>
                </c:pt>
                <c:pt idx="13">
                  <c:v>323</c:v>
                </c:pt>
                <c:pt idx="14">
                  <c:v>354</c:v>
                </c:pt>
                <c:pt idx="15">
                  <c:v>241</c:v>
                </c:pt>
                <c:pt idx="16">
                  <c:v>220</c:v>
                </c:pt>
                <c:pt idx="17">
                  <c:v>172</c:v>
                </c:pt>
                <c:pt idx="18">
                  <c:v>94</c:v>
                </c:pt>
                <c:pt idx="19">
                  <c:v>22</c:v>
                </c:pt>
                <c:pt idx="20">
                  <c:v>6</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397822720"/>
        <c:axId val="397822328"/>
      </c:barChart>
      <c:catAx>
        <c:axId val="3978191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16840"/>
        <c:crosses val="autoZero"/>
        <c:auto val="1"/>
        <c:lblAlgn val="ctr"/>
        <c:lblOffset val="100"/>
        <c:noMultiLvlLbl val="0"/>
      </c:catAx>
      <c:valAx>
        <c:axId val="397816840"/>
        <c:scaling>
          <c:orientation val="maxMin"/>
          <c:max val="500"/>
          <c:min val="-750"/>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19192"/>
        <c:crosses val="autoZero"/>
        <c:crossBetween val="between"/>
        <c:majorUnit val="250"/>
      </c:valAx>
      <c:valAx>
        <c:axId val="397822328"/>
        <c:scaling>
          <c:orientation val="minMax"/>
          <c:max val="500"/>
          <c:min val="-750"/>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22720"/>
        <c:crosses val="max"/>
        <c:crossBetween val="between"/>
        <c:majorUnit val="250"/>
      </c:valAx>
      <c:catAx>
        <c:axId val="397822720"/>
        <c:scaling>
          <c:orientation val="minMax"/>
        </c:scaling>
        <c:delete val="1"/>
        <c:axPos val="l"/>
        <c:numFmt formatCode="General" sourceLinked="1"/>
        <c:majorTickMark val="out"/>
        <c:minorTickMark val="none"/>
        <c:tickLblPos val="nextTo"/>
        <c:crossAx val="39782232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05A5-4426-AB6D-ABABB1A21C42}"/>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05A5-4426-AB6D-ABABB1A21C42}"/>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05A5-4426-AB6D-ABABB1A21C42}"/>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05A5-4426-AB6D-ABABB1A21C42}"/>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05A5-4426-AB6D-ABABB1A21C42}"/>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3952</c:v>
                </c:pt>
                <c:pt idx="1">
                  <c:v>3672</c:v>
                </c:pt>
                <c:pt idx="2">
                  <c:v>3513</c:v>
                </c:pt>
                <c:pt idx="3">
                  <c:v>3248</c:v>
                </c:pt>
                <c:pt idx="4">
                  <c:v>2965</c:v>
                </c:pt>
                <c:pt idx="5">
                  <c:v>2672</c:v>
                </c:pt>
                <c:pt idx="6">
                  <c:v>2375</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05A5-4426-AB6D-ABABB1A21C42}"/>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05A5-4426-AB6D-ABABB1A21C42}"/>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05A5-4426-AB6D-ABABB1A21C42}"/>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4453</c:v>
                </c:pt>
                <c:pt idx="1">
                  <c:v>4225</c:v>
                </c:pt>
                <c:pt idx="2">
                  <c:v>3982</c:v>
                </c:pt>
                <c:pt idx="3">
                  <c:v>3703</c:v>
                </c:pt>
                <c:pt idx="4">
                  <c:v>3398</c:v>
                </c:pt>
                <c:pt idx="5">
                  <c:v>3081</c:v>
                </c:pt>
                <c:pt idx="6">
                  <c:v>2755</c:v>
                </c:pt>
              </c:numCache>
            </c:numRef>
          </c:val>
          <c:extLst xmlns:c16r2="http://schemas.microsoft.com/office/drawing/2015/06/chart">
            <c:ext xmlns:c16="http://schemas.microsoft.com/office/drawing/2014/chart" uri="{C3380CC4-5D6E-409C-BE32-E72D297353CC}">
              <c16:uniqueId val="{00000010-05A5-4426-AB6D-ABABB1A21C42}"/>
            </c:ext>
          </c:extLst>
        </c:ser>
        <c:dLbls>
          <c:showLegendKey val="0"/>
          <c:showVal val="0"/>
          <c:showCatName val="0"/>
          <c:showSerName val="0"/>
          <c:showPercent val="0"/>
          <c:showBubbleSize val="0"/>
        </c:dLbls>
        <c:gapWidth val="219"/>
        <c:overlap val="100"/>
        <c:axId val="397817232"/>
        <c:axId val="39781840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8405</c:v>
                </c:pt>
                <c:pt idx="1">
                  <c:v>7897</c:v>
                </c:pt>
                <c:pt idx="2">
                  <c:v>7495</c:v>
                </c:pt>
                <c:pt idx="3">
                  <c:v>6951</c:v>
                </c:pt>
                <c:pt idx="4">
                  <c:v>6363</c:v>
                </c:pt>
                <c:pt idx="5">
                  <c:v>5753</c:v>
                </c:pt>
                <c:pt idx="6">
                  <c:v>5130</c:v>
                </c:pt>
              </c:numCache>
            </c:numRef>
          </c:val>
          <c:smooth val="0"/>
          <c:extLst xmlns:c16r2="http://schemas.microsoft.com/office/drawing/2015/06/chart">
            <c:ext xmlns:c16="http://schemas.microsoft.com/office/drawing/2014/chart" uri="{C3380CC4-5D6E-409C-BE32-E72D297353CC}">
              <c16:uniqueId val="{00000011-05A5-4426-AB6D-ABABB1A21C42}"/>
            </c:ext>
          </c:extLst>
        </c:ser>
        <c:dLbls>
          <c:showLegendKey val="0"/>
          <c:showVal val="0"/>
          <c:showCatName val="0"/>
          <c:showSerName val="0"/>
          <c:showPercent val="0"/>
          <c:showBubbleSize val="0"/>
        </c:dLbls>
        <c:marker val="1"/>
        <c:smooth val="0"/>
        <c:axId val="397817232"/>
        <c:axId val="397818408"/>
      </c:lineChart>
      <c:catAx>
        <c:axId val="397817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18408"/>
        <c:crosses val="autoZero"/>
        <c:auto val="1"/>
        <c:lblAlgn val="ctr"/>
        <c:lblOffset val="100"/>
        <c:noMultiLvlLbl val="0"/>
      </c:catAx>
      <c:valAx>
        <c:axId val="3978184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17232"/>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522</c:v>
                </c:pt>
                <c:pt idx="1">
                  <c:v>426</c:v>
                </c:pt>
                <c:pt idx="2">
                  <c:v>385</c:v>
                </c:pt>
                <c:pt idx="3">
                  <c:v>345</c:v>
                </c:pt>
                <c:pt idx="4">
                  <c:v>292</c:v>
                </c:pt>
                <c:pt idx="5">
                  <c:v>236</c:v>
                </c:pt>
                <c:pt idx="6">
                  <c:v>203</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397821544"/>
        <c:axId val="397817624"/>
      </c:barChart>
      <c:catAx>
        <c:axId val="3978215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17624"/>
        <c:crosses val="autoZero"/>
        <c:auto val="1"/>
        <c:lblAlgn val="ctr"/>
        <c:lblOffset val="100"/>
        <c:noMultiLvlLbl val="0"/>
      </c:catAx>
      <c:valAx>
        <c:axId val="397817624"/>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8215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431819</xdr:colOff>
      <xdr:row>49</xdr:row>
      <xdr:rowOff>190108</xdr:rowOff>
    </xdr:from>
    <xdr:to>
      <xdr:col>1</xdr:col>
      <xdr:colOff>463221</xdr:colOff>
      <xdr:row>50</xdr:row>
      <xdr:rowOff>215907</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431819" y="12852755"/>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98377</xdr:colOff>
      <xdr:row>97</xdr:row>
      <xdr:rowOff>246268</xdr:rowOff>
    </xdr:from>
    <xdr:to>
      <xdr:col>1</xdr:col>
      <xdr:colOff>129779</xdr:colOff>
      <xdr:row>98</xdr:row>
      <xdr:rowOff>272067</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98377" y="27117974"/>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0.0507</cdr:x>
      <cdr:y>0.07514</cdr:y>
    </cdr:from>
    <cdr:to>
      <cdr:x>0.19416</cdr:x>
      <cdr:y>0.17304</cdr:y>
    </cdr:to>
    <cdr:sp macro="" textlink="">
      <cdr:nvSpPr>
        <cdr:cNvPr id="2" name="テキスト ボックス 1"/>
        <cdr:cNvSpPr txBox="1"/>
      </cdr:nvSpPr>
      <cdr:spPr>
        <a:xfrm xmlns:a="http://schemas.openxmlformats.org/drawingml/2006/main">
          <a:off x="311919"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0.07032</cdr:x>
      <cdr:y>0.04003</cdr:y>
    </cdr:from>
    <cdr:to>
      <cdr:x>0.19039</cdr:x>
      <cdr:y>0.10807</cdr:y>
    </cdr:to>
    <cdr:sp macro="" textlink="">
      <cdr:nvSpPr>
        <cdr:cNvPr id="2" name="テキスト ボックス 13"/>
        <cdr:cNvSpPr txBox="1"/>
      </cdr:nvSpPr>
      <cdr:spPr>
        <a:xfrm xmlns:a="http://schemas.openxmlformats.org/drawingml/2006/main">
          <a:off x="431800" y="196475"/>
          <a:ext cx="737347" cy="33393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627529</xdr:colOff>
      <xdr:row>14</xdr:row>
      <xdr:rowOff>13073</xdr:rowOff>
    </xdr:from>
    <xdr:to>
      <xdr:col>2</xdr:col>
      <xdr:colOff>56028</xdr:colOff>
      <xdr:row>15</xdr:row>
      <xdr:rowOff>35484</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7529" y="4428191"/>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4" t="s">
        <v>322</v>
      </c>
      <c r="B8" s="244"/>
      <c r="C8" s="244"/>
      <c r="D8" s="244"/>
      <c r="E8" s="244"/>
      <c r="F8" s="244"/>
      <c r="G8" s="244"/>
      <c r="H8" s="244"/>
      <c r="I8" s="244"/>
      <c r="J8" s="244"/>
    </row>
    <row r="9" spans="1:10" x14ac:dyDescent="0.15">
      <c r="A9" s="247" t="s">
        <v>357</v>
      </c>
      <c r="B9" s="247"/>
      <c r="C9" s="247"/>
      <c r="D9" s="247"/>
      <c r="E9" s="247"/>
      <c r="F9" s="247"/>
      <c r="G9" s="247"/>
      <c r="H9" s="247"/>
      <c r="I9" s="247"/>
      <c r="J9" s="247"/>
    </row>
    <row r="10" spans="1:10" x14ac:dyDescent="0.15">
      <c r="A10" s="247"/>
      <c r="B10" s="247"/>
      <c r="C10" s="247"/>
      <c r="D10" s="247"/>
      <c r="E10" s="247"/>
      <c r="F10" s="247"/>
      <c r="G10" s="247"/>
      <c r="H10" s="247"/>
      <c r="I10" s="247"/>
      <c r="J10" s="247"/>
    </row>
    <row r="11" spans="1:10" x14ac:dyDescent="0.15">
      <c r="A11" s="247"/>
      <c r="B11" s="247"/>
      <c r="C11" s="247"/>
      <c r="D11" s="247"/>
      <c r="E11" s="247"/>
      <c r="F11" s="247"/>
      <c r="G11" s="247"/>
      <c r="H11" s="247"/>
      <c r="I11" s="247"/>
      <c r="J11" s="247"/>
    </row>
    <row r="12" spans="1:10" x14ac:dyDescent="0.15">
      <c r="A12" s="247"/>
      <c r="B12" s="247"/>
      <c r="C12" s="247"/>
      <c r="D12" s="247"/>
      <c r="E12" s="247"/>
      <c r="F12" s="247"/>
      <c r="G12" s="247"/>
      <c r="H12" s="247"/>
      <c r="I12" s="247"/>
      <c r="J12" s="247"/>
    </row>
    <row r="15" spans="1:10" ht="18.75" customHeight="1" x14ac:dyDescent="0.15">
      <c r="A15" s="245" t="str">
        <f>管理者入力シート!B4</f>
        <v>本庄小学校区</v>
      </c>
      <c r="B15" s="245"/>
      <c r="C15" s="245"/>
      <c r="D15" s="245"/>
      <c r="E15" s="245"/>
      <c r="F15" s="245"/>
      <c r="G15" s="245"/>
      <c r="H15" s="245"/>
      <c r="I15" s="245"/>
      <c r="J15" s="245"/>
    </row>
    <row r="16" spans="1:10" ht="18.75" customHeight="1" x14ac:dyDescent="0.15">
      <c r="A16" s="245"/>
      <c r="B16" s="245"/>
      <c r="C16" s="245"/>
      <c r="D16" s="245"/>
      <c r="E16" s="245"/>
      <c r="F16" s="245"/>
      <c r="G16" s="245"/>
      <c r="H16" s="245"/>
      <c r="I16" s="245"/>
      <c r="J16" s="245"/>
    </row>
    <row r="19" spans="1:10" ht="18.75" customHeight="1" x14ac:dyDescent="0.15">
      <c r="A19" s="246" t="s">
        <v>358</v>
      </c>
      <c r="B19" s="246"/>
      <c r="C19" s="246"/>
      <c r="D19" s="246"/>
      <c r="E19" s="246"/>
      <c r="F19" s="246"/>
      <c r="G19" s="246"/>
      <c r="H19" s="246"/>
      <c r="I19" s="246"/>
      <c r="J19" s="246"/>
    </row>
    <row r="20" spans="1:10" x14ac:dyDescent="0.15">
      <c r="A20" s="246"/>
      <c r="B20" s="246"/>
      <c r="C20" s="246"/>
      <c r="D20" s="246"/>
      <c r="E20" s="246"/>
      <c r="F20" s="246"/>
      <c r="G20" s="246"/>
      <c r="H20" s="246"/>
      <c r="I20" s="246"/>
      <c r="J20" s="246"/>
    </row>
    <row r="21" spans="1:10" x14ac:dyDescent="0.15">
      <c r="A21" s="246"/>
      <c r="B21" s="246"/>
      <c r="C21" s="246"/>
      <c r="D21" s="246"/>
      <c r="E21" s="246"/>
      <c r="F21" s="246"/>
      <c r="G21" s="246"/>
      <c r="H21" s="246"/>
      <c r="I21" s="246"/>
      <c r="J21" s="246"/>
    </row>
    <row r="22" spans="1:10" x14ac:dyDescent="0.15">
      <c r="A22" s="246"/>
      <c r="B22" s="246"/>
      <c r="C22" s="246"/>
      <c r="D22" s="246"/>
      <c r="E22" s="246"/>
      <c r="F22" s="246"/>
      <c r="G22" s="246"/>
      <c r="H22" s="246"/>
      <c r="I22" s="246"/>
      <c r="J22" s="246"/>
    </row>
    <row r="23" spans="1:10" x14ac:dyDescent="0.15">
      <c r="A23" s="246"/>
      <c r="B23" s="246"/>
      <c r="C23" s="246"/>
      <c r="D23" s="246"/>
      <c r="E23" s="246"/>
      <c r="F23" s="246"/>
      <c r="G23" s="246"/>
      <c r="H23" s="246"/>
      <c r="I23" s="246"/>
      <c r="J23" s="246"/>
    </row>
    <row r="24" spans="1:10" x14ac:dyDescent="0.15">
      <c r="A24" s="246"/>
      <c r="B24" s="246"/>
      <c r="C24" s="246"/>
      <c r="D24" s="246"/>
      <c r="E24" s="246"/>
      <c r="F24" s="246"/>
      <c r="G24" s="246"/>
      <c r="H24" s="246"/>
      <c r="I24" s="246"/>
      <c r="J24" s="246"/>
    </row>
    <row r="25" spans="1:10" x14ac:dyDescent="0.15">
      <c r="A25" s="246"/>
      <c r="B25" s="246"/>
      <c r="C25" s="246"/>
      <c r="D25" s="246"/>
      <c r="E25" s="246"/>
      <c r="F25" s="246"/>
      <c r="G25" s="246"/>
      <c r="H25" s="246"/>
      <c r="I25" s="246"/>
      <c r="J25" s="246"/>
    </row>
    <row r="26" spans="1:10" ht="19.5" thickBot="1" x14ac:dyDescent="0.2"/>
    <row r="27" spans="1:10" x14ac:dyDescent="0.15">
      <c r="A27" s="97" t="s">
        <v>359</v>
      </c>
      <c r="B27" s="98"/>
      <c r="C27" s="98"/>
      <c r="D27" s="98"/>
      <c r="E27" s="98"/>
      <c r="F27" s="98"/>
      <c r="G27" s="98"/>
      <c r="H27" s="98"/>
      <c r="I27" s="98"/>
      <c r="J27" s="99"/>
    </row>
    <row r="28" spans="1:10" x14ac:dyDescent="0.15">
      <c r="A28" s="100" t="s">
        <v>216</v>
      </c>
      <c r="B28" s="84" t="s">
        <v>217</v>
      </c>
      <c r="C28" s="84"/>
      <c r="D28" s="84"/>
      <c r="E28" s="84"/>
      <c r="F28" s="84"/>
      <c r="G28" s="84"/>
      <c r="H28" s="84"/>
      <c r="I28" s="84"/>
      <c r="J28" s="101"/>
    </row>
    <row r="29" spans="1:10" x14ac:dyDescent="0.15">
      <c r="A29" s="102"/>
      <c r="B29" s="84" t="s">
        <v>337</v>
      </c>
      <c r="C29" s="84"/>
      <c r="D29" s="84"/>
      <c r="E29" s="84"/>
      <c r="F29" s="84"/>
      <c r="G29" s="84"/>
      <c r="H29" s="84"/>
      <c r="I29" s="84"/>
      <c r="J29" s="101"/>
    </row>
    <row r="30" spans="1:10" x14ac:dyDescent="0.15">
      <c r="A30" s="102"/>
      <c r="B30" s="84"/>
      <c r="C30" s="84"/>
      <c r="D30" s="84"/>
      <c r="E30" s="84"/>
      <c r="F30" s="84"/>
      <c r="G30" s="84"/>
      <c r="H30" s="84"/>
      <c r="I30" s="84"/>
      <c r="J30" s="101"/>
    </row>
    <row r="31" spans="1:10" x14ac:dyDescent="0.15">
      <c r="A31" s="100" t="s">
        <v>218</v>
      </c>
      <c r="B31" s="84" t="s">
        <v>323</v>
      </c>
      <c r="C31" s="84"/>
      <c r="D31" s="84"/>
      <c r="E31" s="84"/>
      <c r="F31" s="84"/>
      <c r="G31" s="84"/>
      <c r="H31" s="84"/>
      <c r="I31" s="84"/>
      <c r="J31" s="101"/>
    </row>
    <row r="32" spans="1:10" x14ac:dyDescent="0.15">
      <c r="A32" s="102"/>
      <c r="B32" s="84" t="s">
        <v>324</v>
      </c>
      <c r="C32" s="84"/>
      <c r="D32" s="84"/>
      <c r="E32" s="84"/>
      <c r="F32" s="84"/>
      <c r="G32" s="84"/>
      <c r="H32" s="84"/>
      <c r="I32" s="84"/>
      <c r="J32" s="101"/>
    </row>
    <row r="33" spans="1:10" x14ac:dyDescent="0.15">
      <c r="A33" s="102"/>
      <c r="B33" s="84" t="s">
        <v>325</v>
      </c>
      <c r="C33" s="84"/>
      <c r="D33" s="84"/>
      <c r="E33" s="84"/>
      <c r="F33" s="84"/>
      <c r="G33" s="84"/>
      <c r="H33" s="84"/>
      <c r="I33" s="84"/>
      <c r="J33" s="101"/>
    </row>
    <row r="34" spans="1:10" x14ac:dyDescent="0.15">
      <c r="A34" s="102"/>
      <c r="B34" s="84"/>
      <c r="C34" s="84"/>
      <c r="D34" s="84"/>
      <c r="E34" s="84"/>
      <c r="F34" s="84"/>
      <c r="G34" s="84"/>
      <c r="H34" s="84"/>
      <c r="I34" s="84"/>
      <c r="J34" s="101"/>
    </row>
    <row r="35" spans="1:10" x14ac:dyDescent="0.15">
      <c r="A35" s="102"/>
      <c r="B35" s="84"/>
      <c r="C35" s="84"/>
      <c r="D35" s="84"/>
      <c r="E35" s="84"/>
      <c r="F35" s="84"/>
      <c r="G35" s="84"/>
      <c r="H35" s="84"/>
      <c r="I35" s="84"/>
      <c r="J35" s="101"/>
    </row>
    <row r="36" spans="1:10" x14ac:dyDescent="0.15">
      <c r="A36" s="100" t="s">
        <v>219</v>
      </c>
      <c r="B36" s="84" t="s">
        <v>220</v>
      </c>
      <c r="C36" s="84"/>
      <c r="D36" s="84"/>
      <c r="E36" s="84"/>
      <c r="F36" s="84"/>
      <c r="G36" s="84"/>
      <c r="H36" s="84"/>
      <c r="I36" s="84"/>
      <c r="J36" s="101"/>
    </row>
    <row r="37" spans="1:10" x14ac:dyDescent="0.15">
      <c r="A37" s="102"/>
      <c r="B37" s="84" t="s">
        <v>221</v>
      </c>
      <c r="C37" s="84"/>
      <c r="D37" s="84"/>
      <c r="E37" s="84"/>
      <c r="F37" s="84"/>
      <c r="G37" s="84"/>
      <c r="H37" s="84"/>
      <c r="I37" s="84"/>
      <c r="J37" s="101"/>
    </row>
    <row r="38" spans="1:10" x14ac:dyDescent="0.15">
      <c r="A38" s="102"/>
      <c r="B38" s="84" t="s">
        <v>222</v>
      </c>
      <c r="C38" s="84"/>
      <c r="D38" s="84"/>
      <c r="E38" s="84"/>
      <c r="F38" s="84"/>
      <c r="G38" s="84"/>
      <c r="H38" s="84"/>
      <c r="I38" s="84"/>
      <c r="J38" s="101"/>
    </row>
    <row r="39" spans="1:10" x14ac:dyDescent="0.15">
      <c r="A39" s="102"/>
      <c r="B39" s="84" t="s">
        <v>223</v>
      </c>
      <c r="C39" s="84"/>
      <c r="D39" s="84"/>
      <c r="E39" s="84"/>
      <c r="F39" s="84"/>
      <c r="G39" s="84"/>
      <c r="H39" s="84"/>
      <c r="I39" s="84"/>
      <c r="J39" s="101"/>
    </row>
    <row r="40" spans="1:10" ht="19.5" thickBot="1" x14ac:dyDescent="0.2">
      <c r="A40" s="103"/>
      <c r="B40" s="104"/>
      <c r="C40" s="104"/>
      <c r="D40" s="104"/>
      <c r="E40" s="104"/>
      <c r="F40" s="104"/>
      <c r="G40" s="104"/>
      <c r="H40" s="104"/>
      <c r="I40" s="104"/>
      <c r="J40" s="105"/>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3" t="s">
        <v>127</v>
      </c>
      <c r="B1" s="324" t="s">
        <v>128</v>
      </c>
      <c r="C1" s="326" t="s">
        <v>129</v>
      </c>
      <c r="D1" s="328" t="s">
        <v>130</v>
      </c>
      <c r="E1" s="328"/>
      <c r="F1" s="328"/>
      <c r="G1" s="328"/>
      <c r="H1" s="328"/>
      <c r="I1" s="328"/>
      <c r="J1" s="328"/>
      <c r="K1" s="296" t="s">
        <v>131</v>
      </c>
      <c r="L1" s="296"/>
      <c r="M1" s="296"/>
      <c r="N1" s="296"/>
      <c r="O1" s="296"/>
      <c r="P1" s="296"/>
      <c r="Q1" s="296"/>
      <c r="R1" s="329" t="s">
        <v>132</v>
      </c>
      <c r="S1" s="330"/>
      <c r="T1" s="330"/>
      <c r="U1" s="330"/>
      <c r="V1" s="330"/>
      <c r="W1" s="330"/>
      <c r="X1" s="330"/>
      <c r="Y1" s="330"/>
      <c r="Z1" s="330"/>
      <c r="AA1" s="330"/>
      <c r="AB1" s="330"/>
      <c r="AC1" s="330"/>
      <c r="AD1" s="330"/>
      <c r="AE1" s="330"/>
      <c r="AF1" s="330"/>
      <c r="AG1" s="330"/>
      <c r="AH1" s="330"/>
      <c r="AI1" s="330"/>
      <c r="AJ1" s="330"/>
      <c r="AK1" s="330"/>
      <c r="AL1" s="330"/>
      <c r="AM1" s="330"/>
      <c r="AN1" s="330"/>
      <c r="AO1" s="331"/>
      <c r="AP1" s="317" t="s">
        <v>133</v>
      </c>
      <c r="AQ1" s="318"/>
      <c r="AR1" s="318"/>
      <c r="AS1" s="318"/>
      <c r="AT1" s="318"/>
      <c r="AU1" s="318"/>
      <c r="AV1" s="318"/>
      <c r="AW1" s="318"/>
      <c r="AX1" s="318"/>
      <c r="AY1" s="318"/>
      <c r="AZ1" s="318"/>
      <c r="BA1" s="318"/>
      <c r="BB1" s="318"/>
      <c r="BC1" s="318"/>
      <c r="BD1" s="318"/>
      <c r="BE1" s="318"/>
      <c r="BF1" s="318"/>
      <c r="BG1" s="318"/>
      <c r="BH1" s="318"/>
      <c r="BI1" s="318"/>
      <c r="BJ1" s="318"/>
      <c r="BK1" s="318"/>
      <c r="BL1" s="318"/>
      <c r="BM1" s="318"/>
      <c r="BN1" s="318"/>
      <c r="BO1" s="318"/>
      <c r="BP1" s="318"/>
      <c r="BQ1" s="318"/>
      <c r="BR1" s="318"/>
      <c r="BS1" s="318"/>
      <c r="BT1" s="318"/>
      <c r="BU1" s="318"/>
      <c r="BV1" s="318"/>
      <c r="BW1" s="318"/>
      <c r="BX1" s="318"/>
      <c r="BY1" s="318"/>
      <c r="BZ1" s="318"/>
      <c r="CA1" s="318"/>
      <c r="CB1" s="319"/>
      <c r="CC1" s="320" t="s">
        <v>134</v>
      </c>
      <c r="CD1" s="321"/>
      <c r="CE1" s="321"/>
      <c r="CF1" s="321"/>
      <c r="CG1" s="321"/>
      <c r="CH1" s="321"/>
      <c r="CI1" s="321"/>
      <c r="CJ1" s="321"/>
      <c r="CK1" s="321"/>
      <c r="CL1" s="321"/>
      <c r="CM1" s="321"/>
      <c r="CN1" s="321"/>
      <c r="CO1" s="321"/>
      <c r="CP1" s="322"/>
    </row>
    <row r="2" spans="1:94" s="80" customFormat="1" ht="60" x14ac:dyDescent="0.15">
      <c r="A2" s="324"/>
      <c r="B2" s="325"/>
      <c r="C2" s="327"/>
      <c r="D2" s="135" t="s">
        <v>135</v>
      </c>
      <c r="E2" s="136" t="s">
        <v>136</v>
      </c>
      <c r="F2" s="136" t="s">
        <v>137</v>
      </c>
      <c r="G2" s="137" t="s">
        <v>138</v>
      </c>
      <c r="H2" s="138" t="s">
        <v>139</v>
      </c>
      <c r="I2" s="136" t="s">
        <v>140</v>
      </c>
      <c r="J2" s="139" t="s">
        <v>141</v>
      </c>
      <c r="K2" s="79" t="s">
        <v>142</v>
      </c>
      <c r="L2" s="136" t="s">
        <v>143</v>
      </c>
      <c r="M2" s="136" t="s">
        <v>144</v>
      </c>
      <c r="N2" s="137" t="s">
        <v>145</v>
      </c>
      <c r="O2" s="138" t="s">
        <v>146</v>
      </c>
      <c r="P2" s="136" t="s">
        <v>147</v>
      </c>
      <c r="Q2" s="139" t="s">
        <v>148</v>
      </c>
      <c r="R2" s="138" t="s">
        <v>142</v>
      </c>
      <c r="S2" s="136" t="s">
        <v>149</v>
      </c>
      <c r="T2" s="136" t="s">
        <v>150</v>
      </c>
      <c r="U2" s="136" t="s">
        <v>151</v>
      </c>
      <c r="V2" s="136" t="s">
        <v>152</v>
      </c>
      <c r="W2" s="137" t="s">
        <v>153</v>
      </c>
      <c r="X2" s="138" t="s">
        <v>154</v>
      </c>
      <c r="Y2" s="136" t="s">
        <v>155</v>
      </c>
      <c r="Z2" s="136" t="s">
        <v>156</v>
      </c>
      <c r="AA2" s="136" t="s">
        <v>157</v>
      </c>
      <c r="AB2" s="136" t="s">
        <v>158</v>
      </c>
      <c r="AC2" s="139" t="s">
        <v>159</v>
      </c>
      <c r="AD2" s="138" t="s">
        <v>160</v>
      </c>
      <c r="AE2" s="136" t="s">
        <v>161</v>
      </c>
      <c r="AF2" s="136" t="s">
        <v>162</v>
      </c>
      <c r="AG2" s="136" t="s">
        <v>163</v>
      </c>
      <c r="AH2" s="136" t="s">
        <v>164</v>
      </c>
      <c r="AI2" s="139" t="s">
        <v>165</v>
      </c>
      <c r="AJ2" s="138" t="s">
        <v>166</v>
      </c>
      <c r="AK2" s="136" t="s">
        <v>167</v>
      </c>
      <c r="AL2" s="136" t="s">
        <v>168</v>
      </c>
      <c r="AM2" s="136" t="s">
        <v>169</v>
      </c>
      <c r="AN2" s="136" t="s">
        <v>170</v>
      </c>
      <c r="AO2" s="139" t="s">
        <v>171</v>
      </c>
      <c r="AP2" s="140" t="s">
        <v>172</v>
      </c>
      <c r="AQ2" s="141" t="s">
        <v>173</v>
      </c>
      <c r="AR2" s="136" t="s">
        <v>174</v>
      </c>
      <c r="AS2" s="136" t="s">
        <v>175</v>
      </c>
      <c r="AT2" s="136" t="s">
        <v>176</v>
      </c>
      <c r="AU2" s="136" t="s">
        <v>177</v>
      </c>
      <c r="AV2" s="136" t="s">
        <v>178</v>
      </c>
      <c r="AW2" s="136" t="s">
        <v>179</v>
      </c>
      <c r="AX2" s="136" t="s">
        <v>180</v>
      </c>
      <c r="AY2" s="136" t="s">
        <v>181</v>
      </c>
      <c r="AZ2" s="136" t="s">
        <v>182</v>
      </c>
      <c r="BA2" s="136" t="s">
        <v>183</v>
      </c>
      <c r="BB2" s="136" t="s">
        <v>184</v>
      </c>
      <c r="BC2" s="136" t="s">
        <v>185</v>
      </c>
      <c r="BD2" s="136" t="s">
        <v>186</v>
      </c>
      <c r="BE2" s="136" t="s">
        <v>187</v>
      </c>
      <c r="BF2" s="136" t="s">
        <v>188</v>
      </c>
      <c r="BG2" s="136" t="s">
        <v>189</v>
      </c>
      <c r="BH2" s="136" t="s">
        <v>190</v>
      </c>
      <c r="BI2" s="139" t="s">
        <v>191</v>
      </c>
      <c r="BJ2" s="141" t="s">
        <v>301</v>
      </c>
      <c r="BK2" s="136" t="s">
        <v>209</v>
      </c>
      <c r="BL2" s="136" t="s">
        <v>302</v>
      </c>
      <c r="BM2" s="136" t="s">
        <v>210</v>
      </c>
      <c r="BN2" s="136" t="s">
        <v>211</v>
      </c>
      <c r="BO2" s="136" t="s">
        <v>212</v>
      </c>
      <c r="BP2" s="136" t="s">
        <v>213</v>
      </c>
      <c r="BQ2" s="136" t="s">
        <v>303</v>
      </c>
      <c r="BR2" s="136" t="s">
        <v>304</v>
      </c>
      <c r="BS2" s="136" t="s">
        <v>305</v>
      </c>
      <c r="BT2" s="136" t="s">
        <v>306</v>
      </c>
      <c r="BU2" s="136" t="s">
        <v>307</v>
      </c>
      <c r="BV2" s="136" t="s">
        <v>308</v>
      </c>
      <c r="BW2" s="136" t="s">
        <v>309</v>
      </c>
      <c r="BX2" s="136" t="s">
        <v>310</v>
      </c>
      <c r="BY2" s="136" t="s">
        <v>311</v>
      </c>
      <c r="BZ2" s="136" t="s">
        <v>214</v>
      </c>
      <c r="CA2" s="136" t="s">
        <v>312</v>
      </c>
      <c r="CB2" s="139" t="s">
        <v>215</v>
      </c>
      <c r="CC2" s="135" t="s">
        <v>192</v>
      </c>
      <c r="CD2" s="141" t="s">
        <v>193</v>
      </c>
      <c r="CE2" s="141" t="s">
        <v>194</v>
      </c>
      <c r="CF2" s="142" t="s">
        <v>195</v>
      </c>
      <c r="CG2" s="135" t="s">
        <v>196</v>
      </c>
      <c r="CH2" s="141" t="s">
        <v>197</v>
      </c>
      <c r="CI2" s="141" t="s">
        <v>198</v>
      </c>
      <c r="CJ2" s="142" t="s">
        <v>199</v>
      </c>
      <c r="CK2" s="135" t="s">
        <v>200</v>
      </c>
      <c r="CL2" s="141" t="s">
        <v>201</v>
      </c>
      <c r="CM2" s="142" t="s">
        <v>202</v>
      </c>
      <c r="CN2" s="135" t="s">
        <v>203</v>
      </c>
      <c r="CO2" s="141" t="s">
        <v>204</v>
      </c>
      <c r="CP2" s="142" t="s">
        <v>205</v>
      </c>
    </row>
    <row r="3" spans="1:94" s="80" customFormat="1" x14ac:dyDescent="0.15">
      <c r="A3" s="88"/>
      <c r="B3" s="88" t="s">
        <v>283</v>
      </c>
      <c r="C3" s="88" t="s">
        <v>283</v>
      </c>
      <c r="D3" s="185">
        <v>468575.00000000006</v>
      </c>
      <c r="E3" s="186">
        <v>216053.99999999991</v>
      </c>
      <c r="F3" s="186">
        <v>72768</v>
      </c>
      <c r="G3" s="187">
        <v>70639.000000000015</v>
      </c>
      <c r="H3" s="148">
        <v>0.46108733927332846</v>
      </c>
      <c r="I3" s="149">
        <v>0.15529637731419729</v>
      </c>
      <c r="J3" s="150">
        <v>0.15075281438403673</v>
      </c>
      <c r="K3" s="185">
        <v>1069576</v>
      </c>
      <c r="L3" s="186">
        <v>112114.99999999999</v>
      </c>
      <c r="M3" s="186">
        <v>371766.99999999994</v>
      </c>
      <c r="N3" s="187">
        <v>511426.99999999994</v>
      </c>
      <c r="O3" s="148">
        <v>0.10482191073846084</v>
      </c>
      <c r="P3" s="149">
        <v>0.34758352842621743</v>
      </c>
      <c r="Q3" s="150">
        <v>0.47815863482351878</v>
      </c>
      <c r="R3" s="143">
        <v>1069576</v>
      </c>
      <c r="S3" s="145">
        <v>136010.00000000006</v>
      </c>
      <c r="T3" s="145">
        <v>41998.999999999978</v>
      </c>
      <c r="U3" s="144">
        <v>44855</v>
      </c>
      <c r="V3" s="144">
        <v>4371.0000000000018</v>
      </c>
      <c r="W3" s="146">
        <v>227235</v>
      </c>
      <c r="X3" s="143">
        <v>504762.99999999994</v>
      </c>
      <c r="Y3" s="144">
        <v>60477.999999999985</v>
      </c>
      <c r="Z3" s="144">
        <v>20228.000000000007</v>
      </c>
      <c r="AA3" s="144">
        <v>25200</v>
      </c>
      <c r="AB3" s="144">
        <v>1824</v>
      </c>
      <c r="AC3" s="146">
        <v>107729.99999999996</v>
      </c>
      <c r="AD3" s="143">
        <v>564813.00000000023</v>
      </c>
      <c r="AE3" s="144">
        <v>75532</v>
      </c>
      <c r="AF3" s="144">
        <v>21771.000000000011</v>
      </c>
      <c r="AG3" s="144">
        <v>19654.999999999996</v>
      </c>
      <c r="AH3" s="144">
        <v>2546.9999999999991</v>
      </c>
      <c r="AI3" s="146">
        <v>119504.99999999999</v>
      </c>
      <c r="AJ3" s="148">
        <v>0.21245334599878832</v>
      </c>
      <c r="AK3" s="149">
        <v>0.18482628116267291</v>
      </c>
      <c r="AL3" s="149">
        <v>0.19739476753141022</v>
      </c>
      <c r="AM3" s="149">
        <v>1.923559310845601E-2</v>
      </c>
      <c r="AN3" s="147">
        <v>0.47409069905604312</v>
      </c>
      <c r="AO3" s="150">
        <v>0.5259093009439566</v>
      </c>
      <c r="AP3" s="143">
        <v>498592.00000000023</v>
      </c>
      <c r="AQ3" s="144">
        <v>46600.999999999993</v>
      </c>
      <c r="AR3" s="144">
        <v>2573.9999999999995</v>
      </c>
      <c r="AS3" s="144">
        <v>119</v>
      </c>
      <c r="AT3" s="144">
        <v>41697.000000000015</v>
      </c>
      <c r="AU3" s="144">
        <v>59731.000000000007</v>
      </c>
      <c r="AV3" s="144">
        <v>2292.0000000000009</v>
      </c>
      <c r="AW3" s="144">
        <v>6439.9999999999991</v>
      </c>
      <c r="AX3" s="144">
        <v>19650.000000000007</v>
      </c>
      <c r="AY3" s="144">
        <v>72716.000000000015</v>
      </c>
      <c r="AZ3" s="144">
        <v>9722.9999999999945</v>
      </c>
      <c r="BA3" s="144">
        <v>6355.0000000000018</v>
      </c>
      <c r="BB3" s="144">
        <v>12105</v>
      </c>
      <c r="BC3" s="144">
        <v>25016.999999999996</v>
      </c>
      <c r="BD3" s="144">
        <v>16998.999999999996</v>
      </c>
      <c r="BE3" s="144">
        <v>25490.000000000011</v>
      </c>
      <c r="BF3" s="144">
        <v>83198.999999999985</v>
      </c>
      <c r="BG3" s="144">
        <v>6219.0000000000018</v>
      </c>
      <c r="BH3" s="144">
        <v>28572</v>
      </c>
      <c r="BI3" s="146">
        <v>23419.000000000004</v>
      </c>
      <c r="BJ3" s="147">
        <v>9.3465197997561075E-2</v>
      </c>
      <c r="BK3" s="149">
        <v>5.162537706180601E-3</v>
      </c>
      <c r="BL3" s="149">
        <v>2.3867210063538915E-4</v>
      </c>
      <c r="BM3" s="149">
        <v>8.3629500673897683E-2</v>
      </c>
      <c r="BN3" s="149">
        <v>0.11979935498363387</v>
      </c>
      <c r="BO3" s="149">
        <v>4.5969449971118665E-3</v>
      </c>
      <c r="BP3" s="149">
        <v>1.2916372504973999E-2</v>
      </c>
      <c r="BQ3" s="149">
        <v>3.9410981323406709E-2</v>
      </c>
      <c r="BR3" s="149">
        <v>0.14584269302355429</v>
      </c>
      <c r="BS3" s="149">
        <v>1.9500914575444433E-2</v>
      </c>
      <c r="BT3" s="149">
        <v>1.2745892433091583E-2</v>
      </c>
      <c r="BU3" s="149">
        <v>2.4278367883961222E-2</v>
      </c>
      <c r="BV3" s="149">
        <v>5.017529362685319E-2</v>
      </c>
      <c r="BW3" s="149">
        <v>3.4094008728579657E-2</v>
      </c>
      <c r="BX3" s="149">
        <v>5.1123965085681275E-2</v>
      </c>
      <c r="BY3" s="149">
        <v>0.16686790000641796</v>
      </c>
      <c r="BZ3" s="149">
        <v>1.2473124318079711E-2</v>
      </c>
      <c r="CA3" s="149">
        <v>5.730537192734738E-2</v>
      </c>
      <c r="CB3" s="150">
        <v>4.6970268275463689E-2</v>
      </c>
      <c r="CC3" s="143">
        <v>498592.00000000023</v>
      </c>
      <c r="CD3" s="144">
        <v>412571.00000000023</v>
      </c>
      <c r="CE3" s="144">
        <v>70576.000000000015</v>
      </c>
      <c r="CF3" s="144">
        <v>7434.9999999999982</v>
      </c>
      <c r="CG3" s="143">
        <v>43141</v>
      </c>
      <c r="CH3" s="144">
        <v>33185.000000000007</v>
      </c>
      <c r="CI3" s="144">
        <v>8082.9999999999973</v>
      </c>
      <c r="CJ3" s="144">
        <v>813.99999999999966</v>
      </c>
      <c r="CK3" s="148">
        <v>0.82747216160708559</v>
      </c>
      <c r="CL3" s="149">
        <v>0.14155060650792628</v>
      </c>
      <c r="CM3" s="150">
        <v>1.491199216995057E-2</v>
      </c>
      <c r="CN3" s="148">
        <v>0.76922185392086428</v>
      </c>
      <c r="CO3" s="149">
        <v>0.18736236990334015</v>
      </c>
      <c r="CP3" s="150">
        <v>1.8868361883127412E-2</v>
      </c>
    </row>
    <row r="4" spans="1:94" s="80" customFormat="1" x14ac:dyDescent="0.15">
      <c r="A4" s="88"/>
      <c r="B4" s="88" t="str">
        <f>B5&amp;"平均"</f>
        <v>国富町平均</v>
      </c>
      <c r="C4" s="88" t="str">
        <f>B4</f>
        <v>国富町平均</v>
      </c>
      <c r="D4" s="185">
        <f>SUM(D7:D70)</f>
        <v>7450</v>
      </c>
      <c r="E4" s="186">
        <f>SUM(E7:E70)</f>
        <v>4186</v>
      </c>
      <c r="F4" s="186">
        <f>SUM(F7:F70)</f>
        <v>1503</v>
      </c>
      <c r="G4" s="187">
        <f>SUM(G7:G70)</f>
        <v>1277</v>
      </c>
      <c r="H4" s="148">
        <f>E4/D4</f>
        <v>0.56187919463087244</v>
      </c>
      <c r="I4" s="149">
        <f>F4/D4</f>
        <v>0.20174496644295303</v>
      </c>
      <c r="J4" s="150">
        <f>G4/D4</f>
        <v>0.17140939597315435</v>
      </c>
      <c r="K4" s="185">
        <f>SUM(K7:K70)</f>
        <v>18398</v>
      </c>
      <c r="L4" s="186">
        <f>SUM(L7:L70)</f>
        <v>2576</v>
      </c>
      <c r="M4" s="186">
        <f>SUM(M7:M70)</f>
        <v>5353</v>
      </c>
      <c r="N4" s="187">
        <f>SUM(N7:N70)</f>
        <v>10212</v>
      </c>
      <c r="O4" s="148">
        <f>L4/K4</f>
        <v>0.14001521904554842</v>
      </c>
      <c r="P4" s="149">
        <f>M4/K4</f>
        <v>0.29095553864550494</v>
      </c>
      <c r="Q4" s="150">
        <f>N4/K4</f>
        <v>0.55506033264485266</v>
      </c>
      <c r="R4" s="185">
        <f>SUM(R7:R70)</f>
        <v>18398</v>
      </c>
      <c r="S4" s="145">
        <f>SUM(S7:S70)</f>
        <v>1721</v>
      </c>
      <c r="T4" s="145">
        <f>SUM(T7:T70)</f>
        <v>1147</v>
      </c>
      <c r="U4" s="144">
        <f>SUM(U7:U70)</f>
        <v>326</v>
      </c>
      <c r="V4" s="144">
        <f>SUM(V7:V70)</f>
        <v>117</v>
      </c>
      <c r="W4" s="146">
        <f>S4+T4+U4+V4</f>
        <v>3311</v>
      </c>
      <c r="X4" s="143">
        <f>SUM(X7:X70)</f>
        <v>8609.0000000000018</v>
      </c>
      <c r="Y4" s="144">
        <f>SUM(Y7:Y70)</f>
        <v>776</v>
      </c>
      <c r="Z4" s="144">
        <f>SUM(Z7:Z70)</f>
        <v>532</v>
      </c>
      <c r="AA4" s="144">
        <f>SUM(AA7:AA70)</f>
        <v>160</v>
      </c>
      <c r="AB4" s="144">
        <f>SUM(AB7:AB70)</f>
        <v>68</v>
      </c>
      <c r="AC4" s="146">
        <f>Y4+Z4+AA4+AB4</f>
        <v>1536</v>
      </c>
      <c r="AD4" s="143">
        <f>SUM(AD7:AD70)</f>
        <v>9789</v>
      </c>
      <c r="AE4" s="143">
        <f t="shared" ref="AE4:AH4" si="0">SUM(AE7:AE70)</f>
        <v>944.99999999999989</v>
      </c>
      <c r="AF4" s="143">
        <f t="shared" si="0"/>
        <v>615</v>
      </c>
      <c r="AG4" s="143">
        <f t="shared" si="0"/>
        <v>166</v>
      </c>
      <c r="AH4" s="143">
        <f t="shared" si="0"/>
        <v>49</v>
      </c>
      <c r="AI4" s="146">
        <f>AE4+AF4+AG4+AH4</f>
        <v>1775</v>
      </c>
      <c r="AJ4" s="148">
        <f>W4/R4</f>
        <v>0.17996521361017501</v>
      </c>
      <c r="AK4" s="149">
        <f>T4/W4</f>
        <v>0.3464210208396255</v>
      </c>
      <c r="AL4" s="149">
        <f>U4/W4</f>
        <v>9.8459679855028695E-2</v>
      </c>
      <c r="AM4" s="149">
        <f>V4/W4</f>
        <v>3.5336756266988824E-2</v>
      </c>
      <c r="AN4" s="147">
        <f>AC4/W4</f>
        <v>0.46390818483841739</v>
      </c>
      <c r="AO4" s="150">
        <f>AI4/W4</f>
        <v>0.53609181516158255</v>
      </c>
      <c r="AP4" s="143">
        <f>SUM(AP7:AP70)</f>
        <v>9389</v>
      </c>
      <c r="AQ4" s="144">
        <f t="shared" ref="AQ4:BI4" si="1">SUM(AQ7:AQ70)</f>
        <v>1761</v>
      </c>
      <c r="AR4" s="144">
        <f t="shared" si="1"/>
        <v>1.9999999999999998</v>
      </c>
      <c r="AS4" s="144">
        <f t="shared" si="1"/>
        <v>0</v>
      </c>
      <c r="AT4" s="144">
        <f t="shared" si="1"/>
        <v>992</v>
      </c>
      <c r="AU4" s="144">
        <f t="shared" si="1"/>
        <v>1159</v>
      </c>
      <c r="AV4" s="144">
        <f t="shared" si="1"/>
        <v>23</v>
      </c>
      <c r="AW4" s="144">
        <f t="shared" si="1"/>
        <v>78</v>
      </c>
      <c r="AX4" s="144">
        <f t="shared" si="1"/>
        <v>329</v>
      </c>
      <c r="AY4" s="144">
        <f t="shared" si="1"/>
        <v>1225</v>
      </c>
      <c r="AZ4" s="144">
        <f t="shared" si="1"/>
        <v>106</v>
      </c>
      <c r="BA4" s="144">
        <f t="shared" si="1"/>
        <v>85</v>
      </c>
      <c r="BB4" s="144">
        <f t="shared" si="1"/>
        <v>183</v>
      </c>
      <c r="BC4" s="144">
        <f t="shared" si="1"/>
        <v>304</v>
      </c>
      <c r="BD4" s="144">
        <f t="shared" si="1"/>
        <v>298</v>
      </c>
      <c r="BE4" s="144">
        <f t="shared" si="1"/>
        <v>275</v>
      </c>
      <c r="BF4" s="144">
        <f t="shared" si="1"/>
        <v>1585</v>
      </c>
      <c r="BG4" s="144">
        <f t="shared" si="1"/>
        <v>142</v>
      </c>
      <c r="BH4" s="144">
        <f t="shared" si="1"/>
        <v>529</v>
      </c>
      <c r="BI4" s="146">
        <f t="shared" si="1"/>
        <v>292</v>
      </c>
      <c r="BJ4" s="147">
        <f>IF($AP4=0,0,AQ4/$AP4)</f>
        <v>0.18755991053360316</v>
      </c>
      <c r="BK4" s="149">
        <f t="shared" ref="BK4:CB4" si="2">IF($AP4=0,0,AR4/$AP4)</f>
        <v>2.1301523058898708E-4</v>
      </c>
      <c r="BL4" s="149">
        <f t="shared" si="2"/>
        <v>0</v>
      </c>
      <c r="BM4" s="149">
        <f t="shared" si="2"/>
        <v>0.10565555437213761</v>
      </c>
      <c r="BN4" s="149">
        <f t="shared" si="2"/>
        <v>0.12344232612631803</v>
      </c>
      <c r="BO4" s="149">
        <f t="shared" si="2"/>
        <v>2.4496751517733518E-3</v>
      </c>
      <c r="BP4" s="149">
        <f t="shared" si="2"/>
        <v>8.3075939929704978E-3</v>
      </c>
      <c r="BQ4" s="149">
        <f t="shared" si="2"/>
        <v>3.5041005431888379E-2</v>
      </c>
      <c r="BR4" s="149">
        <f t="shared" si="2"/>
        <v>0.13047182873575461</v>
      </c>
      <c r="BS4" s="149">
        <f t="shared" si="2"/>
        <v>1.1289807221216317E-2</v>
      </c>
      <c r="BT4" s="149">
        <f t="shared" si="2"/>
        <v>9.0531473000319516E-3</v>
      </c>
      <c r="BU4" s="149">
        <f t="shared" si="2"/>
        <v>1.949089359889232E-2</v>
      </c>
      <c r="BV4" s="149">
        <f t="shared" si="2"/>
        <v>3.2378315049526041E-2</v>
      </c>
      <c r="BW4" s="149">
        <f t="shared" si="2"/>
        <v>3.173926935775908E-2</v>
      </c>
      <c r="BX4" s="149">
        <f t="shared" si="2"/>
        <v>2.9289594205985727E-2</v>
      </c>
      <c r="BY4" s="149">
        <f t="shared" si="2"/>
        <v>0.16881457024177229</v>
      </c>
      <c r="BZ4" s="149">
        <f t="shared" si="2"/>
        <v>1.5124081371818084E-2</v>
      </c>
      <c r="CA4" s="149">
        <f t="shared" si="2"/>
        <v>5.6342528490787094E-2</v>
      </c>
      <c r="CB4" s="150">
        <f t="shared" si="2"/>
        <v>3.1100223665992119E-2</v>
      </c>
      <c r="CC4" s="143">
        <f>SUM(CC7:CC70)</f>
        <v>9389</v>
      </c>
      <c r="CD4" s="144">
        <f t="shared" ref="CD4:CI4" si="3">SUM(CD7:CD70)</f>
        <v>5480</v>
      </c>
      <c r="CE4" s="144">
        <f t="shared" si="3"/>
        <v>3834.9999999999995</v>
      </c>
      <c r="CF4" s="144">
        <f t="shared" si="3"/>
        <v>24</v>
      </c>
      <c r="CG4" s="143">
        <f t="shared" si="3"/>
        <v>634</v>
      </c>
      <c r="CH4" s="144">
        <f t="shared" si="3"/>
        <v>217</v>
      </c>
      <c r="CI4" s="144">
        <f t="shared" si="3"/>
        <v>397.99999999999994</v>
      </c>
      <c r="CJ4" s="144">
        <f>SUM(CJ7:CJ70)</f>
        <v>10</v>
      </c>
      <c r="CK4" s="148">
        <f t="shared" ref="CK4:CM4" si="4">IF($CC4=0,0,CD4/$CC4)</f>
        <v>0.58366173181382464</v>
      </c>
      <c r="CL4" s="149">
        <f t="shared" si="4"/>
        <v>0.40845670465438272</v>
      </c>
      <c r="CM4" s="150">
        <f t="shared" si="4"/>
        <v>2.5561827670678452E-3</v>
      </c>
      <c r="CN4" s="148">
        <f t="shared" ref="CN4:CP4" si="5">IF($CG4=0,0,CH4/$CG4)</f>
        <v>0.3422712933753943</v>
      </c>
      <c r="CO4" s="149">
        <f t="shared" si="5"/>
        <v>0.62776025236593047</v>
      </c>
      <c r="CP4" s="150">
        <f t="shared" si="5"/>
        <v>1.5772870662460567E-2</v>
      </c>
    </row>
    <row r="5" spans="1:94" s="181" customFormat="1" x14ac:dyDescent="0.15">
      <c r="A5" s="183" t="str">
        <f>管理者入力シート!B2</f>
        <v>45382_1</v>
      </c>
      <c r="B5" s="201" t="str">
        <f>VLOOKUP($A$5,$A$7:$CP$50,2,FALSE)</f>
        <v>国富町</v>
      </c>
      <c r="C5" s="201" t="str">
        <f>VLOOKUP($A$5,$A$7:$CP$50,3,FALSE)</f>
        <v>本庄小学校区</v>
      </c>
      <c r="D5" s="188">
        <f>VLOOKUP($A$5,$A$7:$CP$70,4,FALSE)</f>
        <v>3011.9700000000003</v>
      </c>
      <c r="E5" s="189">
        <f>VLOOKUP($A$5,$A$7:$CP$70,5,FALSE)</f>
        <v>1572.48</v>
      </c>
      <c r="F5" s="189">
        <f>VLOOKUP($A$5,$A$7:$CP$70,6,FALSE)</f>
        <v>561.06999999999994</v>
      </c>
      <c r="G5" s="190">
        <f>VLOOKUP($A$5,$A$7:$CP$70,7,FALSE)</f>
        <v>472.95</v>
      </c>
      <c r="H5" s="178">
        <f>VLOOKUP($A$5,$A$7:$CP$70,8,FALSE)</f>
        <v>0.52207691311666449</v>
      </c>
      <c r="I5" s="179">
        <f>VLOOKUP($A$5,$A$7:$CP$70,9,FALSE)</f>
        <v>0.18628007583076853</v>
      </c>
      <c r="J5" s="180">
        <f>VLOOKUP($A$5,$A$7:$CP$70,10,FALSE)</f>
        <v>0.15702347632944549</v>
      </c>
      <c r="K5" s="188">
        <f>VLOOKUP($A$5,$A$7:$CP$70,11,FALSE)</f>
        <v>7493.6799999999994</v>
      </c>
      <c r="L5" s="189">
        <f>VLOOKUP($A$5,$A$7:$CP$70,12,FALSE)</f>
        <v>879.45999999999992</v>
      </c>
      <c r="M5" s="189">
        <f>VLOOKUP($A$5,$A$7:$CP$70,13,FALSE)</f>
        <v>2379.44</v>
      </c>
      <c r="N5" s="190">
        <f>VLOOKUP($A$5,$A$7:$CP$70,14,FALSE)</f>
        <v>4079.8599999999997</v>
      </c>
      <c r="O5" s="178">
        <f>VLOOKUP($A$5,$A$7:$CP$70,15,FALSE)</f>
        <v>0.1173602288862081</v>
      </c>
      <c r="P5" s="179">
        <f>VLOOKUP($A$5,$A$7:$CP$70,16,FALSE)</f>
        <v>0.31752623544106506</v>
      </c>
      <c r="Q5" s="180">
        <f>VLOOKUP($A$5,$A$7:$CP$70,17,FALSE)</f>
        <v>0.54444011487013055</v>
      </c>
      <c r="R5" s="188">
        <f>VLOOKUP($A$5,$A$7:$CP$70,18,FALSE)</f>
        <v>7493.6799999999994</v>
      </c>
      <c r="S5" s="189">
        <f>VLOOKUP($A$5,$A$7:$CP$70,19,FALSE)</f>
        <v>827.06</v>
      </c>
      <c r="T5" s="189">
        <f>VLOOKUP($A$5,$A$7:$CP$70,20,FALSE)</f>
        <v>503.34</v>
      </c>
      <c r="U5" s="189">
        <f>VLOOKUP($A$5,$A$7:$CP$70,21,FALSE)</f>
        <v>158.03</v>
      </c>
      <c r="V5" s="189">
        <f>VLOOKUP($A$5,$A$7:$CP$70,22,FALSE)</f>
        <v>25.52</v>
      </c>
      <c r="W5" s="190">
        <f>VLOOKUP($A$5,$A$7:$CP$70,23,FALSE)</f>
        <v>1513.9499999999998</v>
      </c>
      <c r="X5" s="188">
        <f>VLOOKUP($A$5,$A$7:$CP$70,24,FALSE)</f>
        <v>3512.69</v>
      </c>
      <c r="Y5" s="189">
        <f>VLOOKUP($A$5,$A$7:$CP$70,25,FALSE)</f>
        <v>386.2</v>
      </c>
      <c r="Z5" s="189">
        <f>VLOOKUP($A$5,$A$7:$CP$70,26,FALSE)</f>
        <v>233.94</v>
      </c>
      <c r="AA5" s="189">
        <f>VLOOKUP($A$5,$A$7:$CP$70,27,FALSE)</f>
        <v>78.33</v>
      </c>
      <c r="AB5" s="189">
        <f>VLOOKUP($A$5,$A$7:$CP$70,28,FALSE)</f>
        <v>21.84</v>
      </c>
      <c r="AC5" s="191">
        <f>VLOOKUP($A$5,$A$7:$CP$70,29,FALSE)</f>
        <v>720.31000000000006</v>
      </c>
      <c r="AD5" s="188">
        <f>VLOOKUP($A$5,$A$7:$CP$70,30,FALSE)</f>
        <v>3980.99</v>
      </c>
      <c r="AE5" s="189">
        <f>VLOOKUP($A$5,$A$7:$CP$70,31,FALSE)</f>
        <v>440.85999999999996</v>
      </c>
      <c r="AF5" s="189">
        <f>VLOOKUP($A$5,$A$7:$CP$70,32,FALSE)</f>
        <v>269.39999999999998</v>
      </c>
      <c r="AG5" s="189">
        <f>VLOOKUP($A$5,$A$7:$CP$70,33,FALSE)</f>
        <v>79.699999999999989</v>
      </c>
      <c r="AH5" s="189">
        <f>VLOOKUP($A$5,$A$7:$CP$70,34,FALSE)</f>
        <v>3.6799999999999997</v>
      </c>
      <c r="AI5" s="191">
        <f>VLOOKUP($A$5,$A$7:$CP$70,35,FALSE)</f>
        <v>793.64</v>
      </c>
      <c r="AJ5" s="178">
        <f>VLOOKUP($A$5,$A$7:$CP$70,36,FALSE)</f>
        <v>0.20203024415240575</v>
      </c>
      <c r="AK5" s="179">
        <f>VLOOKUP($A$5,$A$7:$CP$70,37,FALSE)</f>
        <v>0.33246804716139899</v>
      </c>
      <c r="AL5" s="179">
        <f>VLOOKUP($A$5,$A$7:$CP$70,38,FALSE)</f>
        <v>0.10438257538227816</v>
      </c>
      <c r="AM5" s="179">
        <f>VLOOKUP($A$5,$A$7:$CP$70,39,FALSE)</f>
        <v>1.6856567257835464E-2</v>
      </c>
      <c r="AN5" s="182">
        <f>VLOOKUP($A$5,$A$7:$CP$70,40,FALSE)</f>
        <v>0.47578189504276902</v>
      </c>
      <c r="AO5" s="180">
        <f>VLOOKUP($A$5,$A$7:$CP$70,41,FALSE)</f>
        <v>0.52421810495723109</v>
      </c>
      <c r="AP5" s="192">
        <f>VLOOKUP($A$5,$A$7:$CP$70,42,FALSE)</f>
        <v>3750.4399999999996</v>
      </c>
      <c r="AQ5" s="189">
        <f>VLOOKUP($A$5,$A$7:$CP$70,43,FALSE)</f>
        <v>458.29999999999995</v>
      </c>
      <c r="AR5" s="189">
        <f>VLOOKUP($A$5,$A$7:$CP$70,44,FALSE)</f>
        <v>0.84</v>
      </c>
      <c r="AS5" s="189">
        <f>VLOOKUP($A$5,$A$7:$CP$70,45,FALSE)</f>
        <v>0</v>
      </c>
      <c r="AT5" s="189">
        <f>VLOOKUP($A$5,$A$7:$CP$70,46,FALSE)</f>
        <v>370.83000000000004</v>
      </c>
      <c r="AU5" s="189">
        <f>VLOOKUP($A$5,$A$7:$CP$70,47,FALSE)</f>
        <v>471.32</v>
      </c>
      <c r="AV5" s="189">
        <f>VLOOKUP($A$5,$A$7:$CP$70,48,FALSE)</f>
        <v>8.25</v>
      </c>
      <c r="AW5" s="189">
        <f>VLOOKUP($A$5,$A$7:$CP$70,49,FALSE)</f>
        <v>40.49</v>
      </c>
      <c r="AX5" s="189">
        <f>VLOOKUP($A$5,$A$7:$CP$70,50,FALSE)</f>
        <v>144.94</v>
      </c>
      <c r="AY5" s="189">
        <f>VLOOKUP($A$5,$A$7:$CP$70,51,FALSE)</f>
        <v>532.82999999999993</v>
      </c>
      <c r="AZ5" s="189">
        <f>VLOOKUP($A$5,$A$7:$CP$70,52,FALSE)</f>
        <v>45.129999999999995</v>
      </c>
      <c r="BA5" s="189">
        <f>VLOOKUP($A$5,$A$7:$CP$70,53,FALSE)</f>
        <v>38.51</v>
      </c>
      <c r="BB5" s="189">
        <f>VLOOKUP($A$5,$A$7:$CP$70,54,FALSE)</f>
        <v>74.89</v>
      </c>
      <c r="BC5" s="189">
        <f>VLOOKUP($A$5,$A$7:$CP$70,55,FALSE)</f>
        <v>132.51999999999998</v>
      </c>
      <c r="BD5" s="189">
        <f>VLOOKUP($A$5,$A$7:$CP$70,56,FALSE)</f>
        <v>150.30999999999997</v>
      </c>
      <c r="BE5" s="189">
        <f>VLOOKUP($A$5,$A$7:$CP$70,57,FALSE)</f>
        <v>136.01999999999998</v>
      </c>
      <c r="BF5" s="189">
        <f>VLOOKUP($A$5,$A$7:$CP$70,58,FALSE)</f>
        <v>722</v>
      </c>
      <c r="BG5" s="189">
        <f>VLOOKUP($A$5,$A$7:$CP$70,59,FALSE)</f>
        <v>65.67</v>
      </c>
      <c r="BH5" s="189">
        <f>VLOOKUP($A$5,$A$7:$CP$70,60,FALSE)</f>
        <v>208.79</v>
      </c>
      <c r="BI5" s="189">
        <f>VLOOKUP($A$5,$A$7:$CP$70,61,FALSE)</f>
        <v>134.61000000000001</v>
      </c>
      <c r="BJ5" s="178">
        <f>VLOOKUP($A$5,$A$7:$CP$70,62,FALSE)</f>
        <v>0.1221989953178827</v>
      </c>
      <c r="BK5" s="179">
        <f>VLOOKUP($A$5,$A$7:$CP$70,63,FALSE)</f>
        <v>2.2397372041680445E-4</v>
      </c>
      <c r="BL5" s="179">
        <f>VLOOKUP($A$5,$A$7:$CP$70,64,FALSE)</f>
        <v>0</v>
      </c>
      <c r="BM5" s="179">
        <f>VLOOKUP($A$5,$A$7:$CP$70,65,FALSE)</f>
        <v>9.8876398502575721E-2</v>
      </c>
      <c r="BN5" s="179">
        <f>VLOOKUP($A$5,$A$7:$CP$70,66,FALSE)</f>
        <v>0.12567058798434319</v>
      </c>
      <c r="BO5" s="179">
        <f>VLOOKUP($A$5,$A$7:$CP$70,67,FALSE)</f>
        <v>2.1997418969507579E-3</v>
      </c>
      <c r="BP5" s="179">
        <f>VLOOKUP($A$5,$A$7:$CP$70,68,FALSE)</f>
        <v>1.0796066594852872E-2</v>
      </c>
      <c r="BQ5" s="179">
        <f>VLOOKUP($A$5,$A$7:$CP$70,69,FALSE)</f>
        <v>3.8646132187156713E-2</v>
      </c>
      <c r="BR5" s="179">
        <f>VLOOKUP($A$5,$A$7:$CP$70,70,FALSE)</f>
        <v>0.14207133029724511</v>
      </c>
      <c r="BS5" s="179">
        <f>VLOOKUP($A$5,$A$7:$CP$70,71,FALSE)</f>
        <v>1.2033254764774267E-2</v>
      </c>
      <c r="BT5" s="179">
        <f>VLOOKUP($A$5,$A$7:$CP$70,72,FALSE)</f>
        <v>1.0268128539584689E-2</v>
      </c>
      <c r="BU5" s="179">
        <f>VLOOKUP($A$5,$A$7:$CP$70,73,FALSE)</f>
        <v>1.996832371668391E-2</v>
      </c>
      <c r="BV5" s="179">
        <f>VLOOKUP($A$5,$A$7:$CP$70,74,FALSE)</f>
        <v>3.5334520749565383E-2</v>
      </c>
      <c r="BW5" s="179">
        <f>VLOOKUP($A$5,$A$7:$CP$70,75,FALSE)</f>
        <v>4.007796418553556E-2</v>
      </c>
      <c r="BX5" s="179">
        <f>VLOOKUP($A$5,$A$7:$CP$70,76,FALSE)</f>
        <v>3.62677445846354E-2</v>
      </c>
      <c r="BY5" s="179">
        <f>VLOOKUP($A$5,$A$7:$CP$70,77,FALSE)</f>
        <v>0.1925107454058724</v>
      </c>
      <c r="BZ5" s="179">
        <f>VLOOKUP($A$5,$A$7:$CP$70,78,FALSE)</f>
        <v>1.7509945499728036E-2</v>
      </c>
      <c r="CA5" s="179">
        <f>VLOOKUP($A$5,$A$7:$CP$70,79,FALSE)</f>
        <v>5.5670801292648335E-2</v>
      </c>
      <c r="CB5" s="180">
        <f>VLOOKUP($A$5,$A$7:$CP$70,80,FALSE)</f>
        <v>3.5891788696792916E-2</v>
      </c>
      <c r="CC5" s="188">
        <f>VLOOKUP($A$5,$A$7:$CP$70,81,FALSE)</f>
        <v>3750.4399999999996</v>
      </c>
      <c r="CD5" s="190">
        <f>VLOOKUP($A$5,$A$7:$CP$70,82,FALSE)</f>
        <v>2127.3000000000002</v>
      </c>
      <c r="CE5" s="189">
        <f>VLOOKUP($A$5,$A$7:$CP$70,83,FALSE)</f>
        <v>1589.63</v>
      </c>
      <c r="CF5" s="191">
        <f>VLOOKUP($A$5,$A$7:$CP$70,84,FALSE)</f>
        <v>7.7799999999999994</v>
      </c>
      <c r="CG5" s="188">
        <f>VLOOKUP($A$5,$A$7:$CP$70,85,FALSE)</f>
        <v>280.84000000000003</v>
      </c>
      <c r="CH5" s="189">
        <f>VLOOKUP($A$5,$A$7:$CP$70,86,FALSE)</f>
        <v>93.64</v>
      </c>
      <c r="CI5" s="189">
        <f>VLOOKUP($A$5,$A$7:$CP$70,87,FALSE)</f>
        <v>177.73999999999998</v>
      </c>
      <c r="CJ5" s="191">
        <f>VLOOKUP($A$5,$A$7:$CP$70,88,FALSE)</f>
        <v>5.04</v>
      </c>
      <c r="CK5" s="178">
        <f>VLOOKUP($A$5,$A$7:$CP$70,89,FALSE)</f>
        <v>0.56721344695555731</v>
      </c>
      <c r="CL5" s="179">
        <f>VLOOKUP($A$5,$A$7:$CP$70,90,FALSE)</f>
        <v>0.42385160141210104</v>
      </c>
      <c r="CM5" s="180">
        <f>VLOOKUP($A$5,$A$7:$CP$70,91,FALSE)</f>
        <v>2.0744232676699267E-3</v>
      </c>
      <c r="CN5" s="178">
        <f>VLOOKUP($A$5,$A$7:$CP$70,92,FALSE)</f>
        <v>0.33342828656886481</v>
      </c>
      <c r="CO5" s="179">
        <f>VLOOKUP($A$5,$A$7:$CP$70,93,FALSE)</f>
        <v>0.63288705312633509</v>
      </c>
      <c r="CP5" s="180">
        <f>VLOOKUP($A$5,$A$7:$CP$70,94,FALSE)</f>
        <v>1.7946161515453637E-2</v>
      </c>
    </row>
    <row r="6" spans="1:94" s="242" customFormat="1" x14ac:dyDescent="0.15"/>
    <row r="7" spans="1:94" x14ac:dyDescent="0.15">
      <c r="A7" t="s">
        <v>429</v>
      </c>
      <c r="B7" t="s">
        <v>430</v>
      </c>
      <c r="C7" t="s">
        <v>431</v>
      </c>
      <c r="D7">
        <v>3011.9700000000003</v>
      </c>
      <c r="E7">
        <v>1572.48</v>
      </c>
      <c r="F7">
        <v>561.06999999999994</v>
      </c>
      <c r="G7">
        <v>472.95</v>
      </c>
      <c r="H7">
        <v>0.52207691311666449</v>
      </c>
      <c r="I7">
        <v>0.18628007583076853</v>
      </c>
      <c r="J7">
        <v>0.15702347632944549</v>
      </c>
      <c r="K7">
        <v>7493.6799999999994</v>
      </c>
      <c r="L7">
        <v>879.45999999999992</v>
      </c>
      <c r="M7">
        <v>2379.44</v>
      </c>
      <c r="N7">
        <v>4079.8599999999997</v>
      </c>
      <c r="O7">
        <v>0.1173602288862081</v>
      </c>
      <c r="P7">
        <v>0.31752623544106506</v>
      </c>
      <c r="Q7">
        <v>0.54444011487013055</v>
      </c>
      <c r="R7">
        <v>7493.6799999999994</v>
      </c>
      <c r="S7">
        <v>827.06</v>
      </c>
      <c r="T7">
        <v>503.34</v>
      </c>
      <c r="U7">
        <v>158.03</v>
      </c>
      <c r="V7">
        <v>25.52</v>
      </c>
      <c r="W7">
        <v>1513.9499999999998</v>
      </c>
      <c r="X7">
        <v>3512.69</v>
      </c>
      <c r="Y7">
        <v>386.2</v>
      </c>
      <c r="Z7">
        <v>233.94</v>
      </c>
      <c r="AA7">
        <v>78.33</v>
      </c>
      <c r="AB7">
        <v>21.84</v>
      </c>
      <c r="AC7">
        <v>720.31000000000006</v>
      </c>
      <c r="AD7">
        <v>3980.99</v>
      </c>
      <c r="AE7">
        <v>440.85999999999996</v>
      </c>
      <c r="AF7">
        <v>269.39999999999998</v>
      </c>
      <c r="AG7">
        <v>79.699999999999989</v>
      </c>
      <c r="AH7">
        <v>3.6799999999999997</v>
      </c>
      <c r="AI7">
        <v>793.64</v>
      </c>
      <c r="AJ7">
        <v>0.20203024415240575</v>
      </c>
      <c r="AK7">
        <v>0.33246804716139899</v>
      </c>
      <c r="AL7">
        <v>0.10438257538227816</v>
      </c>
      <c r="AM7">
        <v>1.6856567257835464E-2</v>
      </c>
      <c r="AN7">
        <v>0.47578189504276902</v>
      </c>
      <c r="AO7">
        <v>0.52421810495723109</v>
      </c>
      <c r="AP7">
        <v>3750.4399999999996</v>
      </c>
      <c r="AQ7">
        <v>458.29999999999995</v>
      </c>
      <c r="AR7">
        <v>0.84</v>
      </c>
      <c r="AS7">
        <v>0</v>
      </c>
      <c r="AT7">
        <v>370.83000000000004</v>
      </c>
      <c r="AU7">
        <v>471.32</v>
      </c>
      <c r="AV7">
        <v>8.25</v>
      </c>
      <c r="AW7">
        <v>40.49</v>
      </c>
      <c r="AX7">
        <v>144.94</v>
      </c>
      <c r="AY7">
        <v>532.82999999999993</v>
      </c>
      <c r="AZ7">
        <v>45.129999999999995</v>
      </c>
      <c r="BA7">
        <v>38.51</v>
      </c>
      <c r="BB7">
        <v>74.89</v>
      </c>
      <c r="BC7">
        <v>132.51999999999998</v>
      </c>
      <c r="BD7">
        <v>150.30999999999997</v>
      </c>
      <c r="BE7">
        <v>136.01999999999998</v>
      </c>
      <c r="BF7">
        <v>722</v>
      </c>
      <c r="BG7">
        <v>65.67</v>
      </c>
      <c r="BH7">
        <v>208.79</v>
      </c>
      <c r="BI7">
        <v>134.61000000000001</v>
      </c>
      <c r="BJ7">
        <v>0.1221989953178827</v>
      </c>
      <c r="BK7">
        <v>2.2397372041680445E-4</v>
      </c>
      <c r="BL7">
        <v>0</v>
      </c>
      <c r="BM7">
        <v>9.8876398502575721E-2</v>
      </c>
      <c r="BN7">
        <v>0.12567058798434319</v>
      </c>
      <c r="BO7">
        <v>2.1997418969507579E-3</v>
      </c>
      <c r="BP7">
        <v>1.0796066594852872E-2</v>
      </c>
      <c r="BQ7">
        <v>3.8646132187156713E-2</v>
      </c>
      <c r="BR7">
        <v>0.14207133029724511</v>
      </c>
      <c r="BS7">
        <v>1.2033254764774267E-2</v>
      </c>
      <c r="BT7">
        <v>1.0268128539584689E-2</v>
      </c>
      <c r="BU7">
        <v>1.996832371668391E-2</v>
      </c>
      <c r="BV7">
        <v>3.5334520749565383E-2</v>
      </c>
      <c r="BW7">
        <v>4.007796418553556E-2</v>
      </c>
      <c r="BX7">
        <v>3.62677445846354E-2</v>
      </c>
      <c r="BY7">
        <v>0.1925107454058724</v>
      </c>
      <c r="BZ7">
        <v>1.7509945499728036E-2</v>
      </c>
      <c r="CA7">
        <v>5.5670801292648335E-2</v>
      </c>
      <c r="CB7">
        <v>3.5891788696792916E-2</v>
      </c>
      <c r="CC7">
        <v>3750.4399999999996</v>
      </c>
      <c r="CD7">
        <v>2127.3000000000002</v>
      </c>
      <c r="CE7">
        <v>1589.63</v>
      </c>
      <c r="CF7">
        <v>7.7799999999999994</v>
      </c>
      <c r="CG7">
        <v>280.84000000000003</v>
      </c>
      <c r="CH7">
        <v>93.64</v>
      </c>
      <c r="CI7">
        <v>177.73999999999998</v>
      </c>
      <c r="CJ7">
        <v>5.04</v>
      </c>
      <c r="CK7">
        <v>0.56721344695555731</v>
      </c>
      <c r="CL7">
        <v>0.42385160141210104</v>
      </c>
      <c r="CM7">
        <v>2.0744232676699267E-3</v>
      </c>
      <c r="CN7">
        <v>0.33342828656886481</v>
      </c>
      <c r="CO7">
        <v>0.63288705312633509</v>
      </c>
      <c r="CP7">
        <v>1.7946161515453637E-2</v>
      </c>
    </row>
    <row r="8" spans="1:94" x14ac:dyDescent="0.15">
      <c r="A8" t="s">
        <v>432</v>
      </c>
      <c r="B8" t="s">
        <v>430</v>
      </c>
      <c r="C8" t="s">
        <v>433</v>
      </c>
      <c r="D8">
        <v>851</v>
      </c>
      <c r="E8">
        <v>507</v>
      </c>
      <c r="F8">
        <v>185</v>
      </c>
      <c r="G8">
        <v>151</v>
      </c>
      <c r="H8">
        <v>0.59576968272620445</v>
      </c>
      <c r="I8">
        <v>0.21739130434782608</v>
      </c>
      <c r="J8">
        <v>0.17743830787309048</v>
      </c>
      <c r="K8">
        <v>2148</v>
      </c>
      <c r="L8">
        <v>387</v>
      </c>
      <c r="M8">
        <v>551</v>
      </c>
      <c r="N8">
        <v>1194</v>
      </c>
      <c r="O8">
        <v>0.18016759776536312</v>
      </c>
      <c r="P8">
        <v>0.2565176908752328</v>
      </c>
      <c r="Q8">
        <v>0.55586592178770955</v>
      </c>
      <c r="R8">
        <v>2148</v>
      </c>
      <c r="S8">
        <v>145</v>
      </c>
      <c r="T8">
        <v>113</v>
      </c>
      <c r="U8">
        <v>29</v>
      </c>
      <c r="V8">
        <v>33</v>
      </c>
      <c r="W8">
        <v>320</v>
      </c>
      <c r="X8">
        <v>1021</v>
      </c>
      <c r="Y8">
        <v>70</v>
      </c>
      <c r="Z8">
        <v>51</v>
      </c>
      <c r="AA8">
        <v>13</v>
      </c>
      <c r="AB8">
        <v>19</v>
      </c>
      <c r="AC8">
        <v>153</v>
      </c>
      <c r="AD8">
        <v>1127</v>
      </c>
      <c r="AE8">
        <v>75</v>
      </c>
      <c r="AF8">
        <v>62</v>
      </c>
      <c r="AG8">
        <v>16</v>
      </c>
      <c r="AH8">
        <v>14</v>
      </c>
      <c r="AI8">
        <v>167</v>
      </c>
      <c r="AJ8">
        <v>0.148975791433892</v>
      </c>
      <c r="AK8">
        <v>0.35312500000000002</v>
      </c>
      <c r="AL8">
        <v>9.0624999999999997E-2</v>
      </c>
      <c r="AM8">
        <v>0.10312499999999999</v>
      </c>
      <c r="AN8">
        <v>0.47812500000000002</v>
      </c>
      <c r="AO8">
        <v>0.52187499999999998</v>
      </c>
      <c r="AP8">
        <v>1148</v>
      </c>
      <c r="AQ8">
        <v>325</v>
      </c>
      <c r="AR8">
        <v>1</v>
      </c>
      <c r="AS8">
        <v>0</v>
      </c>
      <c r="AT8">
        <v>116</v>
      </c>
      <c r="AU8">
        <v>140</v>
      </c>
      <c r="AV8">
        <v>2</v>
      </c>
      <c r="AW8">
        <v>6</v>
      </c>
      <c r="AX8">
        <v>40</v>
      </c>
      <c r="AY8">
        <v>131</v>
      </c>
      <c r="AZ8">
        <v>13</v>
      </c>
      <c r="BA8">
        <v>8</v>
      </c>
      <c r="BB8">
        <v>22</v>
      </c>
      <c r="BC8">
        <v>30</v>
      </c>
      <c r="BD8">
        <v>25</v>
      </c>
      <c r="BE8">
        <v>20</v>
      </c>
      <c r="BF8">
        <v>164</v>
      </c>
      <c r="BG8">
        <v>12</v>
      </c>
      <c r="BH8">
        <v>72</v>
      </c>
      <c r="BI8">
        <v>19</v>
      </c>
      <c r="BJ8">
        <v>0.28310104529616725</v>
      </c>
      <c r="BK8">
        <v>8.710801393728223E-4</v>
      </c>
      <c r="BL8">
        <v>0</v>
      </c>
      <c r="BM8">
        <v>0.10104529616724739</v>
      </c>
      <c r="BN8">
        <v>0.12195121951219512</v>
      </c>
      <c r="BO8">
        <v>1.7421602787456446E-3</v>
      </c>
      <c r="BP8">
        <v>5.2264808362369342E-3</v>
      </c>
      <c r="BQ8">
        <v>3.484320557491289E-2</v>
      </c>
      <c r="BR8">
        <v>0.11411149825783973</v>
      </c>
      <c r="BS8">
        <v>1.1324041811846691E-2</v>
      </c>
      <c r="BT8">
        <v>6.9686411149825784E-3</v>
      </c>
      <c r="BU8">
        <v>1.9163763066202089E-2</v>
      </c>
      <c r="BV8">
        <v>2.6132404181184669E-2</v>
      </c>
      <c r="BW8">
        <v>2.1777003484320559E-2</v>
      </c>
      <c r="BX8">
        <v>1.7421602787456445E-2</v>
      </c>
      <c r="BY8">
        <v>0.14285714285714285</v>
      </c>
      <c r="BZ8">
        <v>1.0452961672473868E-2</v>
      </c>
      <c r="CA8">
        <v>6.2717770034843204E-2</v>
      </c>
      <c r="CB8">
        <v>1.6550522648083623E-2</v>
      </c>
      <c r="CC8">
        <v>1148</v>
      </c>
      <c r="CD8">
        <v>729</v>
      </c>
      <c r="CE8">
        <v>415</v>
      </c>
      <c r="CF8">
        <v>1</v>
      </c>
      <c r="CG8">
        <v>77</v>
      </c>
      <c r="CH8">
        <v>29</v>
      </c>
      <c r="CI8">
        <v>48</v>
      </c>
      <c r="CJ8">
        <v>0</v>
      </c>
      <c r="CK8">
        <v>0.6350174216027874</v>
      </c>
      <c r="CL8">
        <v>0.36149825783972128</v>
      </c>
      <c r="CM8">
        <v>8.710801393728223E-4</v>
      </c>
      <c r="CN8">
        <v>0.37662337662337664</v>
      </c>
      <c r="CO8">
        <v>0.62337662337662336</v>
      </c>
      <c r="CP8">
        <v>0</v>
      </c>
    </row>
    <row r="9" spans="1:94" x14ac:dyDescent="0.15">
      <c r="A9" t="s">
        <v>434</v>
      </c>
      <c r="B9" t="s">
        <v>430</v>
      </c>
      <c r="C9" t="s">
        <v>435</v>
      </c>
      <c r="D9">
        <v>488.73</v>
      </c>
      <c r="E9">
        <v>328</v>
      </c>
      <c r="F9">
        <v>114.87</v>
      </c>
      <c r="G9">
        <v>103.28</v>
      </c>
      <c r="H9">
        <v>0.67112720725144759</v>
      </c>
      <c r="I9">
        <v>0.23503775090540791</v>
      </c>
      <c r="J9">
        <v>0.21132322550283386</v>
      </c>
      <c r="K9">
        <v>1112.3900000000001</v>
      </c>
      <c r="L9">
        <v>243.69</v>
      </c>
      <c r="M9">
        <v>200.57</v>
      </c>
      <c r="N9">
        <v>660.27</v>
      </c>
      <c r="O9">
        <v>0.21906885175163385</v>
      </c>
      <c r="P9">
        <v>0.18030546840586484</v>
      </c>
      <c r="Q9">
        <v>0.59355981265563329</v>
      </c>
      <c r="R9">
        <v>1112.3900000000001</v>
      </c>
      <c r="S9">
        <v>43.230000000000004</v>
      </c>
      <c r="T9">
        <v>38.159999999999997</v>
      </c>
      <c r="U9">
        <v>17.509999999999998</v>
      </c>
      <c r="V9">
        <v>1.2</v>
      </c>
      <c r="W9">
        <v>100.10000000000001</v>
      </c>
      <c r="X9">
        <v>528.6</v>
      </c>
      <c r="Y9">
        <v>17.79</v>
      </c>
      <c r="Z9">
        <v>20.69</v>
      </c>
      <c r="AA9">
        <v>9.4499999999999993</v>
      </c>
      <c r="AB9">
        <v>0.62</v>
      </c>
      <c r="AC9">
        <v>48.550000000000004</v>
      </c>
      <c r="AD9">
        <v>583.79000000000008</v>
      </c>
      <c r="AE9">
        <v>25.439999999999998</v>
      </c>
      <c r="AF9">
        <v>17.47</v>
      </c>
      <c r="AG9">
        <v>8.06</v>
      </c>
      <c r="AH9">
        <v>0.57999999999999996</v>
      </c>
      <c r="AI9">
        <v>51.55</v>
      </c>
      <c r="AJ9">
        <v>8.998642562410665E-2</v>
      </c>
      <c r="AK9">
        <v>0.38121878121878117</v>
      </c>
      <c r="AL9">
        <v>0.17492507492507489</v>
      </c>
      <c r="AM9">
        <v>1.1988011988011986E-2</v>
      </c>
      <c r="AN9">
        <v>0.48501498501498502</v>
      </c>
      <c r="AO9">
        <v>0.51498501498501492</v>
      </c>
      <c r="AP9">
        <v>606.39</v>
      </c>
      <c r="AQ9">
        <v>216.44000000000003</v>
      </c>
      <c r="AR9">
        <v>0</v>
      </c>
      <c r="AS9">
        <v>0</v>
      </c>
      <c r="AT9">
        <v>62.150000000000006</v>
      </c>
      <c r="AU9">
        <v>59.09</v>
      </c>
      <c r="AV9">
        <v>0.41</v>
      </c>
      <c r="AW9">
        <v>4.99</v>
      </c>
      <c r="AX9">
        <v>13.74</v>
      </c>
      <c r="AY9">
        <v>62.32</v>
      </c>
      <c r="AZ9">
        <v>3.6100000000000003</v>
      </c>
      <c r="BA9">
        <v>3.5700000000000003</v>
      </c>
      <c r="BB9">
        <v>10.56</v>
      </c>
      <c r="BC9">
        <v>15.43</v>
      </c>
      <c r="BD9">
        <v>7.76</v>
      </c>
      <c r="BE9">
        <v>10.7</v>
      </c>
      <c r="BF9">
        <v>80.900000000000006</v>
      </c>
      <c r="BG9">
        <v>10.050000000000001</v>
      </c>
      <c r="BH9">
        <v>29.95</v>
      </c>
      <c r="BI9">
        <v>14.72</v>
      </c>
      <c r="BJ9">
        <v>0.35693200745394882</v>
      </c>
      <c r="BK9">
        <v>0</v>
      </c>
      <c r="BL9">
        <v>0</v>
      </c>
      <c r="BM9">
        <v>0.10249179570903215</v>
      </c>
      <c r="BN9">
        <v>9.7445538349906838E-2</v>
      </c>
      <c r="BO9">
        <v>6.7613252197430695E-4</v>
      </c>
      <c r="BP9">
        <v>8.2290275235409552E-3</v>
      </c>
      <c r="BQ9">
        <v>2.2658685004699947E-2</v>
      </c>
      <c r="BR9">
        <v>0.10277214334009466</v>
      </c>
      <c r="BS9">
        <v>5.953264400798167E-3</v>
      </c>
      <c r="BT9">
        <v>5.8873002523128683E-3</v>
      </c>
      <c r="BU9">
        <v>1.7414535200118736E-2</v>
      </c>
      <c r="BV9">
        <v>2.5445670278203797E-2</v>
      </c>
      <c r="BW9">
        <v>1.2797044806147859E-2</v>
      </c>
      <c r="BX9">
        <v>1.7645409719817279E-2</v>
      </c>
      <c r="BY9">
        <v>0.1334124903115157</v>
      </c>
      <c r="BZ9">
        <v>1.6573492306931184E-2</v>
      </c>
      <c r="CA9">
        <v>4.9390656178367055E-2</v>
      </c>
      <c r="CB9">
        <v>2.4274806642589755E-2</v>
      </c>
      <c r="CC9">
        <v>606.39</v>
      </c>
      <c r="CD9">
        <v>416.63</v>
      </c>
      <c r="CE9">
        <v>184.97</v>
      </c>
      <c r="CF9">
        <v>2.72</v>
      </c>
      <c r="CG9">
        <v>20.57</v>
      </c>
      <c r="CH9">
        <v>9.19</v>
      </c>
      <c r="CI9">
        <v>10.61</v>
      </c>
      <c r="CJ9">
        <v>0</v>
      </c>
      <c r="CK9">
        <v>0.68706607958574517</v>
      </c>
      <c r="CL9">
        <v>0.30503471363314039</v>
      </c>
      <c r="CM9">
        <v>4.4855620970002804E-3</v>
      </c>
      <c r="CN9">
        <v>0.44676713660670875</v>
      </c>
      <c r="CO9">
        <v>0.51579970831307731</v>
      </c>
      <c r="CP9">
        <v>0</v>
      </c>
    </row>
    <row r="10" spans="1:94" x14ac:dyDescent="0.15">
      <c r="A10" t="s">
        <v>436</v>
      </c>
      <c r="B10" t="s">
        <v>430</v>
      </c>
      <c r="C10" t="s">
        <v>437</v>
      </c>
      <c r="D10">
        <v>355.98999999999995</v>
      </c>
      <c r="E10">
        <v>239.2</v>
      </c>
      <c r="F10">
        <v>82.449999999999989</v>
      </c>
      <c r="G10">
        <v>80.44</v>
      </c>
      <c r="H10">
        <v>0.67192898676929136</v>
      </c>
      <c r="I10">
        <v>0.23160762942779292</v>
      </c>
      <c r="J10">
        <v>0.22596140341020818</v>
      </c>
      <c r="K10">
        <v>792.81</v>
      </c>
      <c r="L10">
        <v>171.67</v>
      </c>
      <c r="M10">
        <v>153.47000000000003</v>
      </c>
      <c r="N10">
        <v>465.36999999999995</v>
      </c>
      <c r="O10">
        <v>0.21653359569127534</v>
      </c>
      <c r="P10">
        <v>0.19357727576594649</v>
      </c>
      <c r="Q10">
        <v>0.58698805514562125</v>
      </c>
      <c r="R10">
        <v>792.81</v>
      </c>
      <c r="S10">
        <v>36.97</v>
      </c>
      <c r="T10">
        <v>28.64</v>
      </c>
      <c r="U10">
        <v>11.01</v>
      </c>
      <c r="V10">
        <v>2.84</v>
      </c>
      <c r="W10">
        <v>79.460000000000008</v>
      </c>
      <c r="X10">
        <v>371.52</v>
      </c>
      <c r="Y10">
        <v>13.409999999999998</v>
      </c>
      <c r="Z10">
        <v>17.149999999999999</v>
      </c>
      <c r="AA10">
        <v>4.91</v>
      </c>
      <c r="AB10">
        <v>1.42</v>
      </c>
      <c r="AC10">
        <v>36.89</v>
      </c>
      <c r="AD10">
        <v>421.28999999999996</v>
      </c>
      <c r="AE10">
        <v>23.56</v>
      </c>
      <c r="AF10">
        <v>11.49</v>
      </c>
      <c r="AG10">
        <v>6.1</v>
      </c>
      <c r="AH10">
        <v>1.42</v>
      </c>
      <c r="AI10">
        <v>42.57</v>
      </c>
      <c r="AJ10">
        <v>0.1002257791904744</v>
      </c>
      <c r="AK10">
        <v>0.36043292222501883</v>
      </c>
      <c r="AL10">
        <v>0.1385602819028442</v>
      </c>
      <c r="AM10">
        <v>3.5741253460860808E-2</v>
      </c>
      <c r="AN10">
        <v>0.46425874653913918</v>
      </c>
      <c r="AO10">
        <v>0.53574125346086077</v>
      </c>
      <c r="AP10">
        <v>417.77</v>
      </c>
      <c r="AQ10">
        <v>140.24</v>
      </c>
      <c r="AR10">
        <v>0</v>
      </c>
      <c r="AS10">
        <v>0</v>
      </c>
      <c r="AT10">
        <v>51.489999999999995</v>
      </c>
      <c r="AU10">
        <v>34.47</v>
      </c>
      <c r="AV10">
        <v>0.71</v>
      </c>
      <c r="AW10">
        <v>2.09</v>
      </c>
      <c r="AX10">
        <v>10.34</v>
      </c>
      <c r="AY10">
        <v>35.159999999999997</v>
      </c>
      <c r="AZ10">
        <v>2.59</v>
      </c>
      <c r="BA10">
        <v>2.59</v>
      </c>
      <c r="BB10">
        <v>10.84</v>
      </c>
      <c r="BC10">
        <v>8.17</v>
      </c>
      <c r="BD10">
        <v>6.12</v>
      </c>
      <c r="BE10">
        <v>9.9</v>
      </c>
      <c r="BF10">
        <v>57.379999999999995</v>
      </c>
      <c r="BG10">
        <v>7.27</v>
      </c>
      <c r="BH10">
        <v>24.73</v>
      </c>
      <c r="BI10">
        <v>13.68</v>
      </c>
      <c r="BJ10">
        <v>0.33568710055772316</v>
      </c>
      <c r="BK10">
        <v>0</v>
      </c>
      <c r="BL10">
        <v>0</v>
      </c>
      <c r="BM10">
        <v>0.12324963496660842</v>
      </c>
      <c r="BN10">
        <v>8.2509514804796902E-2</v>
      </c>
      <c r="BO10">
        <v>1.6994997247289179E-3</v>
      </c>
      <c r="BP10">
        <v>5.0027527108217435E-3</v>
      </c>
      <c r="BQ10">
        <v>2.4750460779854946E-2</v>
      </c>
      <c r="BR10">
        <v>8.41611412978433E-2</v>
      </c>
      <c r="BS10">
        <v>6.1995835028843625E-3</v>
      </c>
      <c r="BT10">
        <v>6.1995835028843625E-3</v>
      </c>
      <c r="BU10">
        <v>2.5947291571917563E-2</v>
      </c>
      <c r="BV10">
        <v>1.9556215142303181E-2</v>
      </c>
      <c r="BW10">
        <v>1.4649208894846447E-2</v>
      </c>
      <c r="BX10">
        <v>2.369724968283984E-2</v>
      </c>
      <c r="BY10">
        <v>0.13734830169710605</v>
      </c>
      <c r="BZ10">
        <v>1.7401919716590469E-2</v>
      </c>
      <c r="CA10">
        <v>5.9195250975417099E-2</v>
      </c>
      <c r="CB10">
        <v>3.2745290470833237E-2</v>
      </c>
      <c r="CC10">
        <v>417.77</v>
      </c>
      <c r="CD10">
        <v>275.77</v>
      </c>
      <c r="CE10">
        <v>139.42999999999998</v>
      </c>
      <c r="CF10">
        <v>1.4</v>
      </c>
      <c r="CG10">
        <v>14.79</v>
      </c>
      <c r="CH10">
        <v>6.33</v>
      </c>
      <c r="CI10">
        <v>8.23</v>
      </c>
      <c r="CJ10">
        <v>0</v>
      </c>
      <c r="CK10">
        <v>0.66010005505421643</v>
      </c>
      <c r="CL10">
        <v>0.33374823467458165</v>
      </c>
      <c r="CM10">
        <v>3.351126217775331E-3</v>
      </c>
      <c r="CN10">
        <v>0.42799188640973634</v>
      </c>
      <c r="CO10">
        <v>0.55645706558485464</v>
      </c>
      <c r="CP10">
        <v>0</v>
      </c>
    </row>
    <row r="11" spans="1:94" x14ac:dyDescent="0.15">
      <c r="A11" t="s">
        <v>438</v>
      </c>
      <c r="B11" t="s">
        <v>430</v>
      </c>
      <c r="C11" t="s">
        <v>439</v>
      </c>
      <c r="D11">
        <v>569.28</v>
      </c>
      <c r="E11">
        <v>364.8</v>
      </c>
      <c r="F11">
        <v>127.67999999999999</v>
      </c>
      <c r="G11">
        <v>113.28</v>
      </c>
      <c r="H11">
        <v>0.64080944350758862</v>
      </c>
      <c r="I11">
        <v>0.22428330522765599</v>
      </c>
      <c r="J11">
        <v>0.19898819561551434</v>
      </c>
      <c r="K11">
        <v>1276.8</v>
      </c>
      <c r="L11">
        <v>248.64</v>
      </c>
      <c r="M11">
        <v>240.95999999999998</v>
      </c>
      <c r="N11">
        <v>783.36</v>
      </c>
      <c r="O11">
        <v>0.19473684210526315</v>
      </c>
      <c r="P11">
        <v>0.18872180451127818</v>
      </c>
      <c r="Q11">
        <v>0.61353383458646615</v>
      </c>
      <c r="R11">
        <v>1276.8</v>
      </c>
      <c r="S11">
        <v>52.8</v>
      </c>
      <c r="T11">
        <v>43.199999999999996</v>
      </c>
      <c r="U11">
        <v>12.48</v>
      </c>
      <c r="V11">
        <v>0.96</v>
      </c>
      <c r="W11">
        <v>109.44</v>
      </c>
      <c r="X11">
        <v>602.88</v>
      </c>
      <c r="Y11">
        <v>28.799999999999997</v>
      </c>
      <c r="Z11">
        <v>20.16</v>
      </c>
      <c r="AA11">
        <v>8.64</v>
      </c>
      <c r="AB11">
        <v>0.96</v>
      </c>
      <c r="AC11">
        <v>58.559999999999995</v>
      </c>
      <c r="AD11">
        <v>673.92</v>
      </c>
      <c r="AE11">
        <v>24</v>
      </c>
      <c r="AF11">
        <v>23.04</v>
      </c>
      <c r="AG11">
        <v>3.84</v>
      </c>
      <c r="AH11">
        <v>0</v>
      </c>
      <c r="AI11">
        <v>50.879999999999995</v>
      </c>
      <c r="AJ11">
        <v>8.5714285714285715E-2</v>
      </c>
      <c r="AK11">
        <v>0.39473684210526311</v>
      </c>
      <c r="AL11">
        <v>0.11403508771929825</v>
      </c>
      <c r="AM11">
        <v>8.771929824561403E-3</v>
      </c>
      <c r="AN11">
        <v>0.53508771929824561</v>
      </c>
      <c r="AO11">
        <v>0.46491228070175433</v>
      </c>
      <c r="AP11">
        <v>723.83999999999992</v>
      </c>
      <c r="AQ11">
        <v>256.32</v>
      </c>
      <c r="AR11">
        <v>0</v>
      </c>
      <c r="AS11">
        <v>0</v>
      </c>
      <c r="AT11">
        <v>63.36</v>
      </c>
      <c r="AU11">
        <v>85.44</v>
      </c>
      <c r="AV11">
        <v>2.88</v>
      </c>
      <c r="AW11">
        <v>1.92</v>
      </c>
      <c r="AX11">
        <v>25.919999999999998</v>
      </c>
      <c r="AY11">
        <v>83.52</v>
      </c>
      <c r="AZ11">
        <v>4.8</v>
      </c>
      <c r="BA11">
        <v>3.84</v>
      </c>
      <c r="BB11">
        <v>9.6</v>
      </c>
      <c r="BC11">
        <v>14.399999999999999</v>
      </c>
      <c r="BD11">
        <v>21.119999999999997</v>
      </c>
      <c r="BE11">
        <v>14.399999999999999</v>
      </c>
      <c r="BF11">
        <v>78.72</v>
      </c>
      <c r="BG11">
        <v>7.68</v>
      </c>
      <c r="BH11">
        <v>40.32</v>
      </c>
      <c r="BI11">
        <v>9.6</v>
      </c>
      <c r="BJ11">
        <v>0.35411140583554379</v>
      </c>
      <c r="BK11">
        <v>0</v>
      </c>
      <c r="BL11">
        <v>0</v>
      </c>
      <c r="BM11">
        <v>8.7533156498673756E-2</v>
      </c>
      <c r="BN11">
        <v>0.1180371352785146</v>
      </c>
      <c r="BO11">
        <v>3.9787798408488064E-3</v>
      </c>
      <c r="BP11">
        <v>2.6525198938992045E-3</v>
      </c>
      <c r="BQ11">
        <v>3.580901856763926E-2</v>
      </c>
      <c r="BR11">
        <v>0.11538461538461539</v>
      </c>
      <c r="BS11">
        <v>6.6312997347480109E-3</v>
      </c>
      <c r="BT11">
        <v>5.3050397877984091E-3</v>
      </c>
      <c r="BU11">
        <v>1.3262599469496022E-2</v>
      </c>
      <c r="BV11">
        <v>1.9893899204244031E-2</v>
      </c>
      <c r="BW11">
        <v>2.9177718832891247E-2</v>
      </c>
      <c r="BX11">
        <v>1.9893899204244031E-2</v>
      </c>
      <c r="BY11">
        <v>0.10875331564986739</v>
      </c>
      <c r="BZ11">
        <v>1.0610079575596818E-2</v>
      </c>
      <c r="CA11">
        <v>5.5702917771883298E-2</v>
      </c>
      <c r="CB11">
        <v>1.3262599469496022E-2</v>
      </c>
      <c r="CC11">
        <v>723.83999999999992</v>
      </c>
      <c r="CD11">
        <v>465.59999999999997</v>
      </c>
      <c r="CE11">
        <v>249.6</v>
      </c>
      <c r="CF11">
        <v>2.88</v>
      </c>
      <c r="CG11">
        <v>32.64</v>
      </c>
      <c r="CH11">
        <v>12.48</v>
      </c>
      <c r="CI11">
        <v>20.16</v>
      </c>
      <c r="CJ11">
        <v>0</v>
      </c>
      <c r="CK11">
        <v>0.64323607427055707</v>
      </c>
      <c r="CL11">
        <v>0.34482758620689657</v>
      </c>
      <c r="CM11">
        <v>3.9787798408488064E-3</v>
      </c>
      <c r="CN11">
        <v>0.38235294117647062</v>
      </c>
      <c r="CO11">
        <v>0.61764705882352944</v>
      </c>
      <c r="CP11">
        <v>0</v>
      </c>
    </row>
    <row r="12" spans="1:94" x14ac:dyDescent="0.15">
      <c r="A12" t="s">
        <v>440</v>
      </c>
      <c r="B12" t="s">
        <v>430</v>
      </c>
      <c r="C12" t="s">
        <v>441</v>
      </c>
      <c r="D12">
        <v>2173.0299999999997</v>
      </c>
      <c r="E12">
        <v>1174.52</v>
      </c>
      <c r="F12">
        <v>431.93</v>
      </c>
      <c r="G12">
        <v>356.05</v>
      </c>
      <c r="H12">
        <v>0.54049875059249075</v>
      </c>
      <c r="I12">
        <v>0.19876853978085901</v>
      </c>
      <c r="J12">
        <v>0.16384955568952111</v>
      </c>
      <c r="K12">
        <v>5574.32</v>
      </c>
      <c r="L12">
        <v>645.54</v>
      </c>
      <c r="M12">
        <v>1827.56</v>
      </c>
      <c r="N12">
        <v>3029.1400000000003</v>
      </c>
      <c r="O12">
        <v>0.11580605347378693</v>
      </c>
      <c r="P12">
        <v>0.32785344221357943</v>
      </c>
      <c r="Q12">
        <v>0.54340977913001054</v>
      </c>
      <c r="R12">
        <v>5574.32</v>
      </c>
      <c r="S12">
        <v>615.94000000000005</v>
      </c>
      <c r="T12">
        <v>420.65999999999997</v>
      </c>
      <c r="U12">
        <v>97.97</v>
      </c>
      <c r="V12">
        <v>53.480000000000004</v>
      </c>
      <c r="W12">
        <v>1188.05</v>
      </c>
      <c r="X12">
        <v>2572.31</v>
      </c>
      <c r="Y12">
        <v>259.8</v>
      </c>
      <c r="Z12">
        <v>189.06</v>
      </c>
      <c r="AA12">
        <v>45.67</v>
      </c>
      <c r="AB12">
        <v>24.16</v>
      </c>
      <c r="AC12">
        <v>518.69000000000005</v>
      </c>
      <c r="AD12">
        <v>3002.01</v>
      </c>
      <c r="AE12">
        <v>356.14</v>
      </c>
      <c r="AF12">
        <v>231.6</v>
      </c>
      <c r="AG12">
        <v>52.3</v>
      </c>
      <c r="AH12">
        <v>29.32</v>
      </c>
      <c r="AI12">
        <v>669.36</v>
      </c>
      <c r="AJ12">
        <v>0.21312913503351083</v>
      </c>
      <c r="AK12">
        <v>0.35407600690206642</v>
      </c>
      <c r="AL12">
        <v>8.246285930726821E-2</v>
      </c>
      <c r="AM12">
        <v>4.501494044863432E-2</v>
      </c>
      <c r="AN12">
        <v>0.43658936913429575</v>
      </c>
      <c r="AO12">
        <v>0.56341063086570431</v>
      </c>
      <c r="AP12">
        <v>2742.56</v>
      </c>
      <c r="AQ12">
        <v>364.7</v>
      </c>
      <c r="AR12">
        <v>0.16</v>
      </c>
      <c r="AS12">
        <v>0</v>
      </c>
      <c r="AT12">
        <v>328.17</v>
      </c>
      <c r="AU12">
        <v>368.68</v>
      </c>
      <c r="AV12">
        <v>8.75</v>
      </c>
      <c r="AW12">
        <v>22.509999999999998</v>
      </c>
      <c r="AX12">
        <v>94.06</v>
      </c>
      <c r="AY12">
        <v>380.17</v>
      </c>
      <c r="AZ12">
        <v>36.870000000000005</v>
      </c>
      <c r="BA12">
        <v>28.490000000000002</v>
      </c>
      <c r="BB12">
        <v>55.11</v>
      </c>
      <c r="BC12">
        <v>103.47999999999999</v>
      </c>
      <c r="BD12">
        <v>87.69</v>
      </c>
      <c r="BE12">
        <v>83.98</v>
      </c>
      <c r="BF12">
        <v>482</v>
      </c>
      <c r="BG12">
        <v>39.33</v>
      </c>
      <c r="BH12">
        <v>153.20999999999998</v>
      </c>
      <c r="BI12">
        <v>100.39</v>
      </c>
      <c r="BJ12">
        <v>0.13297794761099119</v>
      </c>
      <c r="BK12">
        <v>5.8339653462458439E-5</v>
      </c>
      <c r="BL12">
        <v>0</v>
      </c>
      <c r="BM12">
        <v>0.11965827547984366</v>
      </c>
      <c r="BN12">
        <v>0.13442914649086984</v>
      </c>
      <c r="BO12">
        <v>3.1904497987281957E-3</v>
      </c>
      <c r="BP12">
        <v>8.2076599964996198E-3</v>
      </c>
      <c r="BQ12">
        <v>3.4296423779242753E-2</v>
      </c>
      <c r="BR12">
        <v>0.13861866285514265</v>
      </c>
      <c r="BS12">
        <v>1.3443643894755266E-2</v>
      </c>
      <c r="BT12">
        <v>1.0388104544659006E-2</v>
      </c>
      <c r="BU12">
        <v>2.0094364389475528E-2</v>
      </c>
      <c r="BV12">
        <v>3.7731170876844987E-2</v>
      </c>
      <c r="BW12">
        <v>3.1973776325768623E-2</v>
      </c>
      <c r="BX12">
        <v>3.0621025611107872E-2</v>
      </c>
      <c r="BY12">
        <v>0.17574820605565603</v>
      </c>
      <c r="BZ12">
        <v>1.4340616066740563E-2</v>
      </c>
      <c r="CA12">
        <v>5.5863864418645347E-2</v>
      </c>
      <c r="CB12">
        <v>3.6604486319351266E-2</v>
      </c>
      <c r="CC12">
        <v>2742.56</v>
      </c>
      <c r="CD12">
        <v>1465.7</v>
      </c>
      <c r="CE12">
        <v>1256.3699999999999</v>
      </c>
      <c r="CF12">
        <v>8.2199999999999989</v>
      </c>
      <c r="CG12">
        <v>208.16</v>
      </c>
      <c r="CH12">
        <v>66.36</v>
      </c>
      <c r="CI12">
        <v>133.26</v>
      </c>
      <c r="CJ12">
        <v>4.96</v>
      </c>
      <c r="CK12">
        <v>0.53442768799953333</v>
      </c>
      <c r="CL12">
        <v>0.45810119012893058</v>
      </c>
      <c r="CM12">
        <v>2.9971996966338017E-3</v>
      </c>
      <c r="CN12">
        <v>0.318793235972329</v>
      </c>
      <c r="CO12">
        <v>0.64018063028439653</v>
      </c>
      <c r="CP12">
        <v>2.3827824750192159E-2</v>
      </c>
    </row>
    <row r="15" spans="1:94" x14ac:dyDescent="0.15">
      <c r="D15" s="202"/>
      <c r="E15" s="202"/>
      <c r="F15" s="202"/>
      <c r="G15" s="202"/>
      <c r="H15" s="202"/>
      <c r="I15" s="202"/>
      <c r="J15" s="202"/>
      <c r="K15" s="202"/>
      <c r="L15" s="202"/>
      <c r="M15" s="202"/>
      <c r="N15" s="202"/>
      <c r="O15" s="202"/>
      <c r="P15" s="202"/>
      <c r="Q15" s="202"/>
      <c r="R15" s="202"/>
      <c r="S15" s="202"/>
      <c r="T15" s="202"/>
      <c r="U15" s="202"/>
      <c r="V15" s="202"/>
      <c r="W15" s="202"/>
      <c r="X15" s="202"/>
      <c r="Y15" s="202"/>
      <c r="Z15" s="202"/>
      <c r="AA15" s="202"/>
      <c r="AB15" s="202"/>
      <c r="AC15" s="202"/>
      <c r="AD15" s="202"/>
      <c r="AE15" s="202"/>
      <c r="AF15" s="202"/>
      <c r="AG15" s="202"/>
      <c r="AH15" s="202"/>
      <c r="AI15" s="202"/>
      <c r="AJ15" s="202"/>
      <c r="AK15" s="202"/>
      <c r="AL15" s="202"/>
      <c r="AM15" s="202"/>
      <c r="AN15" s="202"/>
      <c r="AO15" s="202"/>
      <c r="AP15" s="202"/>
      <c r="AQ15" s="202"/>
      <c r="AR15" s="202"/>
      <c r="AS15" s="202"/>
      <c r="AT15" s="202"/>
      <c r="AU15" s="202"/>
      <c r="AV15" s="202"/>
      <c r="AW15" s="202"/>
      <c r="AX15" s="202"/>
      <c r="AY15" s="202"/>
      <c r="AZ15" s="202"/>
      <c r="BA15" s="202"/>
      <c r="BB15" s="202"/>
      <c r="BC15" s="202"/>
      <c r="BD15" s="202"/>
      <c r="BE15" s="202"/>
      <c r="BF15" s="202"/>
      <c r="BG15" s="202"/>
      <c r="BH15" s="202"/>
      <c r="BI15" s="202"/>
      <c r="BJ15" s="202"/>
      <c r="BK15" s="202"/>
      <c r="BL15" s="202"/>
      <c r="BM15" s="202"/>
      <c r="BN15" s="202"/>
      <c r="BO15" s="202"/>
      <c r="BP15" s="202"/>
      <c r="BQ15" s="202"/>
      <c r="BR15" s="202"/>
      <c r="BS15" s="202"/>
      <c r="BT15" s="202"/>
      <c r="BU15" s="202"/>
      <c r="BV15" s="202"/>
      <c r="BW15" s="202"/>
      <c r="BX15" s="202"/>
      <c r="BY15" s="202"/>
      <c r="BZ15" s="202"/>
      <c r="CA15" s="202"/>
      <c r="CB15" s="202"/>
      <c r="CC15" s="202"/>
      <c r="CD15" s="202"/>
      <c r="CE15" s="202"/>
      <c r="CF15" s="202"/>
      <c r="CG15" s="202"/>
      <c r="CH15" s="202"/>
      <c r="CI15" s="202"/>
      <c r="CJ15" s="202"/>
      <c r="CK15" s="202"/>
      <c r="CL15" s="202"/>
      <c r="CM15" s="202"/>
      <c r="CN15" s="202"/>
      <c r="CO15" s="202"/>
      <c r="CP15" s="202"/>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4" t="str">
        <f>管理者入力シート!B4</f>
        <v>本庄小学校区</v>
      </c>
      <c r="C2" s="254"/>
      <c r="D2" s="254"/>
      <c r="E2" s="253" t="s">
        <v>225</v>
      </c>
      <c r="F2" s="253"/>
      <c r="G2" s="253"/>
      <c r="H2" s="253"/>
      <c r="I2" s="253"/>
    </row>
    <row r="3" spans="1:10" ht="22.5" customHeight="1" x14ac:dyDescent="0.15">
      <c r="B3" s="254"/>
      <c r="C3" s="254"/>
      <c r="D3" s="254"/>
      <c r="E3" s="253"/>
      <c r="F3" s="253"/>
      <c r="G3" s="253"/>
      <c r="H3" s="253"/>
      <c r="I3" s="253"/>
    </row>
    <row r="4" spans="1:10" ht="22.5" customHeight="1" x14ac:dyDescent="0.15">
      <c r="B4" s="107"/>
      <c r="C4" s="107"/>
      <c r="D4" s="107"/>
      <c r="E4" s="35"/>
      <c r="F4" s="35"/>
      <c r="G4" s="35"/>
      <c r="H4" s="35"/>
      <c r="I4" s="35"/>
      <c r="J4" s="35"/>
    </row>
    <row r="5" spans="1:10" s="39" customFormat="1" ht="40.5" customHeight="1" x14ac:dyDescent="0.15">
      <c r="A5" s="108" t="s">
        <v>64</v>
      </c>
    </row>
    <row r="6" spans="1:10" ht="22.5" customHeight="1" x14ac:dyDescent="0.15">
      <c r="A6" s="249">
        <f>管理者入力シート!B5</f>
        <v>2020</v>
      </c>
      <c r="B6" s="249"/>
      <c r="C6" s="20" t="s">
        <v>248</v>
      </c>
      <c r="E6" s="257">
        <f>管理者用グラフシート!E6</f>
        <v>7495</v>
      </c>
      <c r="F6" s="257"/>
      <c r="G6" s="20" t="s">
        <v>54</v>
      </c>
    </row>
    <row r="7" spans="1:10" ht="22.5" customHeight="1" x14ac:dyDescent="0.15">
      <c r="A7" s="249">
        <f>管理者用グラフシート!B4</f>
        <v>2010</v>
      </c>
      <c r="B7" s="249"/>
      <c r="C7" s="82" t="s">
        <v>226</v>
      </c>
      <c r="D7" s="251">
        <f>E6-管理者用グラフシート!E4</f>
        <v>-910</v>
      </c>
      <c r="E7" s="251"/>
      <c r="F7" s="20" t="s">
        <v>356</v>
      </c>
    </row>
    <row r="8" spans="1:10" ht="22.5" customHeight="1" x14ac:dyDescent="0.15">
      <c r="A8" s="248" t="s">
        <v>380</v>
      </c>
      <c r="B8" s="248"/>
      <c r="C8" s="204">
        <f>管理者用グラフシート!C6-管理者用グラフシート!C4</f>
        <v>-439</v>
      </c>
      <c r="D8" s="207" t="s">
        <v>381</v>
      </c>
      <c r="F8" s="204">
        <f>管理者用グラフシート!D6-管理者用グラフシート!D4</f>
        <v>-471</v>
      </c>
      <c r="G8" s="207" t="s">
        <v>382</v>
      </c>
    </row>
    <row r="22" spans="1:9" ht="22.5" customHeight="1" x14ac:dyDescent="0.15">
      <c r="G22" s="20">
        <v>15</v>
      </c>
    </row>
    <row r="26" spans="1:9" ht="22.5" customHeight="1" thickBot="1" x14ac:dyDescent="0.2"/>
    <row r="27" spans="1:9" ht="22.5" customHeight="1" x14ac:dyDescent="0.15">
      <c r="A27" s="97" t="s">
        <v>227</v>
      </c>
      <c r="B27" s="90"/>
      <c r="C27" s="90"/>
      <c r="D27" s="90"/>
      <c r="E27" s="90"/>
      <c r="F27" s="90"/>
      <c r="G27" s="90"/>
      <c r="H27" s="90"/>
      <c r="I27" s="91"/>
    </row>
    <row r="28" spans="1:9" ht="22.5" customHeight="1" x14ac:dyDescent="0.15">
      <c r="A28" s="92"/>
      <c r="I28" s="93"/>
    </row>
    <row r="29" spans="1:9" ht="22.5" customHeight="1" x14ac:dyDescent="0.15">
      <c r="A29" s="92"/>
      <c r="I29" s="93"/>
    </row>
    <row r="30" spans="1:9" ht="22.5" customHeight="1" x14ac:dyDescent="0.15">
      <c r="A30" s="92"/>
      <c r="I30" s="93"/>
    </row>
    <row r="31" spans="1:9" ht="22.5" customHeight="1" x14ac:dyDescent="0.15">
      <c r="A31" s="92"/>
      <c r="I31" s="93"/>
    </row>
    <row r="32" spans="1:9" ht="22.5" customHeight="1" x14ac:dyDescent="0.15">
      <c r="A32" s="92"/>
      <c r="I32" s="93"/>
    </row>
    <row r="33" spans="1:9" ht="22.5" customHeight="1" x14ac:dyDescent="0.15">
      <c r="A33" s="92"/>
      <c r="I33" s="93"/>
    </row>
    <row r="34" spans="1:9" ht="22.5" customHeight="1" thickBot="1" x14ac:dyDescent="0.2">
      <c r="A34" s="94"/>
      <c r="B34" s="95"/>
      <c r="C34" s="95"/>
      <c r="D34" s="95"/>
      <c r="E34" s="95"/>
      <c r="F34" s="95"/>
      <c r="G34" s="95"/>
      <c r="H34" s="95"/>
      <c r="I34" s="96"/>
    </row>
    <row r="35" spans="1:9" s="39" customFormat="1" ht="40.5" customHeight="1" x14ac:dyDescent="0.15">
      <c r="A35" s="108" t="s">
        <v>68</v>
      </c>
    </row>
    <row r="36" spans="1:9" ht="22.5" customHeight="1" x14ac:dyDescent="0.15">
      <c r="A36" s="20" t="s">
        <v>65</v>
      </c>
      <c r="E36" s="34"/>
      <c r="F36" s="250">
        <f>管理者用グラフシート!C12</f>
        <v>385</v>
      </c>
      <c r="G36" s="250"/>
      <c r="H36" s="20" t="s">
        <v>54</v>
      </c>
    </row>
    <row r="37" spans="1:9" ht="22.5" customHeight="1" x14ac:dyDescent="0.15">
      <c r="A37" s="20" t="s">
        <v>66</v>
      </c>
      <c r="F37" s="250">
        <f>管理者用グラフシート!C16</f>
        <v>198</v>
      </c>
      <c r="G37" s="250"/>
      <c r="H37" s="20" t="s">
        <v>54</v>
      </c>
    </row>
    <row r="38" spans="1:9" ht="22.5" customHeight="1" x14ac:dyDescent="0.15">
      <c r="D38" s="252"/>
      <c r="E38" s="252"/>
      <c r="F38" s="35"/>
      <c r="G38" s="34"/>
    </row>
    <row r="39" spans="1:9" ht="22.5" customHeight="1" x14ac:dyDescent="0.15">
      <c r="A39" s="249">
        <f>管理者用グラフシート!B4</f>
        <v>2010</v>
      </c>
      <c r="B39" s="249"/>
      <c r="C39" s="20" t="s">
        <v>228</v>
      </c>
      <c r="E39" s="34"/>
      <c r="F39" s="35"/>
    </row>
    <row r="40" spans="1:9" ht="22.5" customHeight="1" x14ac:dyDescent="0.15">
      <c r="B40" s="20" t="s">
        <v>67</v>
      </c>
      <c r="D40" s="251">
        <f>F36-管理者用グラフシート!C10</f>
        <v>-137</v>
      </c>
      <c r="E40" s="251"/>
      <c r="F40" s="20" t="s">
        <v>60</v>
      </c>
    </row>
    <row r="41" spans="1:9" ht="22.5" customHeight="1" x14ac:dyDescent="0.15">
      <c r="B41" s="20" t="s">
        <v>69</v>
      </c>
      <c r="D41" s="251">
        <f>F37-管理者用グラフシート!C14</f>
        <v>-71</v>
      </c>
      <c r="E41" s="251"/>
      <c r="F41" s="20" t="s">
        <v>70</v>
      </c>
    </row>
    <row r="53" spans="1:13" ht="22.5" customHeight="1" x14ac:dyDescent="0.15">
      <c r="M53" s="72"/>
    </row>
    <row r="62" spans="1:13" ht="22.5" customHeight="1" thickBot="1" x14ac:dyDescent="0.2"/>
    <row r="63" spans="1:13" ht="22.5" customHeight="1" x14ac:dyDescent="0.15">
      <c r="A63" s="243" t="s">
        <v>426</v>
      </c>
      <c r="B63" s="90"/>
      <c r="C63" s="90"/>
      <c r="D63" s="90"/>
      <c r="E63" s="90"/>
      <c r="F63" s="90"/>
      <c r="G63" s="90"/>
      <c r="H63" s="90"/>
      <c r="I63" s="91"/>
    </row>
    <row r="64" spans="1:13" ht="22.5" customHeight="1" x14ac:dyDescent="0.15">
      <c r="A64" s="102"/>
      <c r="I64" s="93"/>
    </row>
    <row r="65" spans="1:9" ht="22.5" customHeight="1" x14ac:dyDescent="0.15">
      <c r="A65" s="102"/>
      <c r="I65" s="93"/>
    </row>
    <row r="66" spans="1:9" ht="22.5" customHeight="1" x14ac:dyDescent="0.15">
      <c r="A66" s="92"/>
      <c r="I66" s="93"/>
    </row>
    <row r="67" spans="1:9" ht="22.5" customHeight="1" x14ac:dyDescent="0.15">
      <c r="A67" s="92"/>
      <c r="I67" s="93"/>
    </row>
    <row r="68" spans="1:9" ht="22.5" customHeight="1" thickBot="1" x14ac:dyDescent="0.2">
      <c r="A68" s="94"/>
      <c r="B68" s="95"/>
      <c r="C68" s="95"/>
      <c r="D68" s="95"/>
      <c r="E68" s="95"/>
      <c r="F68" s="95"/>
      <c r="G68" s="95"/>
      <c r="H68" s="95"/>
      <c r="I68" s="96"/>
    </row>
    <row r="69" spans="1:9" s="39" customFormat="1" ht="40.5" customHeight="1" x14ac:dyDescent="0.15">
      <c r="A69" s="108" t="s">
        <v>74</v>
      </c>
    </row>
    <row r="70" spans="1:9" ht="22.5" customHeight="1" x14ac:dyDescent="0.15">
      <c r="A70" s="20" t="s">
        <v>75</v>
      </c>
      <c r="C70" s="250">
        <f>管理者用グラフシート!C22</f>
        <v>2543</v>
      </c>
      <c r="D70" s="250"/>
      <c r="E70" s="20" t="s">
        <v>76</v>
      </c>
      <c r="F70" s="37"/>
      <c r="G70" s="255">
        <f>管理者用グラフシート!C32</f>
        <v>0.34</v>
      </c>
      <c r="H70" s="255"/>
      <c r="I70" s="20" t="s">
        <v>77</v>
      </c>
    </row>
    <row r="71" spans="1:9" ht="22.5" customHeight="1" x14ac:dyDescent="0.15">
      <c r="A71" s="20" t="s">
        <v>78</v>
      </c>
      <c r="C71" s="250">
        <f>管理者用グラフシート!C26</f>
        <v>1263</v>
      </c>
      <c r="D71" s="250"/>
      <c r="E71" s="20" t="s">
        <v>76</v>
      </c>
      <c r="F71" s="37"/>
      <c r="G71" s="255">
        <f>管理者用グラフシート!C36</f>
        <v>0.17</v>
      </c>
      <c r="H71" s="255"/>
      <c r="I71" s="20" t="s">
        <v>77</v>
      </c>
    </row>
    <row r="72" spans="1:9" ht="22.5" customHeight="1" x14ac:dyDescent="0.15">
      <c r="D72" s="252"/>
      <c r="E72" s="252"/>
      <c r="F72" s="35"/>
      <c r="G72" s="34"/>
    </row>
    <row r="73" spans="1:9" ht="22.5" customHeight="1" x14ac:dyDescent="0.15">
      <c r="A73" s="249">
        <f>管理者用グラフシート!B4</f>
        <v>2010</v>
      </c>
      <c r="B73" s="249"/>
      <c r="C73" s="20" t="s">
        <v>228</v>
      </c>
      <c r="E73" s="34"/>
      <c r="F73" s="35"/>
    </row>
    <row r="74" spans="1:9" ht="22.5" customHeight="1" x14ac:dyDescent="0.15">
      <c r="B74" s="20" t="s">
        <v>81</v>
      </c>
      <c r="D74" s="37"/>
      <c r="E74" s="250"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10ポイント上昇</v>
      </c>
      <c r="F74" s="250"/>
      <c r="G74" s="250"/>
      <c r="H74" s="20" t="s">
        <v>82</v>
      </c>
    </row>
    <row r="75" spans="1:9" ht="22.5" customHeight="1" x14ac:dyDescent="0.15">
      <c r="B75" s="20" t="s">
        <v>83</v>
      </c>
      <c r="D75" s="37"/>
      <c r="E75" s="256"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5ポイント上昇</v>
      </c>
      <c r="F75" s="256"/>
      <c r="G75" s="256"/>
      <c r="H75" s="20" t="s">
        <v>77</v>
      </c>
    </row>
    <row r="95" spans="1:9" ht="22.5" customHeight="1" thickBot="1" x14ac:dyDescent="0.2"/>
    <row r="96" spans="1:9" ht="22.5" customHeight="1" x14ac:dyDescent="0.15">
      <c r="A96" s="97" t="s">
        <v>427</v>
      </c>
      <c r="B96" s="90"/>
      <c r="C96" s="90"/>
      <c r="D96" s="90"/>
      <c r="E96" s="90"/>
      <c r="F96" s="90"/>
      <c r="G96" s="90"/>
      <c r="H96" s="90"/>
      <c r="I96" s="91"/>
    </row>
    <row r="97" spans="1:9" ht="22.5" customHeight="1" x14ac:dyDescent="0.15">
      <c r="A97" s="102"/>
      <c r="I97" s="93"/>
    </row>
    <row r="98" spans="1:9" ht="22.5" customHeight="1" x14ac:dyDescent="0.15">
      <c r="A98" s="102"/>
      <c r="I98" s="93"/>
    </row>
    <row r="99" spans="1:9" ht="22.5" customHeight="1" x14ac:dyDescent="0.15">
      <c r="A99" s="92"/>
      <c r="I99" s="93"/>
    </row>
    <row r="100" spans="1:9" ht="22.5" customHeight="1" x14ac:dyDescent="0.15">
      <c r="A100" s="92"/>
      <c r="I100" s="93"/>
    </row>
    <row r="101" spans="1:9" ht="22.5" customHeight="1" thickBot="1" x14ac:dyDescent="0.2">
      <c r="A101" s="94"/>
      <c r="B101" s="95"/>
      <c r="C101" s="95"/>
      <c r="D101" s="95"/>
      <c r="E101" s="95"/>
      <c r="F101" s="95"/>
      <c r="G101" s="95"/>
      <c r="H101" s="95"/>
      <c r="I101" s="96"/>
    </row>
    <row r="103" spans="1:9" s="39" customFormat="1" ht="40.5" customHeight="1" x14ac:dyDescent="0.15">
      <c r="A103" s="108" t="s">
        <v>112</v>
      </c>
    </row>
    <row r="104" spans="1:9" ht="22.5" customHeight="1" x14ac:dyDescent="0.15">
      <c r="A104" s="249">
        <f>管理者用グラフシート!B39</f>
        <v>2010</v>
      </c>
      <c r="B104" s="249"/>
      <c r="C104" s="37" t="s">
        <v>326</v>
      </c>
      <c r="D104" s="36"/>
      <c r="F104" s="37"/>
      <c r="G104" s="111"/>
      <c r="H104" s="111"/>
    </row>
    <row r="105" spans="1:9" ht="22.5" customHeight="1" x14ac:dyDescent="0.15">
      <c r="C105" s="36"/>
      <c r="D105" s="36"/>
      <c r="F105" s="37"/>
      <c r="G105" s="111"/>
      <c r="H105" s="111"/>
    </row>
    <row r="106" spans="1:9" ht="22.5" customHeight="1" x14ac:dyDescent="0.15">
      <c r="D106" s="34"/>
      <c r="E106" s="34"/>
      <c r="F106" s="35"/>
      <c r="G106" s="34"/>
    </row>
    <row r="107" spans="1:9" ht="22.5" customHeight="1" x14ac:dyDescent="0.15">
      <c r="C107" s="106"/>
      <c r="E107" s="34"/>
      <c r="F107" s="35"/>
    </row>
    <row r="108" spans="1:9" ht="22.5" customHeight="1" x14ac:dyDescent="0.15">
      <c r="D108" s="37"/>
      <c r="E108" s="36"/>
      <c r="F108" s="36"/>
      <c r="G108" s="36"/>
    </row>
    <row r="109" spans="1:9" ht="22.5" customHeight="1" x14ac:dyDescent="0.15">
      <c r="D109" s="37"/>
      <c r="E109" s="112"/>
      <c r="F109" s="112"/>
      <c r="G109" s="112"/>
    </row>
    <row r="134" spans="1:8" ht="33.950000000000003" customHeight="1" x14ac:dyDescent="0.15">
      <c r="A134" s="249">
        <f>管理者用グラフシート!B87</f>
        <v>2020</v>
      </c>
      <c r="B134" s="249"/>
      <c r="C134" s="37" t="s">
        <v>326</v>
      </c>
      <c r="D134" s="36"/>
      <c r="F134" s="37"/>
      <c r="G134" s="111"/>
      <c r="H134" s="111"/>
    </row>
    <row r="135" spans="1:8" ht="22.5" customHeight="1" x14ac:dyDescent="0.15">
      <c r="A135" s="249">
        <f>管理者用グラフシート!B4</f>
        <v>2010</v>
      </c>
      <c r="B135" s="249"/>
      <c r="C135" s="20" t="s">
        <v>385</v>
      </c>
      <c r="D135" s="36"/>
      <c r="F135" s="206">
        <f>SUM(管理者用グラフシート!B93:C94)-SUM(管理者用グラフシート!B45:C46)</f>
        <v>-302</v>
      </c>
      <c r="G135" s="208" t="s">
        <v>386</v>
      </c>
      <c r="H135" s="111"/>
    </row>
    <row r="136" spans="1:8" ht="22.5" customHeight="1" x14ac:dyDescent="0.15">
      <c r="A136" s="35" t="s">
        <v>387</v>
      </c>
      <c r="C136" s="206">
        <f>SUM(管理者用グラフシート!B95:C96)-SUM(管理者用グラフシート!B47:C48)</f>
        <v>-258</v>
      </c>
      <c r="D136" s="20" t="s">
        <v>388</v>
      </c>
      <c r="E136" s="34"/>
      <c r="F136" s="206">
        <f>SUM(管理者用グラフシート!B97:C98)-SUM(管理者用グラフシート!B49:C50)</f>
        <v>-31</v>
      </c>
      <c r="G136" s="20" t="s">
        <v>386</v>
      </c>
    </row>
    <row r="137" spans="1:8" ht="18.75" x14ac:dyDescent="0.15">
      <c r="A137" s="20" t="s">
        <v>389</v>
      </c>
      <c r="C137" s="206">
        <f>SUM(管理者用グラフシート!B99:C100)-SUM(管理者用グラフシート!B51:C52)</f>
        <v>-405</v>
      </c>
      <c r="D137" s="20" t="s">
        <v>390</v>
      </c>
      <c r="E137" s="34"/>
      <c r="F137" s="35"/>
    </row>
    <row r="138" spans="1:8" ht="22.5" customHeight="1" x14ac:dyDescent="0.15">
      <c r="D138" s="37"/>
      <c r="E138" s="36"/>
      <c r="F138" s="36"/>
      <c r="G138" s="36"/>
    </row>
    <row r="139" spans="1:8" ht="22.5" customHeight="1" x14ac:dyDescent="0.15">
      <c r="D139" s="37"/>
      <c r="E139" s="112"/>
      <c r="F139" s="112"/>
      <c r="G139" s="112"/>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4" t="str">
        <f>管理者入力シート!B4</f>
        <v>本庄小学校区</v>
      </c>
      <c r="B2" s="254"/>
      <c r="C2" s="254"/>
      <c r="D2" s="253" t="s">
        <v>230</v>
      </c>
      <c r="E2" s="253"/>
      <c r="F2" s="253"/>
      <c r="G2" s="253"/>
      <c r="H2" s="253"/>
      <c r="I2" s="253"/>
    </row>
    <row r="3" spans="1:9" ht="27.75" customHeight="1" x14ac:dyDescent="0.15">
      <c r="A3" s="254"/>
      <c r="B3" s="254"/>
      <c r="C3" s="254"/>
      <c r="D3" s="253"/>
      <c r="E3" s="253"/>
      <c r="F3" s="253"/>
      <c r="G3" s="253"/>
      <c r="H3" s="253"/>
      <c r="I3" s="253"/>
    </row>
    <row r="4" spans="1:9" ht="27.75" customHeight="1" x14ac:dyDescent="0.15"/>
    <row r="5" spans="1:9" s="39" customFormat="1" ht="40.5" customHeight="1" x14ac:dyDescent="0.15">
      <c r="A5" s="108" t="s">
        <v>64</v>
      </c>
    </row>
    <row r="6" spans="1:9" ht="22.5" customHeight="1" x14ac:dyDescent="0.15">
      <c r="A6" s="249">
        <f>管理者入力シート!B9</f>
        <v>2030</v>
      </c>
      <c r="B6" s="249"/>
      <c r="C6" s="20" t="s">
        <v>361</v>
      </c>
      <c r="D6" s="250">
        <f>管理者用グラフシート!K8</f>
        <v>6363</v>
      </c>
      <c r="E6" s="250"/>
      <c r="F6" s="20" t="s">
        <v>231</v>
      </c>
      <c r="H6" s="34"/>
      <c r="I6" s="34"/>
    </row>
    <row r="7" spans="1:9" ht="22.5" customHeight="1" x14ac:dyDescent="0.15">
      <c r="A7" s="249">
        <f>管理者入力シート!B5</f>
        <v>2020</v>
      </c>
      <c r="B7" s="249"/>
      <c r="C7" s="195" t="s">
        <v>362</v>
      </c>
      <c r="D7" s="251">
        <f>D6-現況シート!E6</f>
        <v>-1132</v>
      </c>
      <c r="E7" s="251"/>
      <c r="F7" s="20" t="s">
        <v>232</v>
      </c>
      <c r="I7" s="34"/>
    </row>
    <row r="8" spans="1:9" ht="22.5" customHeight="1" x14ac:dyDescent="0.15">
      <c r="A8" s="248" t="s">
        <v>397</v>
      </c>
      <c r="B8" s="248"/>
      <c r="C8" s="206">
        <f>管理者用グラフシート!I8-管理者用グラフシート!C6</f>
        <v>-548</v>
      </c>
      <c r="D8" s="207" t="s">
        <v>398</v>
      </c>
      <c r="F8" s="261">
        <f>管理者用グラフシート!J8-管理者用グラフシート!D6</f>
        <v>-584</v>
      </c>
      <c r="G8" s="261"/>
      <c r="H8" s="20" t="s">
        <v>399</v>
      </c>
    </row>
    <row r="10" spans="1:9" ht="22.5" customHeight="1" x14ac:dyDescent="0.15">
      <c r="A10" s="249">
        <f>管理者入力シート!B11</f>
        <v>2040</v>
      </c>
      <c r="B10" s="249"/>
      <c r="C10" s="20" t="s">
        <v>361</v>
      </c>
      <c r="D10" s="250">
        <f>管理者用グラフシート!K10</f>
        <v>5130</v>
      </c>
      <c r="E10" s="250"/>
      <c r="F10" s="20" t="s">
        <v>231</v>
      </c>
      <c r="H10" s="34"/>
    </row>
    <row r="11" spans="1:9" ht="22.5" customHeight="1" x14ac:dyDescent="0.15">
      <c r="A11" s="249">
        <f>管理者入力シート!B5</f>
        <v>2020</v>
      </c>
      <c r="B11" s="249"/>
      <c r="C11" s="195" t="s">
        <v>362</v>
      </c>
      <c r="D11" s="251">
        <f>D10-現況シート!E6</f>
        <v>-2365</v>
      </c>
      <c r="E11" s="251"/>
      <c r="F11" s="20" t="s">
        <v>232</v>
      </c>
      <c r="H11" s="34"/>
    </row>
    <row r="12" spans="1:9" ht="22.5" customHeight="1" x14ac:dyDescent="0.15">
      <c r="A12" s="248" t="s">
        <v>397</v>
      </c>
      <c r="B12" s="248"/>
      <c r="C12" s="206">
        <f>管理者用グラフシート!I10-管理者用グラフシート!C6</f>
        <v>-1138</v>
      </c>
      <c r="D12" s="207" t="s">
        <v>398</v>
      </c>
      <c r="F12" s="261">
        <f>管理者用グラフシート!J10-管理者用グラフシート!D6</f>
        <v>-1227</v>
      </c>
      <c r="G12" s="261"/>
      <c r="H12" s="20" t="s">
        <v>399</v>
      </c>
    </row>
    <row r="22" spans="7:7" ht="22.5" customHeight="1" x14ac:dyDescent="0.15">
      <c r="G22" s="20">
        <v>15</v>
      </c>
    </row>
    <row r="34" spans="1:9" s="39" customFormat="1" ht="40.5" customHeight="1" x14ac:dyDescent="0.15">
      <c r="A34" s="108" t="s">
        <v>68</v>
      </c>
    </row>
    <row r="35" spans="1:9" ht="22.5" customHeight="1" x14ac:dyDescent="0.15">
      <c r="A35" s="249">
        <f>管理者用グラフシート!H20</f>
        <v>2040</v>
      </c>
      <c r="B35" s="249"/>
      <c r="C35" s="258" t="s">
        <v>363</v>
      </c>
      <c r="D35" s="258"/>
      <c r="F35" s="36"/>
      <c r="G35" s="36"/>
      <c r="H35" s="257"/>
      <c r="I35" s="252"/>
    </row>
    <row r="36" spans="1:9" ht="22.5" customHeight="1" x14ac:dyDescent="0.15">
      <c r="A36" s="20" t="s">
        <v>237</v>
      </c>
      <c r="F36" s="250">
        <f>管理者用グラフシート!I20</f>
        <v>203</v>
      </c>
      <c r="G36" s="250"/>
      <c r="H36" s="82" t="s">
        <v>233</v>
      </c>
      <c r="I36" s="34"/>
    </row>
    <row r="37" spans="1:9" ht="22.5" customHeight="1" x14ac:dyDescent="0.15">
      <c r="A37" s="20" t="s">
        <v>234</v>
      </c>
      <c r="F37" s="250">
        <f>管理者用グラフシート!I28</f>
        <v>107</v>
      </c>
      <c r="G37" s="250"/>
      <c r="H37" s="109" t="s">
        <v>235</v>
      </c>
      <c r="I37" s="86"/>
    </row>
    <row r="38" spans="1:9" ht="22.5" customHeight="1" x14ac:dyDescent="0.15">
      <c r="D38" s="252"/>
      <c r="E38" s="252"/>
      <c r="F38" s="35"/>
      <c r="G38" s="34"/>
      <c r="H38" s="20" t="s">
        <v>236</v>
      </c>
    </row>
    <row r="39" spans="1:9" ht="22.5" customHeight="1" x14ac:dyDescent="0.15">
      <c r="D39" s="86"/>
      <c r="E39" s="86"/>
      <c r="F39" s="35"/>
      <c r="G39" s="34"/>
    </row>
    <row r="40" spans="1:9" ht="22.5" customHeight="1" x14ac:dyDescent="0.15">
      <c r="A40" s="20" t="s">
        <v>67</v>
      </c>
      <c r="C40" s="199">
        <f>管理者入力シート!B5</f>
        <v>2020</v>
      </c>
      <c r="D40" s="195" t="s">
        <v>373</v>
      </c>
      <c r="F40" s="251">
        <f>F36-現況シート!F36</f>
        <v>-182</v>
      </c>
      <c r="G40" s="251"/>
      <c r="H40" s="35" t="s">
        <v>60</v>
      </c>
    </row>
    <row r="41" spans="1:9" ht="22.5" customHeight="1" x14ac:dyDescent="0.15">
      <c r="A41" s="20" t="s">
        <v>69</v>
      </c>
      <c r="C41" s="199">
        <f>管理者入力シート!B5</f>
        <v>2020</v>
      </c>
      <c r="D41" s="20" t="s">
        <v>374</v>
      </c>
      <c r="F41" s="251">
        <f>F37-現況シート!F37</f>
        <v>-91</v>
      </c>
      <c r="G41" s="251"/>
      <c r="H41" s="35" t="s">
        <v>59</v>
      </c>
    </row>
    <row r="42" spans="1:9" ht="22.5" customHeight="1" x14ac:dyDescent="0.15">
      <c r="D42" s="37"/>
      <c r="E42" s="37"/>
      <c r="G42" s="35"/>
      <c r="H42" s="35"/>
      <c r="I42" s="194" t="s">
        <v>375</v>
      </c>
    </row>
    <row r="68" spans="1:9" s="39" customFormat="1" ht="44.25" customHeight="1" x14ac:dyDescent="0.15">
      <c r="A68" s="108" t="s">
        <v>74</v>
      </c>
    </row>
    <row r="69" spans="1:9" ht="22.5" customHeight="1" x14ac:dyDescent="0.15">
      <c r="A69" s="249">
        <f>管理者用グラフシート!H38</f>
        <v>2040</v>
      </c>
      <c r="B69" s="249"/>
      <c r="C69" s="258" t="s">
        <v>363</v>
      </c>
      <c r="D69" s="258"/>
      <c r="F69" s="34"/>
      <c r="G69" s="37"/>
      <c r="H69" s="67"/>
      <c r="I69" s="71"/>
    </row>
    <row r="70" spans="1:9" ht="22.5" customHeight="1" x14ac:dyDescent="0.15">
      <c r="A70" s="20" t="s">
        <v>238</v>
      </c>
      <c r="C70" s="250">
        <f>管理者用グラフシート!I38</f>
        <v>2313</v>
      </c>
      <c r="D70" s="250"/>
      <c r="E70" s="82" t="s">
        <v>239</v>
      </c>
      <c r="F70" s="34"/>
      <c r="G70" s="255">
        <f>管理者用グラフシート!I56</f>
        <v>0.45</v>
      </c>
      <c r="H70" s="255"/>
      <c r="I70" s="110" t="s">
        <v>240</v>
      </c>
    </row>
    <row r="71" spans="1:9" ht="22.5" customHeight="1" x14ac:dyDescent="0.15">
      <c r="A71" s="20" t="s">
        <v>241</v>
      </c>
      <c r="C71" s="250">
        <f>管理者用グラフシート!I46</f>
        <v>1480</v>
      </c>
      <c r="D71" s="250"/>
      <c r="E71" s="20" t="s">
        <v>239</v>
      </c>
      <c r="G71" s="259">
        <f>管理者用グラフシート!I64</f>
        <v>0.28999999999999998</v>
      </c>
      <c r="H71" s="252"/>
      <c r="I71" s="20" t="s">
        <v>242</v>
      </c>
    </row>
    <row r="72" spans="1:9" ht="27.75" customHeight="1" x14ac:dyDescent="0.15">
      <c r="C72" s="81"/>
      <c r="D72" s="81"/>
      <c r="G72" s="260" t="s">
        <v>236</v>
      </c>
      <c r="H72" s="260"/>
      <c r="I72" s="260"/>
    </row>
    <row r="73" spans="1:9" ht="22.5" customHeight="1" x14ac:dyDescent="0.15">
      <c r="A73" s="249">
        <f>管理者入力シート!B5</f>
        <v>2020</v>
      </c>
      <c r="B73" s="249"/>
      <c r="C73" s="20" t="s">
        <v>228</v>
      </c>
      <c r="D73" s="34"/>
      <c r="E73" s="34"/>
      <c r="F73" s="35"/>
    </row>
    <row r="74" spans="1:9" ht="22.5" customHeight="1" x14ac:dyDescent="0.15">
      <c r="B74" s="20" t="s">
        <v>81</v>
      </c>
      <c r="D74" s="37"/>
      <c r="E74" s="250"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11ポイント上昇</v>
      </c>
      <c r="F74" s="250"/>
      <c r="G74" s="250"/>
      <c r="H74" s="20" t="s">
        <v>82</v>
      </c>
    </row>
    <row r="75" spans="1:9" ht="22.5" customHeight="1" x14ac:dyDescent="0.15">
      <c r="B75" s="20" t="s">
        <v>83</v>
      </c>
      <c r="D75" s="37"/>
      <c r="E75" s="256"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12ポイント上昇</v>
      </c>
      <c r="F75" s="256"/>
      <c r="G75" s="256"/>
      <c r="H75" s="20" t="s">
        <v>77</v>
      </c>
    </row>
    <row r="101" spans="1:8" s="39" customFormat="1" ht="40.5" customHeight="1" x14ac:dyDescent="0.15">
      <c r="A101" s="108" t="s">
        <v>112</v>
      </c>
    </row>
    <row r="102" spans="1:8" ht="22.5" customHeight="1" x14ac:dyDescent="0.15">
      <c r="A102" s="249">
        <f>管理者用グラフシート!H91</f>
        <v>2030</v>
      </c>
      <c r="B102" s="249"/>
      <c r="C102" s="20" t="s">
        <v>364</v>
      </c>
      <c r="D102" s="196"/>
    </row>
    <row r="103" spans="1:8" ht="27.75" customHeight="1" x14ac:dyDescent="0.15">
      <c r="A103" s="249">
        <f>管理者入力シート!B5</f>
        <v>2020</v>
      </c>
      <c r="B103" s="249"/>
      <c r="C103" s="20" t="s">
        <v>385</v>
      </c>
      <c r="D103" s="36"/>
      <c r="G103" s="206">
        <f>SUM(管理者用グラフシート!H97:I98)-SUM(管理者用グラフシート!B93:C94)</f>
        <v>-124</v>
      </c>
      <c r="H103" s="208" t="s">
        <v>60</v>
      </c>
    </row>
    <row r="104" spans="1:8" ht="22.5" customHeight="1" x14ac:dyDescent="0.15">
      <c r="A104" s="35" t="s">
        <v>387</v>
      </c>
      <c r="C104" s="206">
        <f>SUM(管理者用グラフシート!H99:I100)-SUM(管理者用グラフシート!B95:C96)</f>
        <v>-280</v>
      </c>
      <c r="D104" s="20" t="s">
        <v>423</v>
      </c>
      <c r="E104" s="34"/>
      <c r="G104" s="206">
        <f>SUM(管理者用グラフシート!H101:I102)-SUM(管理者用グラフシート!B97:C98)</f>
        <v>-231</v>
      </c>
      <c r="H104" s="20" t="s">
        <v>60</v>
      </c>
    </row>
    <row r="105" spans="1:8" ht="22.5" customHeight="1" x14ac:dyDescent="0.15">
      <c r="A105" s="20" t="s">
        <v>389</v>
      </c>
      <c r="C105" s="206">
        <f>SUM(管理者用グラフシート!H103:I104)-SUM(管理者用グラフシート!B99:C100)</f>
        <v>-29</v>
      </c>
      <c r="D105" s="20" t="s">
        <v>70</v>
      </c>
      <c r="E105" s="34"/>
      <c r="F105" s="35"/>
    </row>
    <row r="136" spans="1:8" ht="22.5" customHeight="1" x14ac:dyDescent="0.15">
      <c r="A136" s="249">
        <f>管理者用グラフシート!H139</f>
        <v>2040</v>
      </c>
      <c r="B136" s="249"/>
      <c r="C136" s="20" t="s">
        <v>364</v>
      </c>
    </row>
    <row r="137" spans="1:8" ht="22.5" customHeight="1" x14ac:dyDescent="0.15">
      <c r="A137" s="249">
        <f>管理者入力シート!B5</f>
        <v>2020</v>
      </c>
      <c r="B137" s="249"/>
      <c r="C137" s="20" t="s">
        <v>385</v>
      </c>
      <c r="D137" s="36"/>
      <c r="G137" s="206">
        <f>SUM(管理者用グラフシート!H145:I146)-SUM(管理者用グラフシート!B93:C94)</f>
        <v>-201</v>
      </c>
      <c r="H137" s="208" t="s">
        <v>60</v>
      </c>
    </row>
    <row r="138" spans="1:8" ht="22.5" customHeight="1" x14ac:dyDescent="0.15">
      <c r="A138" s="35" t="s">
        <v>387</v>
      </c>
      <c r="C138" s="206">
        <f>SUM(管理者用グラフシート!H147:I148)-SUM(管理者用グラフシート!B95:C96)</f>
        <v>-399</v>
      </c>
      <c r="D138" s="20" t="s">
        <v>423</v>
      </c>
      <c r="E138" s="34"/>
      <c r="G138" s="206">
        <f>SUM(管理者用グラフシート!H149:I150)-SUM(管理者用グラフシート!B97:C98)</f>
        <v>-499</v>
      </c>
      <c r="H138" s="20" t="s">
        <v>60</v>
      </c>
    </row>
    <row r="139" spans="1:8" ht="22.5" customHeight="1" x14ac:dyDescent="0.15">
      <c r="A139" s="20" t="s">
        <v>389</v>
      </c>
      <c r="C139" s="206">
        <f>SUM(管理者用グラフシート!H151:I152)-SUM(管理者用グラフシート!B99:C100)</f>
        <v>-247</v>
      </c>
      <c r="D139" s="20" t="s">
        <v>70</v>
      </c>
      <c r="E139" s="34"/>
      <c r="F139" s="35"/>
    </row>
    <row r="169" spans="1:9" ht="22.5" customHeight="1" thickBot="1" x14ac:dyDescent="0.2"/>
    <row r="170" spans="1:9" ht="22.5" customHeight="1" x14ac:dyDescent="0.15">
      <c r="A170" s="89" t="s">
        <v>372</v>
      </c>
      <c r="B170" s="90"/>
      <c r="C170" s="90"/>
      <c r="D170" s="90"/>
      <c r="E170" s="90"/>
      <c r="F170" s="90"/>
      <c r="G170" s="90"/>
      <c r="H170" s="90"/>
      <c r="I170" s="91"/>
    </row>
    <row r="171" spans="1:9" ht="22.5" customHeight="1" x14ac:dyDescent="0.15">
      <c r="A171" s="92" t="s">
        <v>246</v>
      </c>
      <c r="I171" s="93"/>
    </row>
    <row r="172" spans="1:9" ht="22.5" customHeight="1" x14ac:dyDescent="0.15">
      <c r="A172" s="92"/>
      <c r="I172" s="93"/>
    </row>
    <row r="173" spans="1:9" ht="22.5" customHeight="1" x14ac:dyDescent="0.15">
      <c r="A173" s="102" t="s">
        <v>247</v>
      </c>
      <c r="I173" s="93"/>
    </row>
    <row r="174" spans="1:9" ht="22.5" customHeight="1" x14ac:dyDescent="0.15">
      <c r="A174" s="100" t="s">
        <v>343</v>
      </c>
      <c r="B174" s="84" t="s">
        <v>342</v>
      </c>
      <c r="I174" s="93"/>
    </row>
    <row r="175" spans="1:9" ht="22.5" customHeight="1" x14ac:dyDescent="0.15">
      <c r="A175" s="102"/>
      <c r="B175" s="84" t="s">
        <v>341</v>
      </c>
      <c r="I175" s="93"/>
    </row>
    <row r="176" spans="1:9" ht="22.5" customHeight="1" x14ac:dyDescent="0.15">
      <c r="A176" s="92"/>
      <c r="B176" s="84" t="s">
        <v>355</v>
      </c>
      <c r="I176" s="93"/>
    </row>
    <row r="177" spans="1:9" ht="22.5" customHeight="1" x14ac:dyDescent="0.15">
      <c r="A177" s="100"/>
      <c r="B177" s="84"/>
      <c r="I177" s="93"/>
    </row>
    <row r="178" spans="1:9" ht="22.5" customHeight="1" x14ac:dyDescent="0.15">
      <c r="A178" s="100" t="s">
        <v>344</v>
      </c>
      <c r="B178" s="84" t="s">
        <v>345</v>
      </c>
      <c r="I178" s="93"/>
    </row>
    <row r="179" spans="1:9" ht="22.5" customHeight="1" x14ac:dyDescent="0.15">
      <c r="A179" s="100"/>
      <c r="B179" s="84"/>
      <c r="I179" s="93"/>
    </row>
    <row r="180" spans="1:9" ht="22.5" customHeight="1" x14ac:dyDescent="0.15">
      <c r="A180" s="100" t="s">
        <v>346</v>
      </c>
      <c r="B180" s="84" t="s">
        <v>347</v>
      </c>
      <c r="I180" s="93"/>
    </row>
    <row r="181" spans="1:9" ht="22.5" customHeight="1" x14ac:dyDescent="0.15">
      <c r="A181" s="100"/>
      <c r="B181" s="84"/>
      <c r="I181" s="93"/>
    </row>
    <row r="182" spans="1:9" ht="22.5" customHeight="1" x14ac:dyDescent="0.15">
      <c r="A182" s="100" t="s">
        <v>348</v>
      </c>
      <c r="B182" s="84" t="s">
        <v>349</v>
      </c>
      <c r="I182" s="93"/>
    </row>
    <row r="183" spans="1:9" ht="22.5" customHeight="1" x14ac:dyDescent="0.15">
      <c r="A183" s="92"/>
      <c r="B183" s="84" t="s">
        <v>350</v>
      </c>
      <c r="I183" s="93"/>
    </row>
    <row r="184" spans="1:9" ht="22.5" customHeight="1" x14ac:dyDescent="0.15">
      <c r="A184" s="100"/>
      <c r="B184" s="84"/>
      <c r="I184" s="93"/>
    </row>
    <row r="185" spans="1:9" ht="22.5" customHeight="1" x14ac:dyDescent="0.15">
      <c r="A185" s="100" t="s">
        <v>351</v>
      </c>
      <c r="B185" s="84" t="s">
        <v>352</v>
      </c>
      <c r="I185" s="93"/>
    </row>
    <row r="186" spans="1:9" ht="22.5" customHeight="1" x14ac:dyDescent="0.15">
      <c r="A186" s="92"/>
      <c r="B186" s="84" t="s">
        <v>353</v>
      </c>
      <c r="I186" s="93"/>
    </row>
    <row r="187" spans="1:9" ht="22.5" customHeight="1" x14ac:dyDescent="0.15">
      <c r="A187" s="92"/>
      <c r="I187" s="93"/>
    </row>
    <row r="188" spans="1:9" ht="22.5" customHeight="1" x14ac:dyDescent="0.15">
      <c r="A188" s="92"/>
      <c r="I188" s="93"/>
    </row>
    <row r="189" spans="1:9" ht="22.5" customHeight="1" x14ac:dyDescent="0.15">
      <c r="A189" s="92"/>
      <c r="I189" s="93"/>
    </row>
    <row r="190" spans="1:9" ht="22.5" customHeight="1" x14ac:dyDescent="0.15">
      <c r="A190" s="92"/>
      <c r="I190" s="93"/>
    </row>
    <row r="191" spans="1:9" ht="22.5" customHeight="1" x14ac:dyDescent="0.15">
      <c r="A191" s="92"/>
      <c r="I191" s="93"/>
    </row>
    <row r="192" spans="1:9" ht="22.5" customHeight="1" x14ac:dyDescent="0.15">
      <c r="A192" s="92"/>
      <c r="I192" s="93"/>
    </row>
    <row r="193" spans="1:9" ht="22.5" customHeight="1" x14ac:dyDescent="0.15">
      <c r="A193" s="92"/>
      <c r="I193" s="93"/>
    </row>
    <row r="194" spans="1:9" ht="22.5" customHeight="1" x14ac:dyDescent="0.15">
      <c r="A194" s="92"/>
      <c r="I194" s="93"/>
    </row>
    <row r="195" spans="1:9" ht="22.5" customHeight="1" x14ac:dyDescent="0.15">
      <c r="A195" s="92"/>
      <c r="I195" s="93"/>
    </row>
    <row r="196" spans="1:9" ht="22.5" customHeight="1" x14ac:dyDescent="0.15">
      <c r="A196" s="92"/>
      <c r="I196" s="93"/>
    </row>
    <row r="197" spans="1:9" ht="22.5" customHeight="1" x14ac:dyDescent="0.15">
      <c r="A197" s="92"/>
      <c r="I197" s="93"/>
    </row>
    <row r="198" spans="1:9" ht="22.5" customHeight="1" x14ac:dyDescent="0.15">
      <c r="A198" s="92"/>
      <c r="I198" s="93"/>
    </row>
    <row r="199" spans="1:9" ht="22.5" customHeight="1" x14ac:dyDescent="0.15">
      <c r="A199" s="92"/>
      <c r="I199" s="93"/>
    </row>
    <row r="200" spans="1:9" ht="22.5" customHeight="1" x14ac:dyDescent="0.15">
      <c r="A200" s="92"/>
      <c r="I200" s="93"/>
    </row>
    <row r="201" spans="1:9" ht="22.5" customHeight="1" x14ac:dyDescent="0.15">
      <c r="A201" s="92"/>
      <c r="I201" s="93"/>
    </row>
    <row r="202" spans="1:9" ht="22.5" customHeight="1" x14ac:dyDescent="0.15">
      <c r="A202" s="92"/>
      <c r="I202" s="93"/>
    </row>
    <row r="203" spans="1:9" ht="22.5" customHeight="1" x14ac:dyDescent="0.15">
      <c r="A203" s="92"/>
      <c r="I203" s="93"/>
    </row>
    <row r="204" spans="1:9" ht="22.5" customHeight="1" thickBot="1" x14ac:dyDescent="0.2">
      <c r="A204" s="94"/>
      <c r="B204" s="95"/>
      <c r="C204" s="95"/>
      <c r="D204" s="95"/>
      <c r="E204" s="95"/>
      <c r="F204" s="95"/>
      <c r="G204" s="95"/>
      <c r="H204" s="95"/>
      <c r="I204" s="96"/>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3" t="str">
        <f>管理者入力シート!B4</f>
        <v>本庄小学校区</v>
      </c>
      <c r="B2" s="273"/>
      <c r="C2" s="273"/>
      <c r="D2" s="253" t="s">
        <v>249</v>
      </c>
      <c r="E2" s="253"/>
      <c r="F2" s="253"/>
      <c r="G2" s="253"/>
      <c r="H2" s="253"/>
      <c r="I2" s="253"/>
    </row>
    <row r="3" spans="1:9" ht="31.5" customHeight="1" x14ac:dyDescent="0.15">
      <c r="A3" s="273"/>
      <c r="B3" s="273"/>
      <c r="C3" s="273"/>
      <c r="D3" s="253"/>
      <c r="E3" s="253"/>
      <c r="F3" s="253"/>
      <c r="G3" s="253"/>
      <c r="H3" s="253"/>
      <c r="I3" s="253"/>
    </row>
    <row r="4" spans="1:9" ht="9.75" customHeight="1" x14ac:dyDescent="0.15"/>
    <row r="5" spans="1:9" s="113" customFormat="1" ht="40.5" customHeight="1" x14ac:dyDescent="0.15">
      <c r="A5" s="108" t="s">
        <v>250</v>
      </c>
      <c r="I5" s="114"/>
    </row>
    <row r="6" spans="1:9" ht="18.75" x14ac:dyDescent="0.15">
      <c r="A6" s="20" t="s">
        <v>252</v>
      </c>
    </row>
    <row r="7" spans="1:9" ht="13.5" customHeight="1" x14ac:dyDescent="0.15"/>
    <row r="8" spans="1:9" s="83" customFormat="1" ht="18" customHeight="1" x14ac:dyDescent="0.15">
      <c r="A8" s="117" t="s">
        <v>255</v>
      </c>
    </row>
    <row r="9" spans="1:9" s="83" customFormat="1" ht="19.5" customHeight="1" x14ac:dyDescent="0.15">
      <c r="A9" s="117" t="s">
        <v>256</v>
      </c>
    </row>
    <row r="10" spans="1:9" s="83" customFormat="1" ht="19.5" customHeight="1" x14ac:dyDescent="0.15">
      <c r="A10" s="83" t="s">
        <v>253</v>
      </c>
    </row>
    <row r="11" spans="1:9" s="83" customFormat="1" ht="19.5" customHeight="1" x14ac:dyDescent="0.15">
      <c r="A11" s="83" t="s">
        <v>124</v>
      </c>
    </row>
    <row r="12" spans="1:9" s="83" customFormat="1" ht="19.5" customHeight="1" x14ac:dyDescent="0.15">
      <c r="A12" s="83" t="s">
        <v>125</v>
      </c>
    </row>
    <row r="13" spans="1:9" s="83" customFormat="1" ht="19.5" customHeight="1" x14ac:dyDescent="0.15">
      <c r="A13" s="83" t="s">
        <v>126</v>
      </c>
    </row>
    <row r="14" spans="1:9" s="83" customFormat="1" ht="18" customHeight="1" thickBot="1" x14ac:dyDescent="0.2"/>
    <row r="15" spans="1:9" s="83" customFormat="1" ht="17.25" customHeight="1" thickTop="1" x14ac:dyDescent="0.15">
      <c r="A15" s="277" t="s">
        <v>254</v>
      </c>
      <c r="B15" s="277"/>
      <c r="C15" s="277"/>
      <c r="D15" s="278" t="s">
        <v>258</v>
      </c>
      <c r="E15" s="279"/>
      <c r="F15" s="274" t="s">
        <v>257</v>
      </c>
      <c r="G15" s="275"/>
      <c r="H15" s="276"/>
    </row>
    <row r="16" spans="1:9" ht="17.25" customHeight="1" x14ac:dyDescent="0.15">
      <c r="A16" s="124" t="s">
        <v>254</v>
      </c>
      <c r="B16" s="124" t="s">
        <v>21</v>
      </c>
      <c r="C16" s="124" t="s">
        <v>22</v>
      </c>
      <c r="D16" s="278"/>
      <c r="E16" s="279"/>
      <c r="F16" s="126"/>
      <c r="G16" s="127" t="s">
        <v>21</v>
      </c>
      <c r="H16" s="128" t="s">
        <v>22</v>
      </c>
    </row>
    <row r="17" spans="1:9" ht="18.75" customHeight="1" x14ac:dyDescent="0.15">
      <c r="A17" s="125" t="s">
        <v>0</v>
      </c>
      <c r="B17" s="116">
        <v>1</v>
      </c>
      <c r="C17" s="116">
        <v>1</v>
      </c>
      <c r="D17" s="278"/>
      <c r="E17" s="279"/>
      <c r="F17" s="119" t="s">
        <v>0</v>
      </c>
      <c r="G17" s="116">
        <v>1</v>
      </c>
      <c r="H17" s="118">
        <v>1</v>
      </c>
    </row>
    <row r="18" spans="1:9" ht="18.75" customHeight="1" x14ac:dyDescent="0.15">
      <c r="A18" s="125" t="s">
        <v>1</v>
      </c>
      <c r="B18" s="116"/>
      <c r="C18" s="116"/>
      <c r="D18" s="278"/>
      <c r="E18" s="279"/>
      <c r="F18" s="119" t="s">
        <v>1</v>
      </c>
      <c r="G18" s="116"/>
      <c r="H18" s="118"/>
    </row>
    <row r="19" spans="1:9" ht="18.75" customHeight="1" x14ac:dyDescent="0.15">
      <c r="A19" s="125" t="s">
        <v>2</v>
      </c>
      <c r="B19" s="73">
        <v>1</v>
      </c>
      <c r="C19" s="73">
        <v>1</v>
      </c>
      <c r="D19" s="278"/>
      <c r="E19" s="279"/>
      <c r="F19" s="119" t="s">
        <v>2</v>
      </c>
      <c r="G19" s="73">
        <v>1</v>
      </c>
      <c r="H19" s="120">
        <v>1</v>
      </c>
    </row>
    <row r="20" spans="1:9" ht="18.75" customHeight="1" x14ac:dyDescent="0.15">
      <c r="A20" s="125" t="s">
        <v>3</v>
      </c>
      <c r="B20" s="73"/>
      <c r="C20" s="73"/>
      <c r="F20" s="119" t="s">
        <v>3</v>
      </c>
      <c r="G20" s="73"/>
      <c r="H20" s="120"/>
    </row>
    <row r="21" spans="1:9" ht="18.75" customHeight="1" x14ac:dyDescent="0.15">
      <c r="A21" s="125" t="s">
        <v>4</v>
      </c>
      <c r="B21" s="73"/>
      <c r="C21" s="73"/>
      <c r="F21" s="119" t="s">
        <v>4</v>
      </c>
      <c r="G21" s="73"/>
      <c r="H21" s="120"/>
    </row>
    <row r="22" spans="1:9" ht="18.75" customHeight="1" x14ac:dyDescent="0.15">
      <c r="A22" s="125" t="s">
        <v>5</v>
      </c>
      <c r="B22" s="73">
        <v>2</v>
      </c>
      <c r="C22" s="73">
        <v>2</v>
      </c>
      <c r="F22" s="119" t="s">
        <v>5</v>
      </c>
      <c r="G22" s="73">
        <v>2</v>
      </c>
      <c r="H22" s="120">
        <v>2</v>
      </c>
    </row>
    <row r="23" spans="1:9" ht="18.75" customHeight="1" x14ac:dyDescent="0.15">
      <c r="A23" s="125" t="s">
        <v>6</v>
      </c>
      <c r="B23" s="73"/>
      <c r="C23" s="73"/>
      <c r="F23" s="119" t="s">
        <v>6</v>
      </c>
      <c r="G23" s="73"/>
      <c r="H23" s="120"/>
    </row>
    <row r="24" spans="1:9" ht="18.75" customHeight="1" x14ac:dyDescent="0.15">
      <c r="A24" s="125" t="s">
        <v>7</v>
      </c>
      <c r="B24" s="73"/>
      <c r="C24" s="73"/>
      <c r="F24" s="119" t="s">
        <v>7</v>
      </c>
      <c r="G24" s="73"/>
      <c r="H24" s="120"/>
    </row>
    <row r="25" spans="1:9" ht="18.75" customHeight="1" x14ac:dyDescent="0.15">
      <c r="A25" s="125" t="s">
        <v>8</v>
      </c>
      <c r="B25" s="73"/>
      <c r="C25" s="73">
        <v>1</v>
      </c>
      <c r="F25" s="119" t="s">
        <v>8</v>
      </c>
      <c r="G25" s="73"/>
      <c r="H25" s="120">
        <v>1</v>
      </c>
    </row>
    <row r="26" spans="1:9" ht="18.75" customHeight="1" x14ac:dyDescent="0.15">
      <c r="A26" s="125" t="s">
        <v>9</v>
      </c>
      <c r="B26" s="73"/>
      <c r="C26" s="73"/>
      <c r="F26" s="119" t="s">
        <v>9</v>
      </c>
      <c r="G26" s="73"/>
      <c r="H26" s="120"/>
    </row>
    <row r="27" spans="1:9" s="113" customFormat="1" ht="18.75" customHeight="1" x14ac:dyDescent="0.15">
      <c r="A27" s="125" t="s">
        <v>10</v>
      </c>
      <c r="B27" s="73"/>
      <c r="C27" s="73"/>
      <c r="F27" s="119" t="s">
        <v>10</v>
      </c>
      <c r="G27" s="73"/>
      <c r="H27" s="120"/>
      <c r="I27" s="114"/>
    </row>
    <row r="28" spans="1:9" s="113" customFormat="1" ht="18.75" customHeight="1" x14ac:dyDescent="0.15">
      <c r="A28" s="125" t="s">
        <v>11</v>
      </c>
      <c r="B28" s="73"/>
      <c r="C28" s="73"/>
      <c r="F28" s="119" t="s">
        <v>11</v>
      </c>
      <c r="G28" s="73"/>
      <c r="H28" s="120"/>
      <c r="I28" s="114"/>
    </row>
    <row r="29" spans="1:9" s="113" customFormat="1" ht="18.75" customHeight="1" thickBot="1" x14ac:dyDescent="0.2">
      <c r="A29" s="125" t="s">
        <v>12</v>
      </c>
      <c r="B29" s="73"/>
      <c r="C29" s="73"/>
      <c r="F29" s="121" t="s">
        <v>12</v>
      </c>
      <c r="G29" s="122"/>
      <c r="H29" s="123"/>
      <c r="I29" s="114"/>
    </row>
    <row r="30" spans="1:9" s="113" customFormat="1" ht="18.75" customHeight="1" thickTop="1" x14ac:dyDescent="0.15">
      <c r="A30" s="233"/>
      <c r="B30" s="234"/>
      <c r="C30" s="234"/>
      <c r="F30" s="233"/>
      <c r="G30" s="221"/>
      <c r="H30" s="221"/>
      <c r="I30" s="114"/>
    </row>
    <row r="31" spans="1:9" s="113" customFormat="1" ht="24" customHeight="1" x14ac:dyDescent="0.15">
      <c r="A31" s="168" t="s">
        <v>328</v>
      </c>
      <c r="B31" s="263">
        <f>管理者入力シート!B5</f>
        <v>2020</v>
      </c>
      <c r="C31" s="263"/>
      <c r="D31" s="83" t="s">
        <v>412</v>
      </c>
      <c r="E31" s="131"/>
      <c r="F31" s="131"/>
      <c r="G31" s="131"/>
      <c r="H31" s="131"/>
      <c r="I31" s="237"/>
    </row>
    <row r="32" spans="1:9" s="131" customFormat="1" ht="17.25" customHeight="1" x14ac:dyDescent="0.15">
      <c r="A32" s="159" t="s">
        <v>409</v>
      </c>
      <c r="B32" s="262">
        <f>管理者入力シート!B5</f>
        <v>2020</v>
      </c>
      <c r="C32" s="262"/>
      <c r="D32" s="213" t="s">
        <v>425</v>
      </c>
      <c r="E32" s="213"/>
      <c r="F32" s="213"/>
      <c r="G32" s="213"/>
      <c r="H32" s="213"/>
      <c r="I32" s="214"/>
    </row>
    <row r="33" spans="1:9" s="132" customFormat="1" ht="17.25" customHeight="1" x14ac:dyDescent="0.15">
      <c r="A33" s="160" t="s">
        <v>424</v>
      </c>
      <c r="B33" s="161"/>
      <c r="C33" s="83"/>
      <c r="D33" s="83"/>
      <c r="E33" s="83"/>
      <c r="F33" s="162"/>
      <c r="G33" s="83"/>
      <c r="H33" s="163"/>
      <c r="I33" s="164"/>
    </row>
    <row r="34" spans="1:9" s="132" customFormat="1" ht="17.25" customHeight="1" thickBot="1" x14ac:dyDescent="0.2">
      <c r="A34" s="160" t="s">
        <v>408</v>
      </c>
      <c r="F34" s="162"/>
      <c r="G34" s="219"/>
      <c r="H34" s="219"/>
      <c r="I34" s="220"/>
    </row>
    <row r="35" spans="1:9" s="130" customFormat="1" ht="17.25" customHeight="1" thickTop="1" x14ac:dyDescent="0.15">
      <c r="A35" s="165"/>
      <c r="B35" s="270" t="s">
        <v>257</v>
      </c>
      <c r="C35" s="271"/>
      <c r="D35" s="272"/>
      <c r="F35" s="162"/>
      <c r="G35" s="240"/>
      <c r="H35" s="264" t="s">
        <v>410</v>
      </c>
      <c r="I35" s="265"/>
    </row>
    <row r="36" spans="1:9" s="132" customFormat="1" ht="17.25" customHeight="1" x14ac:dyDescent="0.15">
      <c r="A36" s="160"/>
      <c r="B36" s="215"/>
      <c r="C36" s="127" t="s">
        <v>21</v>
      </c>
      <c r="D36" s="216" t="s">
        <v>22</v>
      </c>
      <c r="F36" s="162"/>
      <c r="G36" s="238">
        <f>管理者入力シート!B8</f>
        <v>2025</v>
      </c>
      <c r="H36" s="266">
        <f>管理者用人口入力シート!EU22</f>
        <v>7485</v>
      </c>
      <c r="I36" s="267"/>
    </row>
    <row r="37" spans="1:9" s="130" customFormat="1" ht="17.25" customHeight="1" x14ac:dyDescent="0.15">
      <c r="A37" s="165"/>
      <c r="B37" s="226" t="s">
        <v>5</v>
      </c>
      <c r="C37" s="227">
        <f>管理者用人口入力シート!DX1</f>
        <v>89</v>
      </c>
      <c r="D37" s="228">
        <f>C37</f>
        <v>89</v>
      </c>
      <c r="F37" s="162"/>
      <c r="G37" s="238">
        <f>管理者入力シート!B9</f>
        <v>2030</v>
      </c>
      <c r="H37" s="266">
        <f>管理者用人口入力シート!EU25</f>
        <v>7614</v>
      </c>
      <c r="I37" s="267"/>
    </row>
    <row r="38" spans="1:9" s="132" customFormat="1" ht="17.25" customHeight="1" x14ac:dyDescent="0.15">
      <c r="A38" s="160"/>
      <c r="B38" s="226" t="s">
        <v>6</v>
      </c>
      <c r="C38" s="227">
        <f>C37</f>
        <v>89</v>
      </c>
      <c r="D38" s="228">
        <f>C37</f>
        <v>89</v>
      </c>
      <c r="F38" s="162"/>
      <c r="G38" s="238">
        <f>管理者入力シート!B10</f>
        <v>2035</v>
      </c>
      <c r="H38" s="266">
        <f>管理者用人口入力シート!EU28</f>
        <v>7755</v>
      </c>
      <c r="I38" s="267"/>
    </row>
    <row r="39" spans="1:9" ht="17.25" customHeight="1" thickBot="1" x14ac:dyDescent="0.2">
      <c r="A39" s="166"/>
      <c r="B39" s="229" t="s">
        <v>7</v>
      </c>
      <c r="C39" s="230">
        <f>C37</f>
        <v>89</v>
      </c>
      <c r="D39" s="231">
        <f>C37</f>
        <v>89</v>
      </c>
      <c r="F39" s="162"/>
      <c r="G39" s="239">
        <f>管理者入力シート!B11</f>
        <v>2040</v>
      </c>
      <c r="H39" s="268">
        <f>管理者用人口入力シート!EU31</f>
        <v>7865</v>
      </c>
      <c r="I39" s="269"/>
    </row>
    <row r="40" spans="1:9" s="132" customFormat="1" ht="17.25" customHeight="1" thickTop="1" x14ac:dyDescent="0.15">
      <c r="A40" s="160"/>
      <c r="F40" s="83"/>
      <c r="G40" s="232"/>
      <c r="H40" s="217"/>
      <c r="I40" s="218"/>
    </row>
    <row r="41" spans="1:9" ht="17.25" customHeight="1" x14ac:dyDescent="0.15">
      <c r="A41" s="222"/>
      <c r="B41" s="235" t="s">
        <v>411</v>
      </c>
      <c r="C41" s="167"/>
      <c r="D41" s="223"/>
      <c r="E41" s="223"/>
      <c r="F41" s="224"/>
      <c r="G41" s="224"/>
      <c r="H41" s="224"/>
      <c r="I41" s="225"/>
    </row>
    <row r="42" spans="1:9" s="113" customFormat="1" ht="40.5" customHeight="1" x14ac:dyDescent="0.15">
      <c r="A42" s="108" t="s">
        <v>64</v>
      </c>
      <c r="I42" s="114"/>
    </row>
    <row r="43" spans="1:9" ht="22.5" customHeight="1" x14ac:dyDescent="0.15">
      <c r="A43" s="249">
        <f>管理者入力シート!B9</f>
        <v>2030</v>
      </c>
      <c r="B43" s="249"/>
      <c r="C43" s="20" t="s">
        <v>417</v>
      </c>
      <c r="D43" s="250">
        <f>管理者用グラフシート!U8</f>
        <v>6383</v>
      </c>
      <c r="E43" s="250"/>
      <c r="F43" s="20" t="s">
        <v>231</v>
      </c>
      <c r="H43" s="34"/>
      <c r="I43" s="34"/>
    </row>
    <row r="44" spans="1:9" ht="22.5" customHeight="1" x14ac:dyDescent="0.15">
      <c r="A44" s="249">
        <f>管理者入力シート!B11</f>
        <v>2040</v>
      </c>
      <c r="B44" s="249"/>
      <c r="C44" s="20" t="s">
        <v>417</v>
      </c>
      <c r="D44" s="250">
        <f>管理者用グラフシート!U10</f>
        <v>5172</v>
      </c>
      <c r="E44" s="250"/>
      <c r="F44" s="20" t="s">
        <v>231</v>
      </c>
      <c r="H44" s="34"/>
      <c r="I44" s="34"/>
    </row>
    <row r="45" spans="1:9" ht="22.5" customHeight="1" x14ac:dyDescent="0.15">
      <c r="A45" s="20" t="s">
        <v>121</v>
      </c>
    </row>
    <row r="46" spans="1:9" ht="22.5" customHeight="1" x14ac:dyDescent="0.15">
      <c r="A46" s="249">
        <f>管理者入力シート!B9</f>
        <v>2030</v>
      </c>
      <c r="B46" s="249"/>
      <c r="C46" s="20" t="s">
        <v>418</v>
      </c>
      <c r="D46" s="257">
        <f>D43-将来予測シート①!D6</f>
        <v>20</v>
      </c>
      <c r="E46" s="257"/>
      <c r="F46" s="20" t="s">
        <v>122</v>
      </c>
    </row>
    <row r="47" spans="1:9" ht="22.5" customHeight="1" x14ac:dyDescent="0.15">
      <c r="A47" s="249">
        <f>管理者入力シート!B11</f>
        <v>2040</v>
      </c>
      <c r="B47" s="249"/>
      <c r="C47" s="20" t="s">
        <v>418</v>
      </c>
      <c r="D47" s="257">
        <f>D44-将来予測シート①!D10</f>
        <v>42</v>
      </c>
      <c r="E47" s="257"/>
      <c r="F47" s="20" t="s">
        <v>123</v>
      </c>
    </row>
    <row r="76" spans="1:9" s="39" customFormat="1" ht="40.5" customHeight="1" x14ac:dyDescent="0.15">
      <c r="A76" s="108" t="s">
        <v>68</v>
      </c>
      <c r="I76" s="115"/>
    </row>
    <row r="77" spans="1:9" ht="22.5" customHeight="1" x14ac:dyDescent="0.15">
      <c r="A77" s="249">
        <f>管理者用グラフシート!O20</f>
        <v>2040</v>
      </c>
      <c r="B77" s="249"/>
      <c r="C77" s="20" t="s">
        <v>263</v>
      </c>
      <c r="F77" s="36"/>
      <c r="G77" s="36"/>
      <c r="H77" s="67"/>
      <c r="I77" s="34"/>
    </row>
    <row r="78" spans="1:9" ht="22.5" customHeight="1" x14ac:dyDescent="0.15">
      <c r="A78" s="20" t="s">
        <v>237</v>
      </c>
      <c r="E78" s="34"/>
      <c r="F78" s="250">
        <f>管理者用グラフシート!Q20</f>
        <v>209</v>
      </c>
      <c r="G78" s="250"/>
      <c r="H78" s="82" t="s">
        <v>264</v>
      </c>
      <c r="I78" s="34"/>
    </row>
    <row r="79" spans="1:9" ht="22.5" customHeight="1" x14ac:dyDescent="0.15">
      <c r="A79" s="20" t="s">
        <v>234</v>
      </c>
      <c r="F79" s="250">
        <f>管理者用グラフシート!Q28</f>
        <v>110</v>
      </c>
      <c r="G79" s="250"/>
      <c r="H79" s="82" t="s">
        <v>265</v>
      </c>
      <c r="I79" s="34"/>
    </row>
    <row r="80" spans="1:9" ht="22.5" customHeight="1" x14ac:dyDescent="0.15">
      <c r="F80" s="87"/>
      <c r="G80" s="87"/>
      <c r="H80" s="82" t="s">
        <v>266</v>
      </c>
      <c r="I80" s="34"/>
    </row>
    <row r="81" spans="1:13" ht="22.5" customHeight="1" x14ac:dyDescent="0.15">
      <c r="A81" s="20" t="s">
        <v>121</v>
      </c>
    </row>
    <row r="82" spans="1:13" ht="22.5" customHeight="1" x14ac:dyDescent="0.15">
      <c r="A82" s="20" t="s">
        <v>67</v>
      </c>
      <c r="C82" s="251">
        <f>F78-将来予測シート①!F36</f>
        <v>6</v>
      </c>
      <c r="D82" s="251"/>
      <c r="E82" s="20" t="s">
        <v>60</v>
      </c>
    </row>
    <row r="83" spans="1:13" ht="22.5" customHeight="1" x14ac:dyDescent="0.15">
      <c r="A83" s="20" t="s">
        <v>69</v>
      </c>
      <c r="C83" s="251">
        <f>F79-将来予測シート①!F37</f>
        <v>3</v>
      </c>
      <c r="D83" s="251"/>
      <c r="E83" s="20" t="s">
        <v>267</v>
      </c>
      <c r="L83" s="133"/>
      <c r="M83" s="133"/>
    </row>
    <row r="84" spans="1:13" ht="22.5" customHeight="1" x14ac:dyDescent="0.15">
      <c r="D84" s="37"/>
      <c r="E84" s="37"/>
    </row>
    <row r="110" spans="1:9" s="39" customFormat="1" ht="44.25" customHeight="1" x14ac:dyDescent="0.15">
      <c r="A110" s="108" t="s">
        <v>74</v>
      </c>
      <c r="I110" s="115"/>
    </row>
    <row r="111" spans="1:9" ht="22.5" customHeight="1" x14ac:dyDescent="0.15">
      <c r="A111" s="249">
        <f>管理者用グラフシート!O38</f>
        <v>2040</v>
      </c>
      <c r="B111" s="249"/>
      <c r="C111" s="20" t="s">
        <v>371</v>
      </c>
      <c r="F111" s="36"/>
      <c r="G111" s="36"/>
      <c r="H111" s="67"/>
      <c r="I111" s="34"/>
    </row>
    <row r="112" spans="1:9" ht="22.5" customHeight="1" x14ac:dyDescent="0.15">
      <c r="A112" s="20" t="s">
        <v>269</v>
      </c>
      <c r="C112" s="250">
        <f>管理者用グラフシート!Q38</f>
        <v>2313</v>
      </c>
      <c r="D112" s="250"/>
      <c r="E112" s="20" t="s">
        <v>270</v>
      </c>
      <c r="F112" s="36"/>
      <c r="G112" s="111">
        <f>管理者用グラフシート!Q56</f>
        <v>0.45</v>
      </c>
      <c r="H112" s="82" t="s">
        <v>271</v>
      </c>
      <c r="I112" s="34"/>
    </row>
    <row r="113" spans="1:9" ht="22.5" customHeight="1" x14ac:dyDescent="0.15">
      <c r="A113" s="20" t="s">
        <v>268</v>
      </c>
      <c r="C113" s="250">
        <f>管理者用グラフシート!Q46</f>
        <v>1480</v>
      </c>
      <c r="D113" s="250"/>
      <c r="E113" s="82" t="s">
        <v>270</v>
      </c>
      <c r="F113" s="34"/>
      <c r="G113" s="111">
        <f>管理者用グラフシート!Q64</f>
        <v>0.28999999999999998</v>
      </c>
      <c r="H113" s="82" t="s">
        <v>272</v>
      </c>
      <c r="I113" s="71"/>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0"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ほぼ横ばい</v>
      </c>
      <c r="F116" s="250"/>
      <c r="G116" s="250"/>
      <c r="H116" s="20" t="s">
        <v>82</v>
      </c>
    </row>
    <row r="117" spans="1:9" ht="22.5" customHeight="1" x14ac:dyDescent="0.15">
      <c r="B117" s="20" t="s">
        <v>83</v>
      </c>
      <c r="D117" s="37"/>
      <c r="E117" s="256"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ほぼ横ばい</v>
      </c>
      <c r="F117" s="256"/>
      <c r="G117" s="256"/>
      <c r="H117" s="20" t="s">
        <v>77</v>
      </c>
    </row>
    <row r="143" spans="1:9" s="113" customFormat="1" ht="46.5" customHeight="1" x14ac:dyDescent="0.15">
      <c r="A143" s="108" t="s">
        <v>112</v>
      </c>
      <c r="I143" s="114"/>
    </row>
    <row r="144" spans="1:9" ht="22.5" customHeight="1" x14ac:dyDescent="0.15">
      <c r="A144" s="249">
        <f>管理者用グラフシート!O91</f>
        <v>2030</v>
      </c>
      <c r="B144" s="249"/>
      <c r="C144" s="20" t="s">
        <v>364</v>
      </c>
    </row>
    <row r="177" spans="1:9" ht="22.5" customHeight="1" x14ac:dyDescent="0.15">
      <c r="A177" s="249">
        <f>管理者用グラフシート!O139</f>
        <v>2040</v>
      </c>
      <c r="B177" s="249"/>
      <c r="C177" s="20" t="s">
        <v>364</v>
      </c>
    </row>
    <row r="178" spans="1:9" ht="22.5" customHeight="1" x14ac:dyDescent="0.15">
      <c r="E178" s="260"/>
      <c r="F178" s="260"/>
      <c r="G178" s="260"/>
      <c r="H178" s="260"/>
      <c r="I178" s="260"/>
    </row>
    <row r="210" spans="1:9" ht="22.5" customHeight="1" x14ac:dyDescent="0.15">
      <c r="A210" s="20" t="s">
        <v>274</v>
      </c>
      <c r="B210" s="249">
        <f>管理者用グラフシート!O212</f>
        <v>2030</v>
      </c>
      <c r="C210" s="249"/>
      <c r="D210" s="134" t="s">
        <v>275</v>
      </c>
    </row>
    <row r="211" spans="1:9" ht="22.5" customHeight="1" x14ac:dyDescent="0.15">
      <c r="A211" s="20" t="s">
        <v>338</v>
      </c>
    </row>
    <row r="212" spans="1:9" ht="22.5" customHeight="1" x14ac:dyDescent="0.15">
      <c r="I212" s="197" t="s">
        <v>327</v>
      </c>
    </row>
    <row r="245" spans="1:9" ht="22.5" customHeight="1" x14ac:dyDescent="0.15">
      <c r="A245" s="20" t="s">
        <v>274</v>
      </c>
      <c r="B245" s="249">
        <f>管理者用グラフシート!O236</f>
        <v>2040</v>
      </c>
      <c r="C245" s="249"/>
      <c r="D245" s="134" t="s">
        <v>275</v>
      </c>
    </row>
    <row r="246" spans="1:9" ht="22.5" customHeight="1" x14ac:dyDescent="0.15">
      <c r="A246" s="20" t="s">
        <v>338</v>
      </c>
    </row>
    <row r="247" spans="1:9" ht="22.5" customHeight="1" x14ac:dyDescent="0.15">
      <c r="I247" s="197" t="s">
        <v>327</v>
      </c>
    </row>
    <row r="279" spans="1:9" ht="22.5" customHeight="1" thickBot="1" x14ac:dyDescent="0.2"/>
    <row r="280" spans="1:9" ht="22.5" customHeight="1" x14ac:dyDescent="0.15">
      <c r="A280" s="89" t="s">
        <v>365</v>
      </c>
      <c r="B280" s="90"/>
      <c r="C280" s="90"/>
      <c r="D280" s="90"/>
      <c r="E280" s="90"/>
      <c r="F280" s="90"/>
      <c r="G280" s="90"/>
      <c r="H280" s="90"/>
      <c r="I280" s="91"/>
    </row>
    <row r="281" spans="1:9" ht="22.5" customHeight="1" x14ac:dyDescent="0.15">
      <c r="A281" s="92" t="s">
        <v>354</v>
      </c>
      <c r="I281" s="93"/>
    </row>
    <row r="282" spans="1:9" ht="22.5" customHeight="1" x14ac:dyDescent="0.15">
      <c r="A282" s="176" t="s">
        <v>428</v>
      </c>
      <c r="B282" s="84"/>
      <c r="I282" s="93"/>
    </row>
    <row r="283" spans="1:9" ht="22.5" customHeight="1" x14ac:dyDescent="0.15">
      <c r="A283" s="92"/>
      <c r="B283" s="84"/>
      <c r="I283" s="93"/>
    </row>
    <row r="284" spans="1:9" ht="22.5" customHeight="1" x14ac:dyDescent="0.15">
      <c r="A284" s="92"/>
      <c r="B284" s="84"/>
      <c r="I284" s="93"/>
    </row>
    <row r="285" spans="1:9" ht="22.5" customHeight="1" x14ac:dyDescent="0.15">
      <c r="A285" s="92"/>
      <c r="B285" s="84"/>
      <c r="I285" s="93"/>
    </row>
    <row r="286" spans="1:9" ht="22.5" customHeight="1" x14ac:dyDescent="0.15">
      <c r="A286" s="92"/>
      <c r="B286" s="84"/>
      <c r="I286" s="93"/>
    </row>
    <row r="287" spans="1:9" ht="22.5" customHeight="1" x14ac:dyDescent="0.15">
      <c r="A287" s="92"/>
      <c r="B287" s="84"/>
      <c r="I287" s="93"/>
    </row>
    <row r="288" spans="1:9" ht="22.5" customHeight="1" x14ac:dyDescent="0.15">
      <c r="A288" s="92"/>
      <c r="B288" s="84"/>
      <c r="I288" s="93"/>
    </row>
    <row r="289" spans="1:9" ht="22.5" customHeight="1" x14ac:dyDescent="0.15">
      <c r="A289" s="92"/>
      <c r="I289" s="93"/>
    </row>
    <row r="290" spans="1:9" ht="22.5" customHeight="1" x14ac:dyDescent="0.15">
      <c r="A290" s="92"/>
      <c r="I290" s="93"/>
    </row>
    <row r="291" spans="1:9" ht="22.5" customHeight="1" x14ac:dyDescent="0.15">
      <c r="A291" s="92"/>
      <c r="I291" s="93"/>
    </row>
    <row r="292" spans="1:9" ht="22.5" customHeight="1" x14ac:dyDescent="0.15">
      <c r="A292" s="92" t="s">
        <v>366</v>
      </c>
      <c r="I292" s="93"/>
    </row>
    <row r="293" spans="1:9" ht="22.5" customHeight="1" x14ac:dyDescent="0.15">
      <c r="A293" s="102" t="s">
        <v>247</v>
      </c>
      <c r="B293" s="84" t="s">
        <v>277</v>
      </c>
      <c r="I293" s="93"/>
    </row>
    <row r="294" spans="1:9" ht="22.5" customHeight="1" x14ac:dyDescent="0.15">
      <c r="A294" s="92"/>
      <c r="B294" s="84" t="s">
        <v>276</v>
      </c>
      <c r="I294" s="93"/>
    </row>
    <row r="295" spans="1:9" ht="22.5" customHeight="1" x14ac:dyDescent="0.15">
      <c r="A295" s="92"/>
      <c r="B295" s="84" t="s">
        <v>367</v>
      </c>
      <c r="I295" s="93"/>
    </row>
    <row r="296" spans="1:9" ht="22.5" customHeight="1" x14ac:dyDescent="0.15">
      <c r="A296" s="92"/>
      <c r="B296" s="84"/>
      <c r="I296" s="93"/>
    </row>
    <row r="297" spans="1:9" ht="22.5" customHeight="1" x14ac:dyDescent="0.15">
      <c r="A297" s="92"/>
      <c r="B297" s="84"/>
      <c r="I297" s="93"/>
    </row>
    <row r="298" spans="1:9" ht="22.5" customHeight="1" x14ac:dyDescent="0.15">
      <c r="A298" s="92"/>
      <c r="I298" s="93"/>
    </row>
    <row r="299" spans="1:9" ht="22.5" customHeight="1" x14ac:dyDescent="0.15">
      <c r="A299" s="92"/>
      <c r="I299" s="93"/>
    </row>
    <row r="300" spans="1:9" ht="22.5" customHeight="1" x14ac:dyDescent="0.15">
      <c r="A300" s="92"/>
      <c r="I300" s="93"/>
    </row>
    <row r="301" spans="1:9" ht="22.5" customHeight="1" x14ac:dyDescent="0.15">
      <c r="A301" s="92"/>
      <c r="I301" s="93"/>
    </row>
    <row r="302" spans="1:9" ht="22.5" customHeight="1" x14ac:dyDescent="0.15">
      <c r="A302" s="92"/>
      <c r="I302" s="93"/>
    </row>
    <row r="303" spans="1:9" ht="22.5" customHeight="1" x14ac:dyDescent="0.15">
      <c r="A303" s="92"/>
      <c r="I303" s="93"/>
    </row>
    <row r="304" spans="1:9" ht="22.5" customHeight="1" x14ac:dyDescent="0.15">
      <c r="A304" s="92"/>
      <c r="I304" s="93"/>
    </row>
    <row r="305" spans="1:9" ht="22.5" customHeight="1" x14ac:dyDescent="0.15">
      <c r="A305" s="92"/>
      <c r="I305" s="93"/>
    </row>
    <row r="306" spans="1:9" ht="22.5" customHeight="1" x14ac:dyDescent="0.15">
      <c r="A306" s="92"/>
      <c r="I306" s="93"/>
    </row>
    <row r="307" spans="1:9" ht="22.5" customHeight="1" x14ac:dyDescent="0.15">
      <c r="A307" s="92"/>
      <c r="I307" s="93"/>
    </row>
    <row r="308" spans="1:9" ht="22.5" customHeight="1" x14ac:dyDescent="0.15">
      <c r="A308" s="92"/>
      <c r="I308" s="93"/>
    </row>
    <row r="309" spans="1:9" ht="22.5" customHeight="1" x14ac:dyDescent="0.15">
      <c r="A309" s="92"/>
      <c r="I309" s="93"/>
    </row>
    <row r="310" spans="1:9" ht="22.5" customHeight="1" x14ac:dyDescent="0.15">
      <c r="A310" s="92"/>
      <c r="I310" s="93"/>
    </row>
    <row r="311" spans="1:9" ht="22.5" customHeight="1" x14ac:dyDescent="0.15">
      <c r="A311" s="92"/>
      <c r="I311" s="93"/>
    </row>
    <row r="312" spans="1:9" ht="22.5" customHeight="1" x14ac:dyDescent="0.15">
      <c r="A312" s="92"/>
      <c r="I312" s="93"/>
    </row>
    <row r="313" spans="1:9" ht="22.5" customHeight="1" x14ac:dyDescent="0.15">
      <c r="A313" s="92"/>
      <c r="I313" s="93"/>
    </row>
    <row r="314" spans="1:9" ht="22.5" customHeight="1" thickBot="1" x14ac:dyDescent="0.2">
      <c r="A314" s="94"/>
      <c r="B314" s="95"/>
      <c r="C314" s="95"/>
      <c r="D314" s="95"/>
      <c r="E314" s="95"/>
      <c r="F314" s="95"/>
      <c r="G314" s="95"/>
      <c r="H314" s="95"/>
      <c r="I314" s="96"/>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4" t="str">
        <f>管理者入力シート!B4</f>
        <v>本庄小学校区</v>
      </c>
      <c r="B1" s="254"/>
      <c r="C1" s="254"/>
      <c r="D1" s="253" t="s">
        <v>278</v>
      </c>
      <c r="E1" s="253"/>
      <c r="F1" s="253"/>
      <c r="G1" s="253"/>
      <c r="H1" s="253"/>
    </row>
    <row r="2" spans="1:8" ht="22.5" customHeight="1" x14ac:dyDescent="0.15">
      <c r="A2" s="254"/>
      <c r="B2" s="254"/>
      <c r="C2" s="254"/>
      <c r="D2" s="253"/>
      <c r="E2" s="253"/>
      <c r="F2" s="253"/>
      <c r="G2" s="253"/>
      <c r="H2" s="253"/>
    </row>
    <row r="3" spans="1:8" ht="22.5" customHeight="1" x14ac:dyDescent="0.15">
      <c r="A3" s="20" t="s">
        <v>279</v>
      </c>
    </row>
    <row r="5" spans="1:8" s="113" customFormat="1" ht="40.5" customHeight="1" x14ac:dyDescent="0.15">
      <c r="A5" s="108" t="s">
        <v>280</v>
      </c>
    </row>
    <row r="6" spans="1:8" ht="22.5" customHeight="1" x14ac:dyDescent="0.15">
      <c r="A6" s="249">
        <f>管理者用グラフシート!B6</f>
        <v>2020</v>
      </c>
      <c r="B6" s="249"/>
      <c r="C6" s="20" t="s">
        <v>419</v>
      </c>
    </row>
    <row r="7" spans="1:8" ht="22.5" customHeight="1" x14ac:dyDescent="0.15">
      <c r="A7" s="20" t="s">
        <v>281</v>
      </c>
      <c r="F7" s="280">
        <f>管理者用地域特徴シート!H5</f>
        <v>0.52207691311666449</v>
      </c>
      <c r="G7" s="280"/>
      <c r="H7" s="20" t="s">
        <v>282</v>
      </c>
    </row>
    <row r="8" spans="1:8" ht="22.5" customHeight="1" x14ac:dyDescent="0.15">
      <c r="A8" s="34" t="str">
        <f>管理者入力シート!B3</f>
        <v>国富町</v>
      </c>
      <c r="B8" s="20" t="s">
        <v>293</v>
      </c>
      <c r="D8" s="34" t="str">
        <f>IF(管理者用地域特徴シート!H5-管理者用地域特徴シート!H4&gt;0.01,"高く、",IF(管理者用地域特徴シート!H5-管理者用地域特徴シート!H4&lt;-0.01,"低く、","同程度で、"))</f>
        <v>低く、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2" t="str">
        <f>地域特徴シート!A1</f>
        <v>本庄小学校区</v>
      </c>
      <c r="B11" s="252"/>
      <c r="C11" s="257">
        <f>管理者用地域特徴シート!D5</f>
        <v>3011.9700000000003</v>
      </c>
      <c r="D11" s="252"/>
      <c r="E11" s="20" t="s">
        <v>413</v>
      </c>
    </row>
    <row r="12" spans="1:8" ht="22.5" customHeight="1" x14ac:dyDescent="0.15">
      <c r="A12" s="252" t="str">
        <f>A8</f>
        <v>国富町</v>
      </c>
      <c r="B12" s="252"/>
      <c r="C12" s="257">
        <f>管理者用地域特徴シート!D4</f>
        <v>7450</v>
      </c>
      <c r="D12" s="252"/>
      <c r="E12" s="20" t="s">
        <v>413</v>
      </c>
    </row>
    <row r="13" spans="1:8" ht="22.5" customHeight="1" x14ac:dyDescent="0.15">
      <c r="A13" s="252" t="s">
        <v>414</v>
      </c>
      <c r="B13" s="252"/>
      <c r="C13" s="257">
        <f>管理者用地域特徴シート!D3</f>
        <v>468575.00000000006</v>
      </c>
      <c r="D13" s="252"/>
      <c r="E13" s="20" t="s">
        <v>416</v>
      </c>
    </row>
    <row r="23" spans="1:8" ht="22.5" customHeight="1" x14ac:dyDescent="0.15">
      <c r="A23" s="20" t="s">
        <v>285</v>
      </c>
      <c r="G23" s="241">
        <f>管理者用地域特徴シート!J5</f>
        <v>0.15702347632944549</v>
      </c>
      <c r="H23" s="35" t="s">
        <v>286</v>
      </c>
    </row>
    <row r="24" spans="1:8" ht="22.5" customHeight="1" x14ac:dyDescent="0.15">
      <c r="A24" s="34" t="str">
        <f>管理者入力シート!B3</f>
        <v>国富町</v>
      </c>
      <c r="B24" s="20" t="s">
        <v>293</v>
      </c>
      <c r="D24" s="152" t="str">
        <f>IF(管理者用地域特徴シート!J5-管理者用地域特徴シート!J4&gt;0.01,"高く、",IF(管理者用地域特徴シート!J5-管理者用地域特徴シート!J4&lt;-0.01,"低く、","同程度で、"))</f>
        <v>低く、</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同程度です。</v>
      </c>
    </row>
    <row r="35" spans="1:8" s="113" customFormat="1" ht="40.5" customHeight="1" x14ac:dyDescent="0.15">
      <c r="A35" s="108" t="s">
        <v>206</v>
      </c>
    </row>
    <row r="36" spans="1:8" ht="22.5" customHeight="1" x14ac:dyDescent="0.15">
      <c r="A36" s="249">
        <f>管理者用グラフシート!B36</f>
        <v>2020</v>
      </c>
      <c r="B36" s="249"/>
      <c r="C36" s="20" t="s">
        <v>420</v>
      </c>
    </row>
    <row r="37" spans="1:8" ht="22.5" customHeight="1" x14ac:dyDescent="0.15">
      <c r="A37" s="20" t="s">
        <v>287</v>
      </c>
      <c r="F37" s="280">
        <f>管理者用地域特徴シート!P5</f>
        <v>0.31752623544106506</v>
      </c>
      <c r="G37" s="280"/>
      <c r="H37" s="20" t="s">
        <v>286</v>
      </c>
    </row>
    <row r="38" spans="1:8" ht="22.5" customHeight="1" x14ac:dyDescent="0.15">
      <c r="A38" s="34" t="str">
        <f>管理者入力シート!B3</f>
        <v>国富町</v>
      </c>
      <c r="B38" s="20" t="s">
        <v>293</v>
      </c>
      <c r="D38" s="152" t="str">
        <f>IF(管理者用地域特徴シート!P5-管理者用地域特徴シート!P4&gt;0.01,"高く、",IF(管理者用地域特徴シート!P5-管理者用地域特徴シート!P4&lt;-0.01,"低く、","同程度で、"))</f>
        <v>高く、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34" t="str">
        <f>管理者入力シート!B3</f>
        <v>国富町</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新しい居住者の割合が高い地域です。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3" customFormat="1" ht="40.5" customHeight="1" x14ac:dyDescent="0.15">
      <c r="A69" s="108" t="s">
        <v>207</v>
      </c>
    </row>
    <row r="70" spans="1:8" ht="22.5" customHeight="1" x14ac:dyDescent="0.15">
      <c r="A70" s="20" t="s">
        <v>289</v>
      </c>
      <c r="B70" s="34"/>
      <c r="E70" s="282">
        <f>管理者用地域特徴シート!W5</f>
        <v>1513.9499999999998</v>
      </c>
      <c r="F70" s="282"/>
      <c r="G70" s="20" t="s">
        <v>290</v>
      </c>
    </row>
    <row r="71" spans="1:8" ht="22.5" customHeight="1" x14ac:dyDescent="0.15">
      <c r="A71" s="20" t="s">
        <v>295</v>
      </c>
      <c r="F71" s="280">
        <f>管理者用地域特徴シート!AK5</f>
        <v>0.33246804716139899</v>
      </c>
      <c r="G71" s="280"/>
      <c r="H71" s="20" t="s">
        <v>271</v>
      </c>
    </row>
    <row r="72" spans="1:8" ht="22.5" customHeight="1" x14ac:dyDescent="0.15">
      <c r="A72" s="20" t="s">
        <v>296</v>
      </c>
      <c r="F72" s="280">
        <f>管理者用地域特徴シート!AL5</f>
        <v>0.10438257538227816</v>
      </c>
      <c r="G72" s="280"/>
      <c r="H72" s="20" t="s">
        <v>297</v>
      </c>
    </row>
    <row r="73" spans="1:8" ht="22.5" customHeight="1" x14ac:dyDescent="0.15">
      <c r="A73" s="20" t="s">
        <v>298</v>
      </c>
      <c r="E73" s="280"/>
      <c r="F73" s="280"/>
    </row>
    <row r="74" spans="1:8" ht="22.5" customHeight="1" x14ac:dyDescent="0.15">
      <c r="A74" s="20" t="s">
        <v>339</v>
      </c>
      <c r="C74" s="177">
        <f>管理者用地域特徴シート!AN5</f>
        <v>0.47578189504276902</v>
      </c>
      <c r="D74" s="156" t="s">
        <v>299</v>
      </c>
      <c r="E74" s="177">
        <f>管理者用地域特徴シート!AO5</f>
        <v>0.52421810495723109</v>
      </c>
      <c r="F74" s="20" t="s">
        <v>291</v>
      </c>
    </row>
    <row r="76" spans="1:8" ht="22.5" customHeight="1" x14ac:dyDescent="0.15">
      <c r="A76" s="34" t="str">
        <f>管理者入力シート!B3</f>
        <v>国富町</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平均と同程度の地域です。</v>
      </c>
    </row>
    <row r="95" spans="1:8" ht="22.5" customHeight="1" thickBot="1" x14ac:dyDescent="0.2"/>
    <row r="96" spans="1:8" ht="22.5" customHeight="1" x14ac:dyDescent="0.15">
      <c r="A96" s="89" t="s">
        <v>368</v>
      </c>
      <c r="B96" s="90"/>
      <c r="C96" s="90"/>
      <c r="D96" s="90"/>
      <c r="E96" s="90"/>
      <c r="F96" s="90"/>
      <c r="G96" s="90"/>
      <c r="H96" s="91"/>
    </row>
    <row r="97" spans="1:8" ht="22.5" customHeight="1" x14ac:dyDescent="0.15">
      <c r="A97" s="92" t="s">
        <v>300</v>
      </c>
      <c r="H97" s="93"/>
    </row>
    <row r="98" spans="1:8" ht="22.5" customHeight="1" x14ac:dyDescent="0.15">
      <c r="A98" s="92"/>
      <c r="H98" s="93"/>
    </row>
    <row r="99" spans="1:8" ht="22.5" customHeight="1" x14ac:dyDescent="0.15">
      <c r="A99" s="92"/>
      <c r="H99" s="93"/>
    </row>
    <row r="100" spans="1:8" ht="22.5" customHeight="1" x14ac:dyDescent="0.15">
      <c r="A100" s="92"/>
      <c r="H100" s="93"/>
    </row>
    <row r="101" spans="1:8" ht="22.5" customHeight="1" x14ac:dyDescent="0.15">
      <c r="A101" s="92"/>
      <c r="H101" s="93"/>
    </row>
    <row r="102" spans="1:8" ht="22.5" customHeight="1" thickBot="1" x14ac:dyDescent="0.2">
      <c r="A102" s="94"/>
      <c r="B102" s="95"/>
      <c r="C102" s="95"/>
      <c r="D102" s="95"/>
      <c r="E102" s="95"/>
      <c r="F102" s="95"/>
      <c r="G102" s="95"/>
      <c r="H102" s="96"/>
    </row>
    <row r="103" spans="1:8" s="113" customFormat="1" ht="40.5" customHeight="1" x14ac:dyDescent="0.15">
      <c r="A103" s="108" t="s">
        <v>208</v>
      </c>
    </row>
    <row r="104" spans="1:8" ht="22.5" customHeight="1" x14ac:dyDescent="0.15">
      <c r="A104" s="249">
        <f>管理者入力シート!B5</f>
        <v>2020</v>
      </c>
      <c r="B104" s="249"/>
      <c r="C104" s="20" t="s">
        <v>421</v>
      </c>
    </row>
    <row r="105" spans="1:8" ht="22.5" customHeight="1" x14ac:dyDescent="0.15">
      <c r="A105" s="20" t="s">
        <v>340</v>
      </c>
      <c r="F105" s="157"/>
      <c r="G105" s="157"/>
    </row>
    <row r="128" ht="22.5" customHeight="1" thickBot="1" x14ac:dyDescent="0.2"/>
    <row r="129" spans="1:8" ht="22.5" customHeight="1" x14ac:dyDescent="0.15">
      <c r="A129" s="198" t="s">
        <v>369</v>
      </c>
      <c r="B129" s="90"/>
      <c r="C129" s="90"/>
      <c r="D129" s="90"/>
      <c r="E129" s="90"/>
      <c r="F129" s="90"/>
      <c r="G129" s="90"/>
      <c r="H129" s="91"/>
    </row>
    <row r="130" spans="1:8" ht="22.5" customHeight="1" x14ac:dyDescent="0.15">
      <c r="A130" s="92" t="s">
        <v>313</v>
      </c>
      <c r="H130" s="93"/>
    </row>
    <row r="131" spans="1:8" ht="22.5" customHeight="1" x14ac:dyDescent="0.15">
      <c r="A131" s="92"/>
      <c r="H131" s="93"/>
    </row>
    <row r="132" spans="1:8" ht="22.5" customHeight="1" x14ac:dyDescent="0.15">
      <c r="A132" s="92"/>
      <c r="H132" s="93"/>
    </row>
    <row r="133" spans="1:8" ht="22.5" customHeight="1" x14ac:dyDescent="0.15">
      <c r="A133" s="92"/>
      <c r="H133" s="93"/>
    </row>
    <row r="134" spans="1:8" ht="22.5" customHeight="1" x14ac:dyDescent="0.15">
      <c r="A134" s="92"/>
      <c r="H134" s="93"/>
    </row>
    <row r="135" spans="1:8" ht="22.5" customHeight="1" thickBot="1" x14ac:dyDescent="0.2">
      <c r="A135" s="94"/>
      <c r="B135" s="95"/>
      <c r="C135" s="95"/>
      <c r="D135" s="95"/>
      <c r="E135" s="95"/>
      <c r="F135" s="95"/>
      <c r="G135" s="95"/>
      <c r="H135" s="96"/>
    </row>
    <row r="137" spans="1:8" s="113" customFormat="1" ht="40.5" customHeight="1" x14ac:dyDescent="0.15">
      <c r="A137" s="108" t="s">
        <v>314</v>
      </c>
    </row>
    <row r="138" spans="1:8" ht="22.5" customHeight="1" x14ac:dyDescent="0.15">
      <c r="A138" s="249">
        <f>管理者入力シート!B5</f>
        <v>2020</v>
      </c>
      <c r="B138" s="249"/>
      <c r="C138" s="20" t="s">
        <v>422</v>
      </c>
    </row>
    <row r="139" spans="1:8" ht="22.5" customHeight="1" x14ac:dyDescent="0.15">
      <c r="A139" s="20" t="s">
        <v>315</v>
      </c>
      <c r="C139" s="280">
        <f>管理者用地域特徴シート!CK5</f>
        <v>0.56721344695555731</v>
      </c>
      <c r="D139" s="280"/>
      <c r="E139" s="20" t="s">
        <v>316</v>
      </c>
      <c r="F139" s="157" t="str">
        <f>管理者入力シート!B3</f>
        <v>国富町</v>
      </c>
      <c r="G139" s="158" t="s">
        <v>317</v>
      </c>
    </row>
    <row r="140" spans="1:8" ht="22.5" customHeight="1" x14ac:dyDescent="0.15">
      <c r="A140" s="20" t="s">
        <v>318</v>
      </c>
    </row>
    <row r="141" spans="1:8" ht="22.5" customHeight="1" x14ac:dyDescent="0.15">
      <c r="C141" s="280">
        <f>管理者用地域特徴シート!CN5</f>
        <v>0.33342828656886481</v>
      </c>
      <c r="D141" s="280"/>
      <c r="E141" s="20" t="s">
        <v>316</v>
      </c>
      <c r="F141" s="157" t="str">
        <f>管理者入力シート!B3</f>
        <v>国富町</v>
      </c>
      <c r="G141" s="158" t="s">
        <v>317</v>
      </c>
    </row>
    <row r="142" spans="1:8" ht="22.5" customHeight="1" x14ac:dyDescent="0.15">
      <c r="A142" s="281" t="s">
        <v>319</v>
      </c>
      <c r="B142" s="281"/>
      <c r="C142" s="281"/>
      <c r="D142" s="281"/>
      <c r="E142" s="281"/>
      <c r="F142" s="281"/>
      <c r="G142" s="281"/>
      <c r="H142" s="281"/>
    </row>
    <row r="160" ht="22.5" customHeight="1" thickBot="1" x14ac:dyDescent="0.2"/>
    <row r="161" spans="1:8" ht="22.5" customHeight="1" x14ac:dyDescent="0.15">
      <c r="A161" s="89" t="s">
        <v>370</v>
      </c>
      <c r="B161" s="90"/>
      <c r="C161" s="90"/>
      <c r="D161" s="90"/>
      <c r="E161" s="90"/>
      <c r="F161" s="90"/>
      <c r="G161" s="90"/>
      <c r="H161" s="91"/>
    </row>
    <row r="162" spans="1:8" ht="22.5" customHeight="1" x14ac:dyDescent="0.15">
      <c r="A162" s="92" t="s">
        <v>321</v>
      </c>
      <c r="H162" s="93"/>
    </row>
    <row r="163" spans="1:8" ht="22.5" customHeight="1" x14ac:dyDescent="0.15">
      <c r="A163" s="92" t="s">
        <v>320</v>
      </c>
      <c r="H163" s="93"/>
    </row>
    <row r="164" spans="1:8" ht="22.5" customHeight="1" x14ac:dyDescent="0.15">
      <c r="A164" s="92"/>
      <c r="H164" s="93"/>
    </row>
    <row r="165" spans="1:8" ht="22.5" customHeight="1" x14ac:dyDescent="0.15">
      <c r="A165" s="92"/>
      <c r="H165" s="93"/>
    </row>
    <row r="166" spans="1:8" ht="22.5" customHeight="1" x14ac:dyDescent="0.15">
      <c r="A166" s="92"/>
      <c r="H166" s="93"/>
    </row>
    <row r="167" spans="1:8" ht="22.5" customHeight="1" x14ac:dyDescent="0.15">
      <c r="A167" s="92"/>
      <c r="H167" s="93"/>
    </row>
    <row r="168" spans="1:8" ht="22.5" customHeight="1" x14ac:dyDescent="0.15">
      <c r="A168" s="92"/>
      <c r="H168" s="93"/>
    </row>
    <row r="169" spans="1:8" ht="22.5" customHeight="1" x14ac:dyDescent="0.15">
      <c r="A169" s="92"/>
      <c r="H169" s="93"/>
    </row>
    <row r="170" spans="1:8" ht="22.5" customHeight="1" thickBot="1" x14ac:dyDescent="0.2">
      <c r="A170" s="94"/>
      <c r="B170" s="95"/>
      <c r="C170" s="95"/>
      <c r="D170" s="95"/>
      <c r="E170" s="95"/>
      <c r="F170" s="95"/>
      <c r="G170" s="95"/>
      <c r="H170" s="96"/>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8" t="s">
        <v>331</v>
      </c>
      <c r="B1" s="169"/>
      <c r="C1" s="169"/>
    </row>
    <row r="2" spans="1:8" ht="22.5" customHeight="1" x14ac:dyDescent="0.15">
      <c r="A2" s="169"/>
      <c r="B2" s="169"/>
      <c r="C2" s="169"/>
    </row>
    <row r="3" spans="1:8" ht="22.5" customHeight="1" x14ac:dyDescent="0.15">
      <c r="A3" s="20" t="s">
        <v>332</v>
      </c>
    </row>
    <row r="4" spans="1:8" ht="22.5" customHeight="1" x14ac:dyDescent="0.15">
      <c r="A4" s="20" t="s">
        <v>335</v>
      </c>
    </row>
    <row r="5" spans="1:8" s="113" customFormat="1" ht="23.25" customHeight="1" thickBot="1" x14ac:dyDescent="0.2">
      <c r="A5" s="95" t="s">
        <v>334</v>
      </c>
      <c r="B5" s="175"/>
      <c r="C5" s="175"/>
      <c r="D5" s="175"/>
      <c r="E5" s="175"/>
      <c r="F5" s="175"/>
      <c r="G5" s="175"/>
      <c r="H5" s="175"/>
    </row>
    <row r="6" spans="1:8" ht="22.5" customHeight="1" x14ac:dyDescent="0.15">
      <c r="A6" s="172"/>
      <c r="B6" s="174"/>
      <c r="C6" s="90"/>
      <c r="D6" s="90"/>
      <c r="E6" s="90"/>
      <c r="F6" s="90"/>
      <c r="G6" s="90"/>
      <c r="H6" s="91"/>
    </row>
    <row r="7" spans="1:8" ht="22.5" customHeight="1" x14ac:dyDescent="0.15">
      <c r="A7" s="92"/>
      <c r="F7" s="170"/>
      <c r="G7" s="170"/>
      <c r="H7" s="93"/>
    </row>
    <row r="8" spans="1:8" ht="22.5" customHeight="1" x14ac:dyDescent="0.15">
      <c r="A8" s="171"/>
      <c r="D8" s="86"/>
      <c r="H8" s="93"/>
    </row>
    <row r="9" spans="1:8" ht="22.5" customHeight="1" x14ac:dyDescent="0.15">
      <c r="A9" s="92"/>
      <c r="D9" s="34"/>
      <c r="H9" s="93"/>
    </row>
    <row r="10" spans="1:8" ht="22.5" customHeight="1" x14ac:dyDescent="0.15">
      <c r="A10" s="92"/>
      <c r="H10" s="93"/>
    </row>
    <row r="11" spans="1:8" ht="22.5" customHeight="1" x14ac:dyDescent="0.15">
      <c r="A11" s="92"/>
      <c r="H11" s="93"/>
    </row>
    <row r="12" spans="1:8" ht="22.5" customHeight="1" x14ac:dyDescent="0.15">
      <c r="A12" s="92"/>
      <c r="H12" s="93"/>
    </row>
    <row r="13" spans="1:8" ht="22.5" customHeight="1" x14ac:dyDescent="0.15">
      <c r="A13" s="92"/>
      <c r="H13" s="93"/>
    </row>
    <row r="14" spans="1:8" ht="22.5" customHeight="1" x14ac:dyDescent="0.15">
      <c r="A14" s="92"/>
      <c r="H14" s="93"/>
    </row>
    <row r="15" spans="1:8" ht="22.5" customHeight="1" x14ac:dyDescent="0.15">
      <c r="A15" s="92"/>
      <c r="H15" s="93"/>
    </row>
    <row r="16" spans="1:8" ht="22.5" customHeight="1" x14ac:dyDescent="0.15">
      <c r="A16" s="92"/>
      <c r="H16" s="93"/>
    </row>
    <row r="17" spans="1:8" ht="22.5" customHeight="1" thickBot="1" x14ac:dyDescent="0.2">
      <c r="A17" s="94"/>
      <c r="B17" s="95"/>
      <c r="C17" s="95"/>
      <c r="D17" s="95"/>
      <c r="E17" s="95"/>
      <c r="F17" s="95"/>
      <c r="G17" s="95"/>
      <c r="H17" s="96"/>
    </row>
    <row r="19" spans="1:8" ht="22.5" customHeight="1" x14ac:dyDescent="0.15">
      <c r="A19" s="20" t="s">
        <v>336</v>
      </c>
    </row>
    <row r="20" spans="1:8" ht="22.5" customHeight="1" thickBot="1" x14ac:dyDescent="0.2">
      <c r="A20" s="20" t="s">
        <v>333</v>
      </c>
      <c r="G20" s="151"/>
      <c r="H20" s="35"/>
    </row>
    <row r="21" spans="1:8" ht="22.5" customHeight="1" x14ac:dyDescent="0.15">
      <c r="A21" s="172"/>
      <c r="B21" s="90"/>
      <c r="C21" s="90"/>
      <c r="D21" s="173"/>
      <c r="E21" s="90"/>
      <c r="F21" s="90"/>
      <c r="G21" s="90"/>
      <c r="H21" s="91"/>
    </row>
    <row r="22" spans="1:8" ht="22.5" customHeight="1" x14ac:dyDescent="0.15">
      <c r="A22" s="92"/>
      <c r="D22" s="34"/>
      <c r="H22" s="93"/>
    </row>
    <row r="23" spans="1:8" ht="22.5" customHeight="1" x14ac:dyDescent="0.15">
      <c r="A23" s="92"/>
      <c r="H23" s="93"/>
    </row>
    <row r="24" spans="1:8" ht="22.5" customHeight="1" x14ac:dyDescent="0.15">
      <c r="A24" s="92"/>
      <c r="H24" s="93"/>
    </row>
    <row r="25" spans="1:8" ht="22.5" customHeight="1" x14ac:dyDescent="0.15">
      <c r="A25" s="92"/>
      <c r="H25" s="93"/>
    </row>
    <row r="26" spans="1:8" ht="22.5" customHeight="1" x14ac:dyDescent="0.15">
      <c r="A26" s="92"/>
      <c r="H26" s="93"/>
    </row>
    <row r="27" spans="1:8" ht="22.5" customHeight="1" x14ac:dyDescent="0.15">
      <c r="A27" s="92"/>
      <c r="H27" s="93"/>
    </row>
    <row r="28" spans="1:8" ht="22.5" customHeight="1" x14ac:dyDescent="0.15">
      <c r="A28" s="92"/>
      <c r="H28" s="93"/>
    </row>
    <row r="29" spans="1:8" ht="22.5" customHeight="1" x14ac:dyDescent="0.15">
      <c r="A29" s="92"/>
      <c r="H29" s="93"/>
    </row>
    <row r="30" spans="1:8" ht="22.5" customHeight="1" x14ac:dyDescent="0.15">
      <c r="A30" s="92"/>
      <c r="H30" s="93"/>
    </row>
    <row r="31" spans="1:8" ht="22.5" customHeight="1" x14ac:dyDescent="0.15">
      <c r="A31" s="92"/>
      <c r="H31" s="93"/>
    </row>
    <row r="32" spans="1:8" ht="22.5" customHeight="1" x14ac:dyDescent="0.15">
      <c r="A32" s="92"/>
      <c r="H32" s="93"/>
    </row>
    <row r="33" spans="1:8" ht="22.5" customHeight="1" x14ac:dyDescent="0.15">
      <c r="A33" s="92"/>
      <c r="H33" s="93"/>
    </row>
    <row r="34" spans="1:8" ht="22.5" customHeight="1" thickBot="1" x14ac:dyDescent="0.2">
      <c r="A34" s="94"/>
      <c r="B34" s="95"/>
      <c r="C34" s="95"/>
      <c r="D34" s="95"/>
      <c r="E34" s="95"/>
      <c r="F34" s="95"/>
      <c r="G34" s="95"/>
      <c r="H34" s="96"/>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5" t="s">
        <v>376</v>
      </c>
      <c r="B2" s="31" t="s">
        <v>429</v>
      </c>
    </row>
    <row r="3" spans="1:3" x14ac:dyDescent="0.15">
      <c r="A3" s="203" t="s">
        <v>292</v>
      </c>
      <c r="B3" s="32" t="str">
        <f>管理者用地域特徴シート!B5</f>
        <v>国富町</v>
      </c>
    </row>
    <row r="4" spans="1:3" x14ac:dyDescent="0.15">
      <c r="A4" s="153" t="s">
        <v>24</v>
      </c>
      <c r="B4" s="154" t="str">
        <f>管理者用地域特徴シート!C5</f>
        <v>本庄小学校区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200" t="str">
        <f>管理者入力シート!B2</f>
        <v>45382_1</v>
      </c>
      <c r="B1" s="24" t="s">
        <v>44</v>
      </c>
      <c r="C1" s="25"/>
      <c r="D1" s="293" t="s">
        <v>0</v>
      </c>
      <c r="E1" s="293" t="s">
        <v>1</v>
      </c>
      <c r="F1" s="293" t="s">
        <v>2</v>
      </c>
      <c r="G1" s="293" t="s">
        <v>3</v>
      </c>
      <c r="H1" s="293" t="s">
        <v>4</v>
      </c>
      <c r="I1" s="293" t="s">
        <v>5</v>
      </c>
      <c r="J1" s="293" t="s">
        <v>6</v>
      </c>
      <c r="K1" s="293" t="s">
        <v>7</v>
      </c>
      <c r="L1" s="293" t="s">
        <v>8</v>
      </c>
      <c r="M1" s="293" t="s">
        <v>9</v>
      </c>
      <c r="N1" s="293" t="s">
        <v>10</v>
      </c>
      <c r="O1" s="293" t="s">
        <v>11</v>
      </c>
      <c r="P1" s="293" t="s">
        <v>12</v>
      </c>
      <c r="Q1" s="293" t="s">
        <v>13</v>
      </c>
      <c r="R1" s="293" t="s">
        <v>14</v>
      </c>
      <c r="S1" s="293" t="s">
        <v>15</v>
      </c>
      <c r="T1" s="293" t="s">
        <v>16</v>
      </c>
      <c r="U1" s="293" t="s">
        <v>17</v>
      </c>
      <c r="V1" s="293" t="s">
        <v>18</v>
      </c>
      <c r="W1" s="293" t="s">
        <v>19</v>
      </c>
      <c r="X1" s="293" t="s">
        <v>20</v>
      </c>
      <c r="Y1" s="293" t="s">
        <v>23</v>
      </c>
      <c r="Z1" s="294" t="s">
        <v>50</v>
      </c>
      <c r="AA1" s="294" t="s">
        <v>51</v>
      </c>
      <c r="AB1" s="297" t="s">
        <v>79</v>
      </c>
      <c r="AC1" s="297" t="s">
        <v>80</v>
      </c>
      <c r="AD1" s="294" t="s">
        <v>48</v>
      </c>
      <c r="AE1" s="294" t="s">
        <v>49</v>
      </c>
      <c r="AF1" s="294" t="s">
        <v>97</v>
      </c>
      <c r="AH1" s="7"/>
      <c r="AI1" s="42" t="s">
        <v>25</v>
      </c>
      <c r="AJ1" s="40" t="s">
        <v>90</v>
      </c>
      <c r="AK1" s="41"/>
      <c r="AL1" s="296" t="s">
        <v>89</v>
      </c>
      <c r="AM1" s="295" t="s">
        <v>27</v>
      </c>
      <c r="AN1" s="295" t="s">
        <v>28</v>
      </c>
      <c r="AO1" s="295" t="s">
        <v>26</v>
      </c>
      <c r="AP1" s="295" t="s">
        <v>29</v>
      </c>
      <c r="AQ1" s="295" t="s">
        <v>30</v>
      </c>
      <c r="AR1" s="295" t="s">
        <v>31</v>
      </c>
      <c r="AS1" s="295" t="s">
        <v>32</v>
      </c>
      <c r="AT1" s="295" t="s">
        <v>33</v>
      </c>
      <c r="AU1" s="295" t="s">
        <v>34</v>
      </c>
      <c r="AV1" s="295" t="s">
        <v>35</v>
      </c>
      <c r="AW1" s="295" t="s">
        <v>36</v>
      </c>
      <c r="AX1" s="295" t="s">
        <v>37</v>
      </c>
      <c r="AY1" s="295" t="s">
        <v>38</v>
      </c>
      <c r="AZ1" s="295" t="s">
        <v>39</v>
      </c>
      <c r="BA1" s="295" t="s">
        <v>40</v>
      </c>
      <c r="BB1" s="295" t="s">
        <v>45</v>
      </c>
      <c r="BC1" s="295" t="s">
        <v>41</v>
      </c>
      <c r="BD1" s="295" t="s">
        <v>42</v>
      </c>
      <c r="BE1" s="295" t="s">
        <v>46</v>
      </c>
      <c r="BF1" s="295" t="s">
        <v>43</v>
      </c>
      <c r="BI1" s="56" t="s">
        <v>44</v>
      </c>
      <c r="BJ1" s="57"/>
      <c r="BK1" s="299" t="s">
        <v>0</v>
      </c>
      <c r="BL1" s="299" t="s">
        <v>1</v>
      </c>
      <c r="BM1" s="299" t="s">
        <v>2</v>
      </c>
      <c r="BN1" s="299" t="s">
        <v>3</v>
      </c>
      <c r="BO1" s="299" t="s">
        <v>4</v>
      </c>
      <c r="BP1" s="299" t="s">
        <v>5</v>
      </c>
      <c r="BQ1" s="299" t="s">
        <v>6</v>
      </c>
      <c r="BR1" s="299" t="s">
        <v>7</v>
      </c>
      <c r="BS1" s="299" t="s">
        <v>8</v>
      </c>
      <c r="BT1" s="299" t="s">
        <v>9</v>
      </c>
      <c r="BU1" s="299" t="s">
        <v>10</v>
      </c>
      <c r="BV1" s="299" t="s">
        <v>11</v>
      </c>
      <c r="BW1" s="299" t="s">
        <v>12</v>
      </c>
      <c r="BX1" s="299" t="s">
        <v>13</v>
      </c>
      <c r="BY1" s="299" t="s">
        <v>14</v>
      </c>
      <c r="BZ1" s="299" t="s">
        <v>15</v>
      </c>
      <c r="CA1" s="299" t="s">
        <v>16</v>
      </c>
      <c r="CB1" s="299" t="s">
        <v>17</v>
      </c>
      <c r="CC1" s="299" t="s">
        <v>18</v>
      </c>
      <c r="CD1" s="299" t="s">
        <v>19</v>
      </c>
      <c r="CE1" s="299" t="s">
        <v>20</v>
      </c>
      <c r="CF1" s="299" t="s">
        <v>23</v>
      </c>
      <c r="CG1" s="300" t="s">
        <v>50</v>
      </c>
      <c r="CH1" s="300" t="s">
        <v>51</v>
      </c>
      <c r="CI1" s="302" t="s">
        <v>79</v>
      </c>
      <c r="CJ1" s="302" t="s">
        <v>80</v>
      </c>
      <c r="CK1" s="300" t="s">
        <v>48</v>
      </c>
      <c r="CL1" s="300" t="s">
        <v>49</v>
      </c>
      <c r="CM1" s="300" t="s">
        <v>97</v>
      </c>
      <c r="CP1" s="74" t="s">
        <v>44</v>
      </c>
      <c r="CQ1" s="75"/>
      <c r="CR1" s="301" t="s">
        <v>0</v>
      </c>
      <c r="CS1" s="301" t="s">
        <v>1</v>
      </c>
      <c r="CT1" s="301" t="s">
        <v>2</v>
      </c>
      <c r="CU1" s="301" t="s">
        <v>3</v>
      </c>
      <c r="CV1" s="301" t="s">
        <v>4</v>
      </c>
      <c r="CW1" s="301" t="s">
        <v>5</v>
      </c>
      <c r="CX1" s="301" t="s">
        <v>6</v>
      </c>
      <c r="CY1" s="301" t="s">
        <v>7</v>
      </c>
      <c r="CZ1" s="301" t="s">
        <v>8</v>
      </c>
      <c r="DA1" s="301" t="s">
        <v>9</v>
      </c>
      <c r="DB1" s="301" t="s">
        <v>10</v>
      </c>
      <c r="DC1" s="301" t="s">
        <v>11</v>
      </c>
      <c r="DD1" s="301" t="s">
        <v>12</v>
      </c>
      <c r="DE1" s="301" t="s">
        <v>13</v>
      </c>
      <c r="DF1" s="301" t="s">
        <v>14</v>
      </c>
      <c r="DG1" s="301" t="s">
        <v>15</v>
      </c>
      <c r="DH1" s="301" t="s">
        <v>16</v>
      </c>
      <c r="DI1" s="301" t="s">
        <v>17</v>
      </c>
      <c r="DJ1" s="301" t="s">
        <v>18</v>
      </c>
      <c r="DK1" s="301" t="s">
        <v>19</v>
      </c>
      <c r="DL1" s="301" t="s">
        <v>20</v>
      </c>
      <c r="DM1" s="301" t="s">
        <v>23</v>
      </c>
      <c r="DN1" s="304" t="s">
        <v>50</v>
      </c>
      <c r="DO1" s="304" t="s">
        <v>51</v>
      </c>
      <c r="DP1" s="305" t="s">
        <v>79</v>
      </c>
      <c r="DQ1" s="305" t="s">
        <v>80</v>
      </c>
      <c r="DR1" s="304" t="s">
        <v>48</v>
      </c>
      <c r="DS1" s="304" t="s">
        <v>49</v>
      </c>
      <c r="DT1" s="304" t="s">
        <v>97</v>
      </c>
      <c r="DV1" s="288" t="s">
        <v>442</v>
      </c>
      <c r="DW1" s="289"/>
      <c r="DX1" s="284">
        <f>DW17</f>
        <v>89</v>
      </c>
      <c r="DY1" s="285"/>
      <c r="DZ1" s="290" t="s">
        <v>0</v>
      </c>
      <c r="EA1" s="290" t="s">
        <v>1</v>
      </c>
      <c r="EB1" s="290" t="s">
        <v>2</v>
      </c>
      <c r="EC1" s="290" t="s">
        <v>3</v>
      </c>
      <c r="ED1" s="290" t="s">
        <v>4</v>
      </c>
      <c r="EE1" s="290" t="s">
        <v>5</v>
      </c>
      <c r="EF1" s="290" t="s">
        <v>6</v>
      </c>
      <c r="EG1" s="290" t="s">
        <v>7</v>
      </c>
      <c r="EH1" s="290" t="s">
        <v>8</v>
      </c>
      <c r="EI1" s="290" t="s">
        <v>9</v>
      </c>
      <c r="EJ1" s="290" t="s">
        <v>10</v>
      </c>
      <c r="EK1" s="290" t="s">
        <v>11</v>
      </c>
      <c r="EL1" s="290" t="s">
        <v>12</v>
      </c>
      <c r="EM1" s="290" t="s">
        <v>13</v>
      </c>
      <c r="EN1" s="290" t="s">
        <v>14</v>
      </c>
      <c r="EO1" s="290" t="s">
        <v>15</v>
      </c>
      <c r="EP1" s="290" t="s">
        <v>16</v>
      </c>
      <c r="EQ1" s="290" t="s">
        <v>17</v>
      </c>
      <c r="ER1" s="290" t="s">
        <v>18</v>
      </c>
      <c r="ES1" s="290" t="s">
        <v>19</v>
      </c>
      <c r="ET1" s="290" t="s">
        <v>20</v>
      </c>
      <c r="EU1" s="290" t="s">
        <v>23</v>
      </c>
      <c r="EV1" s="283" t="s">
        <v>50</v>
      </c>
      <c r="EW1" s="283" t="s">
        <v>51</v>
      </c>
      <c r="EX1" s="291" t="s">
        <v>79</v>
      </c>
      <c r="EY1" s="291" t="s">
        <v>80</v>
      </c>
      <c r="EZ1" s="283" t="s">
        <v>48</v>
      </c>
      <c r="FA1" s="283" t="s">
        <v>49</v>
      </c>
      <c r="FB1" s="283" t="s">
        <v>97</v>
      </c>
    </row>
    <row r="2" spans="1:158" x14ac:dyDescent="0.15">
      <c r="A2" s="7" t="s">
        <v>56</v>
      </c>
      <c r="B2" s="26"/>
      <c r="C2" s="27"/>
      <c r="D2" s="293"/>
      <c r="E2" s="293"/>
      <c r="F2" s="293"/>
      <c r="G2" s="293"/>
      <c r="H2" s="293"/>
      <c r="I2" s="293"/>
      <c r="J2" s="293"/>
      <c r="K2" s="293"/>
      <c r="L2" s="293"/>
      <c r="M2" s="293"/>
      <c r="N2" s="293"/>
      <c r="O2" s="293"/>
      <c r="P2" s="293"/>
      <c r="Q2" s="293"/>
      <c r="R2" s="293"/>
      <c r="S2" s="293"/>
      <c r="T2" s="293"/>
      <c r="U2" s="293"/>
      <c r="V2" s="293"/>
      <c r="W2" s="293"/>
      <c r="X2" s="293"/>
      <c r="Y2" s="293"/>
      <c r="Z2" s="294"/>
      <c r="AA2" s="294"/>
      <c r="AB2" s="298"/>
      <c r="AC2" s="298"/>
      <c r="AD2" s="294"/>
      <c r="AE2" s="294"/>
      <c r="AF2" s="294"/>
      <c r="AI2" s="43"/>
      <c r="AJ2" s="44"/>
      <c r="AK2" s="45"/>
      <c r="AL2" s="296"/>
      <c r="AM2" s="295"/>
      <c r="AN2" s="295"/>
      <c r="AO2" s="295"/>
      <c r="AP2" s="295"/>
      <c r="AQ2" s="295"/>
      <c r="AR2" s="295"/>
      <c r="AS2" s="295"/>
      <c r="AT2" s="295"/>
      <c r="AU2" s="295"/>
      <c r="AV2" s="295"/>
      <c r="AW2" s="295"/>
      <c r="AX2" s="295"/>
      <c r="AY2" s="295"/>
      <c r="AZ2" s="295"/>
      <c r="BA2" s="295"/>
      <c r="BB2" s="295"/>
      <c r="BC2" s="295"/>
      <c r="BD2" s="295"/>
      <c r="BE2" s="295"/>
      <c r="BF2" s="295"/>
      <c r="BH2" s="7" t="s">
        <v>56</v>
      </c>
      <c r="BI2" s="58" t="s">
        <v>116</v>
      </c>
      <c r="BJ2" s="59"/>
      <c r="BK2" s="299"/>
      <c r="BL2" s="299"/>
      <c r="BM2" s="299"/>
      <c r="BN2" s="299"/>
      <c r="BO2" s="299"/>
      <c r="BP2" s="299"/>
      <c r="BQ2" s="299"/>
      <c r="BR2" s="299"/>
      <c r="BS2" s="299"/>
      <c r="BT2" s="299"/>
      <c r="BU2" s="299"/>
      <c r="BV2" s="299"/>
      <c r="BW2" s="299"/>
      <c r="BX2" s="299"/>
      <c r="BY2" s="299"/>
      <c r="BZ2" s="299"/>
      <c r="CA2" s="299"/>
      <c r="CB2" s="299"/>
      <c r="CC2" s="299"/>
      <c r="CD2" s="299"/>
      <c r="CE2" s="299"/>
      <c r="CF2" s="299"/>
      <c r="CG2" s="300"/>
      <c r="CH2" s="300"/>
      <c r="CI2" s="303"/>
      <c r="CJ2" s="303"/>
      <c r="CK2" s="300"/>
      <c r="CL2" s="300"/>
      <c r="CM2" s="300"/>
      <c r="CO2" s="7" t="s">
        <v>56</v>
      </c>
      <c r="CP2" s="76" t="s">
        <v>117</v>
      </c>
      <c r="CQ2" s="77"/>
      <c r="CR2" s="301"/>
      <c r="CS2" s="301"/>
      <c r="CT2" s="301"/>
      <c r="CU2" s="301"/>
      <c r="CV2" s="301"/>
      <c r="CW2" s="301"/>
      <c r="CX2" s="301"/>
      <c r="CY2" s="301"/>
      <c r="CZ2" s="301"/>
      <c r="DA2" s="301"/>
      <c r="DB2" s="301"/>
      <c r="DC2" s="301"/>
      <c r="DD2" s="301"/>
      <c r="DE2" s="301"/>
      <c r="DF2" s="301"/>
      <c r="DG2" s="301"/>
      <c r="DH2" s="301"/>
      <c r="DI2" s="301"/>
      <c r="DJ2" s="301"/>
      <c r="DK2" s="301"/>
      <c r="DL2" s="301"/>
      <c r="DM2" s="301"/>
      <c r="DN2" s="304"/>
      <c r="DO2" s="304"/>
      <c r="DP2" s="306"/>
      <c r="DQ2" s="306"/>
      <c r="DR2" s="304"/>
      <c r="DS2" s="304"/>
      <c r="DT2" s="304"/>
      <c r="DV2" s="288"/>
      <c r="DW2" s="289"/>
      <c r="DX2" s="286"/>
      <c r="DY2" s="287"/>
      <c r="DZ2" s="290"/>
      <c r="EA2" s="290"/>
      <c r="EB2" s="290"/>
      <c r="EC2" s="290"/>
      <c r="ED2" s="290"/>
      <c r="EE2" s="290"/>
      <c r="EF2" s="290"/>
      <c r="EG2" s="290"/>
      <c r="EH2" s="290"/>
      <c r="EI2" s="290"/>
      <c r="EJ2" s="290"/>
      <c r="EK2" s="290"/>
      <c r="EL2" s="290"/>
      <c r="EM2" s="290"/>
      <c r="EN2" s="290"/>
      <c r="EO2" s="290"/>
      <c r="EP2" s="290"/>
      <c r="EQ2" s="290"/>
      <c r="ER2" s="290"/>
      <c r="ES2" s="290"/>
      <c r="ET2" s="290"/>
      <c r="EU2" s="290"/>
      <c r="EV2" s="283"/>
      <c r="EW2" s="283"/>
      <c r="EX2" s="292"/>
      <c r="EY2" s="292"/>
      <c r="EZ2" s="283"/>
      <c r="FA2" s="283"/>
      <c r="FB2" s="283"/>
    </row>
    <row r="3" spans="1:158" x14ac:dyDescent="0.15">
      <c r="A3" s="7" t="str">
        <f>B3&amp;"_"&amp;IF(C3="男性",1,IF(C3="女性",2,IF(C3="合計",3)))</f>
        <v>2005_1</v>
      </c>
      <c r="B3" s="28">
        <v>2005</v>
      </c>
      <c r="C3" s="3" t="s">
        <v>21</v>
      </c>
      <c r="D3" s="184">
        <v>218.92000000000002</v>
      </c>
      <c r="E3" s="9">
        <v>233.01</v>
      </c>
      <c r="F3" s="9">
        <v>258.59000000000003</v>
      </c>
      <c r="G3" s="9">
        <v>239.86999999999998</v>
      </c>
      <c r="H3" s="9">
        <v>217.70999999999998</v>
      </c>
      <c r="I3" s="9">
        <v>260.96000000000004</v>
      </c>
      <c r="J3" s="9">
        <v>277.32</v>
      </c>
      <c r="K3" s="9">
        <v>226.39</v>
      </c>
      <c r="L3" s="9">
        <v>250.42</v>
      </c>
      <c r="M3" s="9">
        <v>323.93</v>
      </c>
      <c r="N3" s="9">
        <v>335.94</v>
      </c>
      <c r="O3" s="9">
        <v>329.23</v>
      </c>
      <c r="P3" s="9">
        <v>233.14</v>
      </c>
      <c r="Q3" s="9">
        <v>234.10999999999999</v>
      </c>
      <c r="R3" s="9">
        <v>221.45999999999998</v>
      </c>
      <c r="S3" s="9">
        <v>172.92</v>
      </c>
      <c r="T3" s="9">
        <v>65.349999999999994</v>
      </c>
      <c r="U3" s="9">
        <v>47.279999999999994</v>
      </c>
      <c r="V3" s="9">
        <v>15.66</v>
      </c>
      <c r="W3" s="9">
        <v>6.72</v>
      </c>
      <c r="X3" s="9">
        <v>0</v>
      </c>
      <c r="Y3" s="9">
        <f>SUM(D3:X3)</f>
        <v>4168.93</v>
      </c>
      <c r="Z3" s="9">
        <f>E3*3/5+F3*3/5</f>
        <v>294.96000000000004</v>
      </c>
      <c r="AA3" s="9">
        <f>F3*2/5+G3*1/5</f>
        <v>151.41</v>
      </c>
      <c r="AB3" s="9">
        <f t="shared" ref="AB3:AB20" si="0">SUM(Q3:X3)</f>
        <v>763.49999999999989</v>
      </c>
      <c r="AC3" s="9">
        <f>SUM(S3:X3)</f>
        <v>307.93</v>
      </c>
      <c r="AD3" s="13">
        <f>AB3/Y3</f>
        <v>0.18314051807058401</v>
      </c>
      <c r="AE3" s="13">
        <f>AC3/Y3</f>
        <v>7.3863077576260566E-2</v>
      </c>
      <c r="AF3" s="9">
        <f>SUM(H3:K3)</f>
        <v>982.38</v>
      </c>
      <c r="AH3" s="7"/>
      <c r="AI3" s="28" t="s">
        <v>87</v>
      </c>
      <c r="AJ3" s="3">
        <f>管理者入力シート!B6</f>
        <v>2015</v>
      </c>
      <c r="AK3" s="3">
        <f>管理者入力シート!B5</f>
        <v>2020</v>
      </c>
      <c r="AL3" s="31" t="s">
        <v>21</v>
      </c>
      <c r="AM3" s="6">
        <f>IF(AND(VLOOKUP($AJ3&amp;"_1",$A:$X,AM$9,FALSE)&lt;1,VLOOKUP($AK3&amp;"_1",$A:$X,AM$10,FALSE)&lt;1),1,IF(AND(VLOOKUP($AJ3&amp;"_1",$A:$X,AM$9,FALSE)&lt;1,VLOOKUP($AK3&amp;"_1",$A:$X,AM$10,FALSE)&gt;=1),VLOOKUP($AK3&amp;"_1",$A:$X,AM$10,FALSE)/1,IF(AND(VLOOKUP($AJ3&amp;"_1",$A:$X,AM$9,FALSE)&gt;=1,VLOOKUP($AK3&amp;"_1",$A:$X,AM$10,FALSE)&lt;1),1/VLOOKUP($AJ3&amp;"_1",$A:$X,AM$9,FALSE),IF(AND(VLOOKUP($AJ3&amp;"_1",$A:$X,AM$9,FALSE)&gt;=1,VLOOKUP($AK3&amp;"_1",$A:$X,AM$10,FALSE)&gt;=1),VLOOKUP($AK3&amp;"_1",$A:$X,AM$10,FALSE)/VLOOKUP($AJ3&amp;"_1",$A:$X,AM$9,FALSE)))))</f>
        <v>1.0778407421421385</v>
      </c>
      <c r="AN3" s="6">
        <f t="shared" ref="AN3:BD5" si="1">IF(AND(VLOOKUP($AJ3&amp;"_1",$A:$X,AN$9,FALSE)&lt;1,VLOOKUP($AK3&amp;"_1",$A:$X,AN$10,FALSE)&lt;1),1,IF(AND(VLOOKUP($AJ3&amp;"_1",$A:$X,AN$9,FALSE)&lt;1,VLOOKUP($AK3&amp;"_1",$A:$X,AN$10,FALSE)&gt;=1),VLOOKUP($AK3&amp;"_1",$A:$X,AN$10,FALSE)/1,IF(AND(VLOOKUP($AJ3&amp;"_1",$A:$X,AN$9,FALSE)&gt;=1,VLOOKUP($AK3&amp;"_1",$A:$X,AN$10,FALSE)&lt;1),1/VLOOKUP($AJ3&amp;"_1",$A:$X,AN$9,FALSE),IF(AND(VLOOKUP($AJ3&amp;"_1",$A:$X,AN$9,FALSE)&gt;=1,VLOOKUP($AK3&amp;"_1",$A:$X,AN$10,FALSE)&gt;=1),VLOOKUP($AK3&amp;"_1",$A:$X,AN$10,FALSE)/VLOOKUP($AJ3&amp;"_1",$A:$X,AN$9,FALSE)))))</f>
        <v>0.96417409862781245</v>
      </c>
      <c r="AO3" s="6">
        <f t="shared" si="1"/>
        <v>0.8548603997209292</v>
      </c>
      <c r="AP3" s="6">
        <f t="shared" si="1"/>
        <v>0.62313864990359646</v>
      </c>
      <c r="AQ3" s="6">
        <f t="shared" si="1"/>
        <v>1.0435291728013891</v>
      </c>
      <c r="AR3" s="6">
        <f t="shared" si="1"/>
        <v>1.1185968138861628</v>
      </c>
      <c r="AS3" s="6">
        <f t="shared" si="1"/>
        <v>1.0269912014186791</v>
      </c>
      <c r="AT3" s="6">
        <f t="shared" si="1"/>
        <v>0.97702847861456621</v>
      </c>
      <c r="AU3" s="6">
        <f t="shared" si="1"/>
        <v>0.96979728492723238</v>
      </c>
      <c r="AV3" s="6">
        <f t="shared" si="1"/>
        <v>0.94846096960801107</v>
      </c>
      <c r="AW3" s="6">
        <f t="shared" si="1"/>
        <v>0.95433333921684638</v>
      </c>
      <c r="AX3" s="6">
        <f t="shared" si="1"/>
        <v>1.0036790597956531</v>
      </c>
      <c r="AY3" s="6">
        <f t="shared" si="1"/>
        <v>0.94169560360321702</v>
      </c>
      <c r="AZ3" s="6">
        <f t="shared" si="1"/>
        <v>0.94990733136599859</v>
      </c>
      <c r="BA3" s="6">
        <f t="shared" si="1"/>
        <v>0.92600646464894665</v>
      </c>
      <c r="BB3" s="6">
        <f t="shared" si="1"/>
        <v>0.84146203122308616</v>
      </c>
      <c r="BC3" s="6">
        <f t="shared" si="1"/>
        <v>0.65509170867142696</v>
      </c>
      <c r="BD3" s="6">
        <f t="shared" si="1"/>
        <v>0.49784932356526285</v>
      </c>
      <c r="BE3" s="6">
        <f>IF(AND(VLOOKUP($AJ3&amp;"_1",$A:$X,BE$9,FALSE)&lt;1,VLOOKUP($AK3&amp;"_1",$A:$X,BE$10,FALSE)&lt;1),0,IF(AND(VLOOKUP($AJ3&amp;"_1",$A:$X,BE$9,FALSE)&lt;1,VLOOKUP($AK3&amp;"_1",$A:$X,BE$10,FALSE)&gt;=1),VLOOKUP($AK3&amp;"_1",$A:$X,BE$10,FALSE)/1,IF(AND(VLOOKUP($AJ3&amp;"_1",$A:$X,BE$9,FALSE)&gt;=1,VLOOKUP($AK3&amp;"_1",$A:$X,BE$10,FALSE)&lt;1),0,IF(AND(VLOOKUP($AJ3&amp;"_1",$A:$X,BE$9,FALSE)&gt;=1,VLOOKUP($AK3&amp;"_1",$A:$X,BE$10,FALSE)&gt;=1),VLOOKUP($AK3&amp;"_1",$A:$X,BE$10,FALSE)/VLOOKUP($AJ3&amp;"_1",$A:$X,BE$9,FALSE)))))</f>
        <v>0.41640479288642968</v>
      </c>
      <c r="BF3" s="6">
        <f>IF(AND(VLOOKUP($AJ3&amp;"_1",$A:$X,BF$9,FALSE)&lt;1,VLOOKUP($AK3&amp;"_1",$A:$X,BF$10,FALSE)&lt;1),0,IF(AND(VLOOKUP($AJ3&amp;"_1",$A:$X,BF$9,FALSE)&lt;1,VLOOKUP($AK3&amp;"_1",$A:$X,BF$10,FALSE)&gt;=1),VLOOKUP($AK3&amp;"_1",$A:$X,BF$10,FALSE)/1,IF(AND(VLOOKUP($AJ3&amp;"_1",$A:$X,BF$9,FALSE)&gt;=1,VLOOKUP($AK3&amp;"_1",$A:$X,BF$10,FALSE)&lt;1),0,IF(AND(VLOOKUP($AJ3&amp;"_1",$A:$X,BF$9,FALSE)&gt;=1,VLOOKUP($AK3&amp;"_1",$A:$X,BF$10,FALSE)&gt;=1),VLOOKUP($AK3&amp;"_1",$A:$X,BF$10,FALSE)/VLOOKUP($AJ3&amp;"_1",$A:$X,BF$9,FALSE)))))</f>
        <v>0</v>
      </c>
      <c r="BH3" s="7" t="str">
        <f>BI3&amp;"_"&amp;IF(BJ3="男性",1,IF(BJ3="女性",2,IF(BJ3="合計",3)))</f>
        <v>2025_1</v>
      </c>
      <c r="BI3" s="28">
        <f>管理者入力シート!B8</f>
        <v>2025</v>
      </c>
      <c r="BJ3" s="3" t="s">
        <v>21</v>
      </c>
      <c r="BK3" s="9">
        <f>CM4*AK$13</f>
        <v>112.82102088541109</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143.3716327054868</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143.59217762701832</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123.6963208888708</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101.48651834414649</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117.51087544763277</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132.15811223718464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165.47291203743691</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196.1736483462447</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213.21230462575258</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231.046682618463</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197.54763064651388</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214.78107725154996</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273.59248510855321</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289.88328604389039</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258.42675010473539</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158.90049220676156</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105.06140566168389</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51.019175463053813</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17.70448092350362</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7.9050781916406021E-3</v>
      </c>
      <c r="CF3" s="9">
        <f t="shared" ref="CF3:CF14" si="2">SUM(BK3:CE3)</f>
        <v>3247.4668942520843</v>
      </c>
      <c r="CG3" s="9">
        <f>BL3*3/5+BM3*3/5</f>
        <v>172.17828619950308</v>
      </c>
      <c r="CH3" s="9">
        <f>BM3*2/5+BN3*1/5</f>
        <v>82.176135228581487</v>
      </c>
      <c r="CI3" s="9">
        <f t="shared" ref="CI3:CI14" si="3">SUM(BX3:CE3)</f>
        <v>1154.5959805903735</v>
      </c>
      <c r="CJ3" s="9">
        <f>SUM(BZ3:CE3)</f>
        <v>591.12020943792982</v>
      </c>
      <c r="CK3" s="13">
        <f>CI3/CF3</f>
        <v>0.35553741367894237</v>
      </c>
      <c r="CL3" s="13">
        <f>CJ3/CF3</f>
        <v>0.18202501478435215</v>
      </c>
      <c r="CM3" s="9">
        <f>SUM(BO3:BR3)</f>
        <v>516.62841806640085</v>
      </c>
      <c r="CO3" s="7" t="str">
        <f>CP3&amp;"_"&amp;IF(CQ3="男性",1,IF(CQ3="女性",2,IF(CQ3="合計",3)))</f>
        <v>2025_1</v>
      </c>
      <c r="CP3" s="28">
        <f>管理者入力シート!B8</f>
        <v>2025</v>
      </c>
      <c r="CQ3" s="3" t="s">
        <v>21</v>
      </c>
      <c r="CR3" s="9">
        <f>BK3+将来予測シート②!$G17</f>
        <v>113.82102088541109</v>
      </c>
      <c r="CS3" s="9">
        <f>BL3+将来予測シート②!$G18</f>
        <v>143.3716327054868</v>
      </c>
      <c r="CT3" s="9">
        <f>BM3+将来予測シート②!$G19</f>
        <v>144.59217762701832</v>
      </c>
      <c r="CU3" s="9">
        <f>BN3+将来予測シート②!$G20</f>
        <v>123.6963208888708</v>
      </c>
      <c r="CV3" s="9">
        <f>BO3+将来予測シート②!$G21</f>
        <v>101.48651834414649</v>
      </c>
      <c r="CW3" s="9">
        <f>BP3+将来予測シート②!$G22</f>
        <v>119.51087544763277</v>
      </c>
      <c r="CX3" s="9">
        <f>BQ3+将来予測シート②!$G23</f>
        <v>132.15811223718464</v>
      </c>
      <c r="CY3" s="9">
        <f>BR3+将来予測シート②!$G24</f>
        <v>165.47291203743691</v>
      </c>
      <c r="CZ3" s="9">
        <f>BS3+将来予測シート②!$G25</f>
        <v>196.1736483462447</v>
      </c>
      <c r="DA3" s="9">
        <f>BT3+将来予測シート②!$G26</f>
        <v>213.21230462575258</v>
      </c>
      <c r="DB3" s="9">
        <f>BU3+将来予測シート②!$G27</f>
        <v>231.046682618463</v>
      </c>
      <c r="DC3" s="9">
        <f>BV3+将来予測シート②!$G28</f>
        <v>197.54763064651388</v>
      </c>
      <c r="DD3" s="9">
        <f>BW3+将来予測シート②!$G29</f>
        <v>214.78107725154996</v>
      </c>
      <c r="DE3" s="9">
        <f>BX3</f>
        <v>273.59248510855321</v>
      </c>
      <c r="DF3" s="9">
        <f t="shared" ref="DF3:DL3" si="4">BY3</f>
        <v>289.88328604389039</v>
      </c>
      <c r="DG3" s="9">
        <f t="shared" si="4"/>
        <v>258.42675010473539</v>
      </c>
      <c r="DH3" s="9">
        <f t="shared" si="4"/>
        <v>158.90049220676156</v>
      </c>
      <c r="DI3" s="9">
        <f t="shared" si="4"/>
        <v>105.06140566168389</v>
      </c>
      <c r="DJ3" s="9">
        <f t="shared" si="4"/>
        <v>51.019175463053813</v>
      </c>
      <c r="DK3" s="9">
        <f t="shared" si="4"/>
        <v>17.70448092350362</v>
      </c>
      <c r="DL3" s="9">
        <f t="shared" si="4"/>
        <v>7.9050781916406021E-3</v>
      </c>
      <c r="DM3" s="9">
        <f t="shared" ref="DM3:DM4" si="5">SUM(CR3:DL3)</f>
        <v>3251.4668942520843</v>
      </c>
      <c r="DN3" s="9">
        <f>CS3*3/5+CT3*3/5</f>
        <v>172.77828619950304</v>
      </c>
      <c r="DO3" s="9">
        <f>CT3*2/5+CU3*1/5</f>
        <v>82.576135228581478</v>
      </c>
      <c r="DP3" s="9">
        <f t="shared" ref="DP3:DP14" si="6">SUM(DE3:DL3)</f>
        <v>1154.5959805903735</v>
      </c>
      <c r="DQ3" s="9">
        <f>SUM(DG3:DL3)</f>
        <v>591.12020943792982</v>
      </c>
      <c r="DR3" s="13">
        <f>DP3/DM3</f>
        <v>0.35510002658537243</v>
      </c>
      <c r="DS3" s="13">
        <f>DQ3/DM3</f>
        <v>0.18180108506806794</v>
      </c>
      <c r="DT3" s="9">
        <f>SUM(CV3:CY3)</f>
        <v>518.62841806640085</v>
      </c>
      <c r="DV3" s="288"/>
      <c r="DW3" s="289"/>
      <c r="DX3" s="28">
        <f>管理者入力シート!B8</f>
        <v>2025</v>
      </c>
      <c r="DY3" s="3" t="s">
        <v>21</v>
      </c>
      <c r="DZ3" s="9">
        <f>BK$3</f>
        <v>112.82102088541109</v>
      </c>
      <c r="EA3" s="9">
        <f>BL$3</f>
        <v>143.3716327054868</v>
      </c>
      <c r="EB3" s="9">
        <f t="shared" ref="EB3:ED3" si="7">BM$3</f>
        <v>143.59217762701832</v>
      </c>
      <c r="EC3" s="9">
        <f t="shared" si="7"/>
        <v>123.6963208888708</v>
      </c>
      <c r="ED3" s="9">
        <f t="shared" si="7"/>
        <v>101.48651834414649</v>
      </c>
      <c r="EE3" s="9">
        <f>BP$3+DX1</f>
        <v>206.51087544763277</v>
      </c>
      <c r="EF3" s="9">
        <f>BQ$3+DX1</f>
        <v>221.15811223718464</v>
      </c>
      <c r="EG3" s="9">
        <f>BR$3+DX1</f>
        <v>254.47291203743691</v>
      </c>
      <c r="EH3" s="9">
        <f t="shared" ref="EH3:ET3" si="8">BS$3</f>
        <v>196.1736483462447</v>
      </c>
      <c r="EI3" s="9">
        <f t="shared" si="8"/>
        <v>213.21230462575258</v>
      </c>
      <c r="EJ3" s="9">
        <f t="shared" si="8"/>
        <v>231.046682618463</v>
      </c>
      <c r="EK3" s="9">
        <f t="shared" si="8"/>
        <v>197.54763064651388</v>
      </c>
      <c r="EL3" s="9">
        <f t="shared" si="8"/>
        <v>214.78107725154996</v>
      </c>
      <c r="EM3" s="9">
        <f t="shared" si="8"/>
        <v>273.59248510855321</v>
      </c>
      <c r="EN3" s="9">
        <f t="shared" si="8"/>
        <v>289.88328604389039</v>
      </c>
      <c r="EO3" s="9">
        <f t="shared" si="8"/>
        <v>258.42675010473539</v>
      </c>
      <c r="EP3" s="9">
        <f t="shared" si="8"/>
        <v>158.90049220676156</v>
      </c>
      <c r="EQ3" s="9">
        <f t="shared" si="8"/>
        <v>105.06140566168389</v>
      </c>
      <c r="ER3" s="9">
        <f t="shared" si="8"/>
        <v>51.019175463053813</v>
      </c>
      <c r="ES3" s="9">
        <f t="shared" si="8"/>
        <v>17.70448092350362</v>
      </c>
      <c r="ET3" s="9">
        <f t="shared" si="8"/>
        <v>7.9050781916406021E-3</v>
      </c>
      <c r="EU3" s="9">
        <f t="shared" ref="EU3:EU4" si="9">SUM(DZ3:ET3)</f>
        <v>3514.4668942520843</v>
      </c>
      <c r="EV3" s="9">
        <f>EA3*3/5+EB3*3/5</f>
        <v>172.17828619950308</v>
      </c>
      <c r="EW3" s="9">
        <f>EB3*2/5+EC3*1/5</f>
        <v>82.176135228581487</v>
      </c>
      <c r="EX3" s="9">
        <f t="shared" ref="EX3:EX14" si="10">SUM(EM3:ET3)</f>
        <v>1154.5959805903735</v>
      </c>
      <c r="EY3" s="9">
        <f>SUM(EO3:ET3)</f>
        <v>591.12020943792982</v>
      </c>
      <c r="EZ3" s="13">
        <f>EX3/EU3</f>
        <v>0.32852663443173041</v>
      </c>
      <c r="FA3" s="13">
        <f>EY3/EU3</f>
        <v>0.16819626624018219</v>
      </c>
      <c r="FB3" s="9">
        <f>SUM(ED3:EG3)</f>
        <v>783.62841806640074</v>
      </c>
    </row>
    <row r="4" spans="1:158" x14ac:dyDescent="0.15">
      <c r="A4" s="7" t="str">
        <f t="shared" ref="A4:A14" si="11">B4&amp;"_"&amp;IF(C4="男性",1,IF(C4="女性",2,IF(C4="合計",3)))</f>
        <v>2005_2</v>
      </c>
      <c r="B4" s="29">
        <v>2005</v>
      </c>
      <c r="C4" s="4" t="s">
        <v>22</v>
      </c>
      <c r="D4" s="10">
        <v>199.1</v>
      </c>
      <c r="E4" s="10">
        <v>237.21999999999997</v>
      </c>
      <c r="F4" s="10">
        <v>221.23999999999998</v>
      </c>
      <c r="G4" s="10">
        <v>268.57</v>
      </c>
      <c r="H4" s="10">
        <v>225.68</v>
      </c>
      <c r="I4" s="10">
        <v>257.33</v>
      </c>
      <c r="J4" s="10">
        <v>297.33</v>
      </c>
      <c r="K4" s="10">
        <v>256.05</v>
      </c>
      <c r="L4" s="10">
        <v>281.34999999999997</v>
      </c>
      <c r="M4" s="10">
        <v>336.21000000000004</v>
      </c>
      <c r="N4" s="10">
        <v>334.25</v>
      </c>
      <c r="O4" s="10">
        <v>386.56</v>
      </c>
      <c r="P4" s="10">
        <v>256.90999999999997</v>
      </c>
      <c r="Q4" s="10">
        <v>258.52999999999997</v>
      </c>
      <c r="R4" s="10">
        <v>260.29999999999995</v>
      </c>
      <c r="S4" s="10">
        <v>221.74</v>
      </c>
      <c r="T4" s="10">
        <v>153.32999999999998</v>
      </c>
      <c r="U4" s="10">
        <v>93.359999999999985</v>
      </c>
      <c r="V4" s="10">
        <v>40.870000000000005</v>
      </c>
      <c r="W4" s="10">
        <v>15.649999999999999</v>
      </c>
      <c r="X4" s="10">
        <v>0.84</v>
      </c>
      <c r="Y4" s="10">
        <f>SUM(D4:X4)</f>
        <v>4602.4199999999992</v>
      </c>
      <c r="Z4" s="10">
        <f t="shared" ref="Z4:Z11" si="12">E4*3/5+F4*3/5</f>
        <v>275.07599999999991</v>
      </c>
      <c r="AA4" s="10">
        <f t="shared" ref="AA4:AA11" si="13">F4*2/5+G4*1/5</f>
        <v>142.20999999999998</v>
      </c>
      <c r="AB4" s="10">
        <f t="shared" si="0"/>
        <v>1044.6199999999999</v>
      </c>
      <c r="AC4" s="10">
        <f t="shared" ref="AC4:AC11" si="14">SUM(S4:X4)</f>
        <v>525.79</v>
      </c>
      <c r="AD4" s="14">
        <f t="shared" ref="AD4:AD11" si="15">AB4/Y4</f>
        <v>0.22697189739311061</v>
      </c>
      <c r="AE4" s="14">
        <f t="shared" ref="AE4:AE11" si="16">AC4/Y4</f>
        <v>0.11424207264873698</v>
      </c>
      <c r="AF4" s="10">
        <f t="shared" ref="AF4:AF20" si="17">SUM(H4:K4)</f>
        <v>1036.3899999999999</v>
      </c>
      <c r="AH4" s="7"/>
      <c r="AI4" s="30" t="s">
        <v>87</v>
      </c>
      <c r="AJ4" s="5">
        <f>AJ3</f>
        <v>2015</v>
      </c>
      <c r="AK4" s="5">
        <f>AK3</f>
        <v>2020</v>
      </c>
      <c r="AL4" s="33" t="s">
        <v>22</v>
      </c>
      <c r="AM4" s="193">
        <f>IF(AND(VLOOKUP($AJ4&amp;"_2",$A:$X,AM$9,FALSE)&lt;1,VLOOKUP($AK4&amp;"_2",$A:$X,AM$10,FALSE)&lt;1),1,IF(AND(VLOOKUP($AJ4&amp;"_2",$A:$X,AM$9,FALSE)&lt;1,VLOOKUP($AK4&amp;"_2",$A:$X,AM$10,FALSE)&gt;=1),VLOOKUP($AK4&amp;"_2",$A:$X,AM$10,FALSE)/1,IF(AND(VLOOKUP($AJ4&amp;"_2",$A:$X,AM$9,FALSE)&gt;=1,VLOOKUP($AK4&amp;"_2",$A:$X,AM$10,FALSE)&lt;1),1/VLOOKUP($AJ4&amp;"_2",$A:$X,AM$9,FALSE),IF(AND(VLOOKUP($AJ4&amp;"_2",$A:$X,AM$9,FALSE)&gt;=1,VLOOKUP($AK4&amp;"_2",$A:$X,AM$10,FALSE)&gt;=1),VLOOKUP($AK4&amp;"_2",$A:$X,AM$10,FALSE)/VLOOKUP($AJ4&amp;"_2",$A:$X,AM$9,FALSE)))))</f>
        <v>1.1271672632530803</v>
      </c>
      <c r="AN4" s="193">
        <f t="shared" ref="AN4:BD6" si="18">IF(AND(VLOOKUP($AJ4&amp;"_2",$A:$X,AN$9,FALSE)&lt;1,VLOOKUP($AK4&amp;"_2",$A:$X,AN$10,FALSE)&lt;1),1,IF(AND(VLOOKUP($AJ4&amp;"_2",$A:$X,AN$9,FALSE)&lt;1,VLOOKUP($AK4&amp;"_2",$A:$X,AN$10,FALSE)&gt;=1),VLOOKUP($AK4&amp;"_2",$A:$X,AN$10,FALSE)/1,IF(AND(VLOOKUP($AJ4&amp;"_2",$A:$X,AN$9,FALSE)&gt;=1,VLOOKUP($AK4&amp;"_2",$A:$X,AN$10,FALSE)&lt;1),1/VLOOKUP($AJ4&amp;"_2",$A:$X,AN$9,FALSE),IF(AND(VLOOKUP($AJ4&amp;"_2",$A:$X,AN$9,FALSE)&gt;=1,VLOOKUP($AK4&amp;"_2",$A:$X,AN$10,FALSE)&gt;=1),VLOOKUP($AK4&amp;"_2",$A:$X,AN$10,FALSE)/VLOOKUP($AJ4&amp;"_2",$A:$X,AN$9,FALSE)))))</f>
        <v>1.0093981078350445</v>
      </c>
      <c r="AO4" s="193">
        <f t="shared" si="18"/>
        <v>0.87388949492576173</v>
      </c>
      <c r="AP4" s="193">
        <f t="shared" si="18"/>
        <v>0.55313481149304644</v>
      </c>
      <c r="AQ4" s="193">
        <f t="shared" si="18"/>
        <v>0.92828350840644325</v>
      </c>
      <c r="AR4" s="193">
        <f t="shared" si="18"/>
        <v>0.97331034362769875</v>
      </c>
      <c r="AS4" s="193">
        <f t="shared" si="18"/>
        <v>1.0468317685784498</v>
      </c>
      <c r="AT4" s="193">
        <f t="shared" si="18"/>
        <v>0.96487393328835702</v>
      </c>
      <c r="AU4" s="193">
        <f t="shared" si="18"/>
        <v>0.972136523826299</v>
      </c>
      <c r="AV4" s="193">
        <f t="shared" si="18"/>
        <v>0.96763898715175511</v>
      </c>
      <c r="AW4" s="193">
        <f t="shared" si="18"/>
        <v>0.97704134254503339</v>
      </c>
      <c r="AX4" s="193">
        <f t="shared" si="18"/>
        <v>0.99936196771542907</v>
      </c>
      <c r="AY4" s="193">
        <f t="shared" si="18"/>
        <v>0.97449555876814165</v>
      </c>
      <c r="AZ4" s="193">
        <f t="shared" si="18"/>
        <v>0.96270313553965969</v>
      </c>
      <c r="BA4" s="193">
        <f t="shared" si="18"/>
        <v>0.93877240177781884</v>
      </c>
      <c r="BB4" s="193">
        <f t="shared" si="18"/>
        <v>0.92073638158426918</v>
      </c>
      <c r="BC4" s="193">
        <f t="shared" si="18"/>
        <v>0.80182764693109043</v>
      </c>
      <c r="BD4" s="193">
        <f t="shared" si="18"/>
        <v>0.55809918764040078</v>
      </c>
      <c r="BE4" s="193">
        <f>IF(AND(VLOOKUP($AJ4&amp;"_2",$A:$X,BE$9,FALSE)&lt;1,VLOOKUP($AK4&amp;"_2",$A:$X,BE$10,FALSE)&lt;1),0,IF(AND(VLOOKUP($AJ4&amp;"_2",$A:$X,BE$9,FALSE)&lt;1,VLOOKUP($AK4&amp;"_2",$A:$X,BE$10,FALSE)&gt;=1),VLOOKUP($AK4&amp;"_2",$A:$X,BE$10,FALSE)/1,IF(AND(VLOOKUP($AJ4&amp;"_2",$A:$X,BE$9,FALSE)&gt;=1,VLOOKUP($AK4&amp;"_2",$A:$X,BE$10,FALSE)&lt;1),0,IF(AND(VLOOKUP($AJ4&amp;"_2",$A:$X,BE$9,FALSE)&gt;=1,VLOOKUP($AK4&amp;"_2",$A:$X,BE$10,FALSE)&gt;=1),VLOOKUP($AK4&amp;"_2",$A:$X,BE$10,FALSE)/VLOOKUP($AJ4&amp;"_2",$A:$X,BE$9,FALSE)))))</f>
        <v>0.33104682005012182</v>
      </c>
      <c r="BF4" s="193">
        <f>IF(AND(VLOOKUP($AJ4&amp;"_2",$A:$X,BF$9,FALSE)&lt;1,VLOOKUP($AK4&amp;"_2",$A:$X,BF$10,FALSE)&lt;1),0,IF(AND(VLOOKUP($AJ4&amp;"_2",$A:$X,BF$9,FALSE)&lt;1,VLOOKUP($AK4&amp;"_2",$A:$X,BF$10,FALSE)&gt;=1),VLOOKUP($AK4&amp;"_2",$A:$X,BF$10,FALSE)/1,IF(AND(VLOOKUP($AJ4&amp;"_2",$A:$X,BF$9,FALSE)&gt;=1,VLOOKUP($AK4&amp;"_2",$A:$X,BF$10,FALSE)&lt;1),0,IF(AND(VLOOKUP($AJ4&amp;"_2",$A:$X,BF$9,FALSE)&gt;=1,VLOOKUP($AK4&amp;"_2",$A:$X,BF$10,FALSE)&gt;=1),VLOOKUP($AK4&amp;"_2",$A:$X,BF$10,FALSE)/VLOOKUP($AJ4&amp;"_2",$A:$X,BF$9,FALSE)))))</f>
        <v>0.26869771121474834</v>
      </c>
      <c r="BH4" s="7" t="str">
        <f t="shared" ref="BH4:BH20" si="19">BI4&amp;"_"&amp;IF(BJ4="男性",1,IF(BJ4="女性",2,IF(BJ4="合計",3)))</f>
        <v>2025_2</v>
      </c>
      <c r="BI4" s="29">
        <f>BI3</f>
        <v>2025</v>
      </c>
      <c r="BJ4" s="4" t="s">
        <v>22</v>
      </c>
      <c r="BK4" s="10">
        <f>CM4*AK$14</f>
        <v>99.773461247186717</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132.7997836226015</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154.72967609249631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161.95330686826756</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98.230939221650814</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104.55722169794744</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115.91486696990528</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170.39616671833301</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201.72546395831583</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222.94092975812902</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252.37245443076324</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236.65944878860898</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249.40967993973408</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318.69378296806997</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319.30593749503305</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332.85643714532489</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218.04195796534651</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177.10662686270246</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95.026730252509253</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35.93514614796328</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3.7556918357934022</v>
      </c>
      <c r="CF4" s="10">
        <f t="shared" si="2"/>
        <v>3702.1857099866825</v>
      </c>
      <c r="CG4" s="10">
        <f t="shared" ref="CG4:CG14" si="20">BL4*3/5+BM4*3/5</f>
        <v>172.51767582905867</v>
      </c>
      <c r="CH4" s="10">
        <f t="shared" ref="CH4:CH14" si="21">BM4*2/5+BN4*1/5</f>
        <v>94.282531810652046</v>
      </c>
      <c r="CI4" s="10">
        <f t="shared" si="3"/>
        <v>1500.7223106727429</v>
      </c>
      <c r="CJ4" s="10">
        <f t="shared" ref="CJ4:CJ14" si="22">SUM(BZ4:CE4)</f>
        <v>862.72259020963975</v>
      </c>
      <c r="CK4" s="14">
        <f t="shared" ref="CK4:CK14" si="23">CI4/CF4</f>
        <v>0.40536116452087467</v>
      </c>
      <c r="CL4" s="14">
        <f t="shared" ref="CL4:CL14" si="24">CJ4/CF4</f>
        <v>0.23303060888664689</v>
      </c>
      <c r="CM4" s="10">
        <f t="shared" ref="CM4:CM14" si="25">SUM(BO4:BR4)</f>
        <v>489.09919460783652</v>
      </c>
      <c r="CO4" s="7" t="str">
        <f t="shared" ref="CO4:CO20" si="26">CP4&amp;"_"&amp;IF(CQ4="男性",1,IF(CQ4="女性",2,IF(CQ4="合計",3)))</f>
        <v>2025_2</v>
      </c>
      <c r="CP4" s="29">
        <f>CP3</f>
        <v>2025</v>
      </c>
      <c r="CQ4" s="4" t="s">
        <v>22</v>
      </c>
      <c r="CR4" s="10">
        <f>BK4+将来予測シート②!$H17</f>
        <v>100.77346124718672</v>
      </c>
      <c r="CS4" s="10">
        <f>BL4+将来予測シート②!$H18</f>
        <v>132.7997836226015</v>
      </c>
      <c r="CT4" s="10">
        <f>BM4+将来予測シート②!$H19</f>
        <v>155.72967609249631</v>
      </c>
      <c r="CU4" s="10">
        <f>BN4+将来予測シート②!$H20</f>
        <v>161.95330686826756</v>
      </c>
      <c r="CV4" s="10">
        <f>BO4+将来予測シート②!$H21</f>
        <v>98.230939221650814</v>
      </c>
      <c r="CW4" s="10">
        <f>BP4+将来予測シート②!$H22</f>
        <v>106.55722169794744</v>
      </c>
      <c r="CX4" s="10">
        <f>BQ4+将来予測シート②!$H23</f>
        <v>115.91486696990528</v>
      </c>
      <c r="CY4" s="10">
        <f>BR4+将来予測シート②!$H24</f>
        <v>170.39616671833301</v>
      </c>
      <c r="CZ4" s="10">
        <f>BS4+将来予測シート②!$H25</f>
        <v>202.72546395831583</v>
      </c>
      <c r="DA4" s="10">
        <f>BT4+将来予測シート②!$H26</f>
        <v>222.94092975812902</v>
      </c>
      <c r="DB4" s="10">
        <f>BU4+将来予測シート②!$H27</f>
        <v>252.37245443076324</v>
      </c>
      <c r="DC4" s="10">
        <f>BV4+将来予測シート②!$H28</f>
        <v>236.65944878860898</v>
      </c>
      <c r="DD4" s="10">
        <f>BW4+将来予測シート②!$H29</f>
        <v>249.40967993973408</v>
      </c>
      <c r="DE4" s="10">
        <f>BX4</f>
        <v>318.69378296806997</v>
      </c>
      <c r="DF4" s="10">
        <f t="shared" ref="DF4" si="27">BY4</f>
        <v>319.30593749503305</v>
      </c>
      <c r="DG4" s="10">
        <f t="shared" ref="DG4" si="28">BZ4</f>
        <v>332.85643714532489</v>
      </c>
      <c r="DH4" s="10">
        <f t="shared" ref="DH4" si="29">CA4</f>
        <v>218.04195796534651</v>
      </c>
      <c r="DI4" s="10">
        <f t="shared" ref="DI4" si="30">CB4</f>
        <v>177.10662686270246</v>
      </c>
      <c r="DJ4" s="10">
        <f t="shared" ref="DJ4" si="31">CC4</f>
        <v>95.026730252509253</v>
      </c>
      <c r="DK4" s="10">
        <f t="shared" ref="DK4" si="32">CD4</f>
        <v>35.93514614796328</v>
      </c>
      <c r="DL4" s="10">
        <f t="shared" ref="DL4" si="33">CE4</f>
        <v>3.7556918357934022</v>
      </c>
      <c r="DM4" s="10">
        <f t="shared" si="5"/>
        <v>3707.1857099866825</v>
      </c>
      <c r="DN4" s="10">
        <f t="shared" ref="DN4:DN14" si="34">CS4*3/5+CT4*3/5</f>
        <v>173.11767582905867</v>
      </c>
      <c r="DO4" s="10">
        <f t="shared" ref="DO4:DO14" si="35">CT4*2/5+CU4*1/5</f>
        <v>94.682531810652037</v>
      </c>
      <c r="DP4" s="10">
        <f t="shared" si="6"/>
        <v>1500.7223106727429</v>
      </c>
      <c r="DQ4" s="10">
        <f t="shared" ref="DQ4:DQ14" si="36">SUM(DG4:DL4)</f>
        <v>862.72259020963975</v>
      </c>
      <c r="DR4" s="14">
        <f t="shared" ref="DR4:DR14" si="37">DP4/DM4</f>
        <v>0.40481444094640029</v>
      </c>
      <c r="DS4" s="14">
        <f t="shared" ref="DS4:DS14" si="38">DQ4/DM4</f>
        <v>0.23271631304727353</v>
      </c>
      <c r="DT4" s="10">
        <f>SUM(CV4:CY4)</f>
        <v>491.09919460783652</v>
      </c>
      <c r="DV4" s="288"/>
      <c r="DW4" s="289"/>
      <c r="DX4" s="29">
        <f>DX3</f>
        <v>2025</v>
      </c>
      <c r="DY4" s="4" t="s">
        <v>22</v>
      </c>
      <c r="DZ4" s="10">
        <f>BK$4</f>
        <v>99.773461247186717</v>
      </c>
      <c r="EA4" s="10">
        <f>BL$4</f>
        <v>132.7997836226015</v>
      </c>
      <c r="EB4" s="10">
        <f t="shared" ref="EB4:ED4" si="39">BM$4</f>
        <v>154.72967609249631</v>
      </c>
      <c r="EC4" s="10">
        <f t="shared" si="39"/>
        <v>161.95330686826756</v>
      </c>
      <c r="ED4" s="10">
        <f t="shared" si="39"/>
        <v>98.230939221650814</v>
      </c>
      <c r="EE4" s="10">
        <f>BP$4+DX1</f>
        <v>193.55722169794745</v>
      </c>
      <c r="EF4" s="10">
        <f>BQ$4+DX1</f>
        <v>204.91486696990529</v>
      </c>
      <c r="EG4" s="10">
        <f>BR$4+DX1</f>
        <v>259.39616671833301</v>
      </c>
      <c r="EH4" s="10">
        <f t="shared" ref="EH4:ET4" si="40">BS$4</f>
        <v>201.72546395831583</v>
      </c>
      <c r="EI4" s="10">
        <f t="shared" si="40"/>
        <v>222.94092975812902</v>
      </c>
      <c r="EJ4" s="10">
        <f t="shared" si="40"/>
        <v>252.37245443076324</v>
      </c>
      <c r="EK4" s="10">
        <f t="shared" si="40"/>
        <v>236.65944878860898</v>
      </c>
      <c r="EL4" s="10">
        <f t="shared" si="40"/>
        <v>249.40967993973408</v>
      </c>
      <c r="EM4" s="10">
        <f t="shared" si="40"/>
        <v>318.69378296806997</v>
      </c>
      <c r="EN4" s="10">
        <f t="shared" si="40"/>
        <v>319.30593749503305</v>
      </c>
      <c r="EO4" s="10">
        <f t="shared" si="40"/>
        <v>332.85643714532489</v>
      </c>
      <c r="EP4" s="10">
        <f t="shared" si="40"/>
        <v>218.04195796534651</v>
      </c>
      <c r="EQ4" s="10">
        <f t="shared" si="40"/>
        <v>177.10662686270246</v>
      </c>
      <c r="ER4" s="10">
        <f t="shared" si="40"/>
        <v>95.026730252509253</v>
      </c>
      <c r="ES4" s="10">
        <f t="shared" si="40"/>
        <v>35.93514614796328</v>
      </c>
      <c r="ET4" s="10">
        <f t="shared" si="40"/>
        <v>3.7556918357934022</v>
      </c>
      <c r="EU4" s="10">
        <f t="shared" si="9"/>
        <v>3969.1857099866825</v>
      </c>
      <c r="EV4" s="10">
        <f t="shared" ref="EV4:EV14" si="41">EA4*3/5+EB4*3/5</f>
        <v>172.51767582905867</v>
      </c>
      <c r="EW4" s="10">
        <f t="shared" ref="EW4:EW14" si="42">EB4*2/5+EC4*1/5</f>
        <v>94.282531810652046</v>
      </c>
      <c r="EX4" s="10">
        <f t="shared" si="10"/>
        <v>1500.7223106727429</v>
      </c>
      <c r="EY4" s="10">
        <f t="shared" ref="EY4:EY14" si="43">SUM(EO4:ET4)</f>
        <v>862.72259020963975</v>
      </c>
      <c r="EZ4" s="14">
        <f t="shared" ref="EZ4:EZ14" si="44">EX4/EU4</f>
        <v>0.37809324640488495</v>
      </c>
      <c r="FA4" s="14">
        <f t="shared" ref="FA4:FA14" si="45">EY4/EU4</f>
        <v>0.21735505800068355</v>
      </c>
      <c r="FB4" s="10">
        <f>SUM(ED4:EG4)</f>
        <v>756.09919460783658</v>
      </c>
    </row>
    <row r="5" spans="1:158" x14ac:dyDescent="0.15">
      <c r="A5" s="7" t="str">
        <f t="shared" si="11"/>
        <v>2005_3</v>
      </c>
      <c r="B5" s="30">
        <v>2005</v>
      </c>
      <c r="C5" s="5" t="s">
        <v>23</v>
      </c>
      <c r="D5" s="11">
        <v>418.02</v>
      </c>
      <c r="E5" s="11">
        <v>470.22999999999996</v>
      </c>
      <c r="F5" s="11">
        <v>479.83000000000004</v>
      </c>
      <c r="G5" s="11">
        <v>508.43999999999994</v>
      </c>
      <c r="H5" s="11">
        <v>443.39</v>
      </c>
      <c r="I5" s="11">
        <v>518.29</v>
      </c>
      <c r="J5" s="11">
        <v>574.65</v>
      </c>
      <c r="K5" s="11">
        <v>482.44</v>
      </c>
      <c r="L5" s="11">
        <v>531.77</v>
      </c>
      <c r="M5" s="11">
        <v>660.1400000000001</v>
      </c>
      <c r="N5" s="11">
        <v>670.19</v>
      </c>
      <c r="O5" s="11">
        <v>715.79</v>
      </c>
      <c r="P5" s="11">
        <v>490.04999999999995</v>
      </c>
      <c r="Q5" s="11">
        <v>492.64</v>
      </c>
      <c r="R5" s="11">
        <v>481.75999999999993</v>
      </c>
      <c r="S5" s="11">
        <v>394.65999999999997</v>
      </c>
      <c r="T5" s="11">
        <v>218.67999999999998</v>
      </c>
      <c r="U5" s="11">
        <v>140.63999999999999</v>
      </c>
      <c r="V5" s="11">
        <v>56.53</v>
      </c>
      <c r="W5" s="11">
        <v>22.369999999999997</v>
      </c>
      <c r="X5" s="11">
        <v>0.84</v>
      </c>
      <c r="Y5" s="11">
        <f>SUM(D5:X5)</f>
        <v>8771.3500000000022</v>
      </c>
      <c r="Z5" s="11">
        <f t="shared" si="12"/>
        <v>570.03600000000006</v>
      </c>
      <c r="AA5" s="11">
        <f t="shared" si="13"/>
        <v>293.62</v>
      </c>
      <c r="AB5" s="11">
        <f t="shared" si="0"/>
        <v>1808.12</v>
      </c>
      <c r="AC5" s="11">
        <f t="shared" si="14"/>
        <v>833.71999999999991</v>
      </c>
      <c r="AD5" s="15">
        <f t="shared" si="15"/>
        <v>0.20613930580811385</v>
      </c>
      <c r="AE5" s="15">
        <f t="shared" si="16"/>
        <v>9.5050362828982965E-2</v>
      </c>
      <c r="AF5" s="11">
        <f t="shared" si="17"/>
        <v>2018.77</v>
      </c>
      <c r="AH5" s="7"/>
      <c r="AI5" s="28" t="s">
        <v>91</v>
      </c>
      <c r="AJ5" s="3">
        <f>管理者入力シート!B7</f>
        <v>2010</v>
      </c>
      <c r="AK5" s="3">
        <f>管理者入力シート!B6</f>
        <v>2015</v>
      </c>
      <c r="AL5" s="31" t="s">
        <v>21</v>
      </c>
      <c r="AM5" s="6">
        <f>IF(AND(VLOOKUP($AJ5&amp;"_1",$A:$X,AM$9,FALSE)&lt;1,VLOOKUP($AK5&amp;"_1",$A:$X,AM$10,FALSE)&lt;1),1,IF(AND(VLOOKUP($AJ5&amp;"_1",$A:$X,AM$9,FALSE)&lt;1,VLOOKUP($AK5&amp;"_1",$A:$X,AM$10,FALSE)&gt;=1),VLOOKUP($AK5&amp;"_1",$A:$X,AM$10,FALSE)/1,IF(AND(VLOOKUP($AJ5&amp;"_1",$A:$X,AM$9,FALSE)&gt;=1,VLOOKUP($AK5&amp;"_1",$A:$X,AM$10,FALSE)&lt;1),1/VLOOKUP($AJ5&amp;"_1",$A:$X,AM$9,FALSE),IF(AND(VLOOKUP($AJ5&amp;"_1",$A:$X,AM$9,FALSE)&gt;=1,VLOOKUP($AK5&amp;"_1",$A:$X,AM$10,FALSE)&gt;=1),VLOOKUP($AK5&amp;"_1",$A:$X,AM$10,FALSE)/VLOOKUP($AJ5&amp;"_1",$A:$X,AM$9,FALSE)))))</f>
        <v>0.94565047886770559</v>
      </c>
      <c r="AN5" s="6">
        <f t="shared" si="1"/>
        <v>0.92247421056018086</v>
      </c>
      <c r="AO5" s="6">
        <f t="shared" si="1"/>
        <v>0.81739708809960177</v>
      </c>
      <c r="AP5" s="6">
        <f t="shared" si="1"/>
        <v>0.6027183100537753</v>
      </c>
      <c r="AQ5" s="6">
        <f t="shared" si="1"/>
        <v>0.9216239305039462</v>
      </c>
      <c r="AR5" s="6">
        <f t="shared" si="1"/>
        <v>0.91010700271894207</v>
      </c>
      <c r="AS5" s="6">
        <f t="shared" si="1"/>
        <v>0.95986291511340827</v>
      </c>
      <c r="AT5" s="6">
        <f t="shared" si="1"/>
        <v>0.97918732097766303</v>
      </c>
      <c r="AU5" s="6">
        <f t="shared" si="1"/>
        <v>0.98215460183438485</v>
      </c>
      <c r="AV5" s="6">
        <f t="shared" si="1"/>
        <v>0.98538171548954667</v>
      </c>
      <c r="AW5" s="6">
        <f t="shared" si="1"/>
        <v>0.93701490785957786</v>
      </c>
      <c r="AX5" s="6">
        <f t="shared" si="1"/>
        <v>0.96547755094549792</v>
      </c>
      <c r="AY5" s="6">
        <f t="shared" si="1"/>
        <v>0.94054002412591953</v>
      </c>
      <c r="AZ5" s="6">
        <f t="shared" si="1"/>
        <v>0.90831272062084334</v>
      </c>
      <c r="BA5" s="6">
        <f t="shared" si="1"/>
        <v>0.85047877901678615</v>
      </c>
      <c r="BB5" s="6">
        <f t="shared" si="1"/>
        <v>0.82277468741709814</v>
      </c>
      <c r="BC5" s="6">
        <f t="shared" si="1"/>
        <v>0.70838630780568834</v>
      </c>
      <c r="BD5" s="6">
        <f t="shared" si="1"/>
        <v>0.45440741019942893</v>
      </c>
      <c r="BE5" s="6">
        <f>IF(AND(VLOOKUP($AJ5&amp;"_1",$A:$X,BE$9,FALSE)&lt;1,VLOOKUP($AK5&amp;"_1",$A:$X,BE$10,FALSE)&lt;1),0,IF(AND(VLOOKUP($AJ5&amp;"_1",$A:$X,BE$9,FALSE)&lt;1,VLOOKUP($AK5&amp;"_1",$A:$X,BE$10,FALSE)&gt;=1),VLOOKUP($AK5&amp;"_1",$A:$X,BE$10,FALSE)/1,IF(AND(VLOOKUP($AJ5&amp;"_1",$A:$X,BE$9,FALSE)&gt;=1,VLOOKUP($AK5&amp;"_1",$A:$X,BE$10,FALSE)&lt;1),0,IF(AND(VLOOKUP($AJ5&amp;"_1",$A:$X,BE$9,FALSE)&gt;=1,VLOOKUP($AK5&amp;"_1",$A:$X,BE$10,FALSE)&gt;=1),VLOOKUP($AK5&amp;"_1",$A:$X,BE$10,FALSE)/VLOOKUP($AJ5&amp;"_1",$A:$X,BE$9,FALSE)))))</f>
        <v>0.33995329662824425</v>
      </c>
      <c r="BF5" s="6">
        <f>IF(AND(VLOOKUP($AJ5&amp;"_1",$A:$X,BF$9,FALSE)&lt;1,VLOOKUP($AK5&amp;"_1",$A:$X,BF$10,FALSE)&lt;1),0,IF(AND(VLOOKUP($AJ5&amp;"_1",$A:$X,BF$9,FALSE)&lt;1,VLOOKUP($AK5&amp;"_1",$A:$X,BF$10,FALSE)&gt;=1),VLOOKUP($AK5&amp;"_1",$A:$X,BF$10,FALSE)/1,IF(AND(VLOOKUP($AJ5&amp;"_1",$A:$X,BF$9,FALSE)&gt;=1,VLOOKUP($AK5&amp;"_1",$A:$X,BF$10,FALSE)&lt;1),0,IF(AND(VLOOKUP($AJ5&amp;"_1",$A:$X,BF$9,FALSE)&gt;=1,VLOOKUP($AK5&amp;"_1",$A:$X,BF$10,FALSE)&gt;=1),VLOOKUP($AK5&amp;"_1",$A:$X,BF$10,FALSE)/VLOOKUP($AJ5&amp;"_1",$A:$X,BF$9,FALSE)))))</f>
        <v>0</v>
      </c>
      <c r="BH5" s="7" t="str">
        <f t="shared" si="19"/>
        <v>2025_3</v>
      </c>
      <c r="BI5" s="30">
        <f>BI4</f>
        <v>2025</v>
      </c>
      <c r="BJ5" s="5" t="s">
        <v>23</v>
      </c>
      <c r="BK5" s="16">
        <f>BK3+BK4</f>
        <v>212.59448213259782</v>
      </c>
      <c r="BL5" s="16">
        <f t="shared" ref="BL5:CE5" si="46">BL3+BL4</f>
        <v>276.1714163280883</v>
      </c>
      <c r="BM5" s="16">
        <f t="shared" si="46"/>
        <v>298.32185371951459</v>
      </c>
      <c r="BN5" s="16">
        <f t="shared" si="46"/>
        <v>285.64962775713838</v>
      </c>
      <c r="BO5" s="16">
        <f t="shared" si="46"/>
        <v>199.7174575657973</v>
      </c>
      <c r="BP5" s="16">
        <f t="shared" si="46"/>
        <v>222.06809714558023</v>
      </c>
      <c r="BQ5" s="16">
        <f t="shared" si="46"/>
        <v>248.07297920708993</v>
      </c>
      <c r="BR5" s="16">
        <f t="shared" si="46"/>
        <v>335.86907875576992</v>
      </c>
      <c r="BS5" s="16">
        <f t="shared" si="46"/>
        <v>397.8991123045605</v>
      </c>
      <c r="BT5" s="16">
        <f t="shared" si="46"/>
        <v>436.15323438388157</v>
      </c>
      <c r="BU5" s="16">
        <f t="shared" si="46"/>
        <v>483.41913704922626</v>
      </c>
      <c r="BV5" s="16">
        <f t="shared" si="46"/>
        <v>434.20707943512286</v>
      </c>
      <c r="BW5" s="16">
        <f t="shared" si="46"/>
        <v>464.19075719128404</v>
      </c>
      <c r="BX5" s="16">
        <f t="shared" si="46"/>
        <v>592.28626807662317</v>
      </c>
      <c r="BY5" s="16">
        <f t="shared" si="46"/>
        <v>609.18922353892344</v>
      </c>
      <c r="BZ5" s="16">
        <f t="shared" si="46"/>
        <v>591.28318725006034</v>
      </c>
      <c r="CA5" s="16">
        <f t="shared" si="46"/>
        <v>376.94245017210807</v>
      </c>
      <c r="CB5" s="16">
        <f t="shared" si="46"/>
        <v>282.16803252438638</v>
      </c>
      <c r="CC5" s="16">
        <f t="shared" si="46"/>
        <v>146.04590571556307</v>
      </c>
      <c r="CD5" s="16">
        <f t="shared" si="46"/>
        <v>53.639627071466904</v>
      </c>
      <c r="CE5" s="16">
        <f t="shared" si="46"/>
        <v>3.7635969139850429</v>
      </c>
      <c r="CF5" s="11">
        <f>SUM(BK5:CE5)</f>
        <v>6949.6526042387668</v>
      </c>
      <c r="CG5" s="11">
        <f t="shared" si="20"/>
        <v>344.69596202856172</v>
      </c>
      <c r="CH5" s="11">
        <f t="shared" si="21"/>
        <v>176.45866703923352</v>
      </c>
      <c r="CI5" s="11">
        <f t="shared" si="3"/>
        <v>2655.3182912631164</v>
      </c>
      <c r="CJ5" s="11">
        <f t="shared" si="22"/>
        <v>1453.84279964757</v>
      </c>
      <c r="CK5" s="15">
        <f t="shared" si="23"/>
        <v>0.38207928402688379</v>
      </c>
      <c r="CL5" s="15">
        <f t="shared" si="24"/>
        <v>0.2091964710237221</v>
      </c>
      <c r="CM5" s="11">
        <f t="shared" si="25"/>
        <v>1005.7276126742373</v>
      </c>
      <c r="CO5" s="7" t="str">
        <f t="shared" si="26"/>
        <v>2025_3</v>
      </c>
      <c r="CP5" s="30">
        <f>CP4</f>
        <v>2025</v>
      </c>
      <c r="CQ5" s="5" t="s">
        <v>23</v>
      </c>
      <c r="CR5" s="16">
        <f>CR3+CR4</f>
        <v>214.59448213259782</v>
      </c>
      <c r="CS5" s="16">
        <f t="shared" ref="CS5" si="47">CS3+CS4</f>
        <v>276.1714163280883</v>
      </c>
      <c r="CT5" s="16">
        <f t="shared" ref="CT5" si="48">CT3+CT4</f>
        <v>300.32185371951459</v>
      </c>
      <c r="CU5" s="16">
        <f t="shared" ref="CU5" si="49">CU3+CU4</f>
        <v>285.64962775713838</v>
      </c>
      <c r="CV5" s="16">
        <f t="shared" ref="CV5" si="50">CV3+CV4</f>
        <v>199.7174575657973</v>
      </c>
      <c r="CW5" s="16">
        <f t="shared" ref="CW5" si="51">CW3+CW4</f>
        <v>226.06809714558023</v>
      </c>
      <c r="CX5" s="16">
        <f t="shared" ref="CX5" si="52">CX3+CX4</f>
        <v>248.07297920708993</v>
      </c>
      <c r="CY5" s="16">
        <f t="shared" ref="CY5" si="53">CY3+CY4</f>
        <v>335.86907875576992</v>
      </c>
      <c r="CZ5" s="16">
        <f t="shared" ref="CZ5" si="54">CZ3+CZ4</f>
        <v>398.8991123045605</v>
      </c>
      <c r="DA5" s="16">
        <f t="shared" ref="DA5" si="55">DA3+DA4</f>
        <v>436.15323438388157</v>
      </c>
      <c r="DB5" s="16">
        <f t="shared" ref="DB5" si="56">DB3+DB4</f>
        <v>483.41913704922626</v>
      </c>
      <c r="DC5" s="16">
        <f t="shared" ref="DC5" si="57">DC3+DC4</f>
        <v>434.20707943512286</v>
      </c>
      <c r="DD5" s="16">
        <f t="shared" ref="DD5" si="58">DD3+DD4</f>
        <v>464.19075719128404</v>
      </c>
      <c r="DE5" s="16">
        <f t="shared" ref="DE5" si="59">DE3+DE4</f>
        <v>592.28626807662317</v>
      </c>
      <c r="DF5" s="16">
        <f t="shared" ref="DF5" si="60">DF3+DF4</f>
        <v>609.18922353892344</v>
      </c>
      <c r="DG5" s="16">
        <f t="shared" ref="DG5" si="61">DG3+DG4</f>
        <v>591.28318725006034</v>
      </c>
      <c r="DH5" s="16">
        <f t="shared" ref="DH5" si="62">DH3+DH4</f>
        <v>376.94245017210807</v>
      </c>
      <c r="DI5" s="16">
        <f t="shared" ref="DI5" si="63">DI3+DI4</f>
        <v>282.16803252438638</v>
      </c>
      <c r="DJ5" s="16">
        <f t="shared" ref="DJ5" si="64">DJ3+DJ4</f>
        <v>146.04590571556307</v>
      </c>
      <c r="DK5" s="16">
        <f t="shared" ref="DK5" si="65">DK3+DK4</f>
        <v>53.639627071466904</v>
      </c>
      <c r="DL5" s="16">
        <f t="shared" ref="DL5" si="66">DL3+DL4</f>
        <v>3.7635969139850429</v>
      </c>
      <c r="DM5" s="11">
        <f>SUM(CR5:DL5)</f>
        <v>6958.6526042387668</v>
      </c>
      <c r="DN5" s="11">
        <f t="shared" si="34"/>
        <v>345.89596202856171</v>
      </c>
      <c r="DO5" s="11">
        <f t="shared" si="35"/>
        <v>177.2586670392335</v>
      </c>
      <c r="DP5" s="11">
        <f t="shared" si="6"/>
        <v>2655.3182912631164</v>
      </c>
      <c r="DQ5" s="11">
        <f t="shared" si="36"/>
        <v>1453.84279964757</v>
      </c>
      <c r="DR5" s="15">
        <f t="shared" si="37"/>
        <v>0.38158512032137748</v>
      </c>
      <c r="DS5" s="15">
        <f t="shared" si="38"/>
        <v>0.20892590596662086</v>
      </c>
      <c r="DT5" s="11">
        <f>SUM(CV5:CY5)</f>
        <v>1009.7276126742373</v>
      </c>
      <c r="DV5" s="288"/>
      <c r="DW5" s="289"/>
      <c r="DX5" s="30">
        <f>DX4</f>
        <v>2025</v>
      </c>
      <c r="DY5" s="5" t="s">
        <v>23</v>
      </c>
      <c r="DZ5" s="16">
        <f>DZ3+DZ4</f>
        <v>212.59448213259782</v>
      </c>
      <c r="EA5" s="16">
        <f t="shared" ref="EA5:ET5" si="67">EA3+EA4</f>
        <v>276.1714163280883</v>
      </c>
      <c r="EB5" s="16">
        <f t="shared" si="67"/>
        <v>298.32185371951459</v>
      </c>
      <c r="EC5" s="16">
        <f t="shared" si="67"/>
        <v>285.64962775713838</v>
      </c>
      <c r="ED5" s="16">
        <f t="shared" si="67"/>
        <v>199.7174575657973</v>
      </c>
      <c r="EE5" s="16">
        <f t="shared" si="67"/>
        <v>400.06809714558023</v>
      </c>
      <c r="EF5" s="16">
        <f t="shared" si="67"/>
        <v>426.07297920708993</v>
      </c>
      <c r="EG5" s="16">
        <f t="shared" si="67"/>
        <v>513.86907875576992</v>
      </c>
      <c r="EH5" s="16">
        <f t="shared" si="67"/>
        <v>397.8991123045605</v>
      </c>
      <c r="EI5" s="16">
        <f t="shared" si="67"/>
        <v>436.15323438388157</v>
      </c>
      <c r="EJ5" s="16">
        <f t="shared" si="67"/>
        <v>483.41913704922626</v>
      </c>
      <c r="EK5" s="16">
        <f t="shared" si="67"/>
        <v>434.20707943512286</v>
      </c>
      <c r="EL5" s="16">
        <f t="shared" si="67"/>
        <v>464.19075719128404</v>
      </c>
      <c r="EM5" s="16">
        <f t="shared" si="67"/>
        <v>592.28626807662317</v>
      </c>
      <c r="EN5" s="16">
        <f t="shared" si="67"/>
        <v>609.18922353892344</v>
      </c>
      <c r="EO5" s="16">
        <f t="shared" si="67"/>
        <v>591.28318725006034</v>
      </c>
      <c r="EP5" s="16">
        <f t="shared" si="67"/>
        <v>376.94245017210807</v>
      </c>
      <c r="EQ5" s="16">
        <f t="shared" si="67"/>
        <v>282.16803252438638</v>
      </c>
      <c r="ER5" s="16">
        <f t="shared" si="67"/>
        <v>146.04590571556307</v>
      </c>
      <c r="ES5" s="16">
        <f t="shared" si="67"/>
        <v>53.639627071466904</v>
      </c>
      <c r="ET5" s="16">
        <f t="shared" si="67"/>
        <v>3.7635969139850429</v>
      </c>
      <c r="EU5" s="11">
        <f>SUM(DZ5:ET5)</f>
        <v>7483.6526042387668</v>
      </c>
      <c r="EV5" s="11">
        <f t="shared" si="41"/>
        <v>344.69596202856172</v>
      </c>
      <c r="EW5" s="11">
        <f t="shared" si="42"/>
        <v>176.45866703923352</v>
      </c>
      <c r="EX5" s="11">
        <f t="shared" si="10"/>
        <v>2655.3182912631164</v>
      </c>
      <c r="EY5" s="11">
        <f t="shared" si="43"/>
        <v>1453.84279964757</v>
      </c>
      <c r="EZ5" s="15">
        <f t="shared" si="44"/>
        <v>0.35481581410648788</v>
      </c>
      <c r="FA5" s="15">
        <f t="shared" si="45"/>
        <v>0.19426914590130873</v>
      </c>
      <c r="FB5" s="11">
        <f>SUM(ED5:EG5)</f>
        <v>1539.7276126742372</v>
      </c>
    </row>
    <row r="6" spans="1:158" x14ac:dyDescent="0.15">
      <c r="A6" s="7" t="str">
        <f t="shared" si="11"/>
        <v>2010_1</v>
      </c>
      <c r="B6" s="28">
        <v>2010</v>
      </c>
      <c r="C6" s="3" t="s">
        <v>21</v>
      </c>
      <c r="D6" s="9">
        <v>162.29552024602768</v>
      </c>
      <c r="E6" s="9">
        <v>209.99520758585342</v>
      </c>
      <c r="F6" s="9">
        <v>235.25080471553048</v>
      </c>
      <c r="G6" s="9">
        <v>208.25327011788826</v>
      </c>
      <c r="H6" s="9">
        <v>161.66336750384417</v>
      </c>
      <c r="I6" s="9">
        <v>214.58283956945155</v>
      </c>
      <c r="J6" s="9">
        <v>232.95145053818555</v>
      </c>
      <c r="K6" s="9">
        <v>251.67554074833421</v>
      </c>
      <c r="L6" s="9">
        <v>224.25865197334701</v>
      </c>
      <c r="M6" s="9">
        <v>232.018651973347</v>
      </c>
      <c r="N6" s="9">
        <v>309.11415171706818</v>
      </c>
      <c r="O6" s="9">
        <v>343.25125576627369</v>
      </c>
      <c r="P6" s="9">
        <v>325.94190158892872</v>
      </c>
      <c r="Q6" s="9">
        <v>227.04822142491031</v>
      </c>
      <c r="R6" s="9">
        <v>215.50585340850844</v>
      </c>
      <c r="S6" s="9">
        <v>199.0117631983598</v>
      </c>
      <c r="T6" s="9">
        <v>133.42820092260376</v>
      </c>
      <c r="U6" s="9">
        <v>41.777749871860586</v>
      </c>
      <c r="V6" s="9">
        <v>19.334305484366993</v>
      </c>
      <c r="W6" s="9">
        <v>3.3608610968733981</v>
      </c>
      <c r="X6" s="9">
        <v>1.680430548436699</v>
      </c>
      <c r="Y6" s="9">
        <f t="shared" ref="Y6:Y11" si="68">SUM(D6:X6)</f>
        <v>3952.4</v>
      </c>
      <c r="Z6" s="9">
        <f t="shared" si="12"/>
        <v>267.14760738083032</v>
      </c>
      <c r="AA6" s="9">
        <f t="shared" si="13"/>
        <v>135.75097590978984</v>
      </c>
      <c r="AB6" s="9">
        <f t="shared" si="0"/>
        <v>841.14738595591996</v>
      </c>
      <c r="AC6" s="9">
        <f t="shared" si="14"/>
        <v>398.59331112250123</v>
      </c>
      <c r="AD6" s="13">
        <f t="shared" si="15"/>
        <v>0.21281939731705291</v>
      </c>
      <c r="AE6" s="13">
        <f t="shared" si="16"/>
        <v>0.10084842402654115</v>
      </c>
      <c r="AF6" s="9">
        <f t="shared" si="17"/>
        <v>860.87319835981555</v>
      </c>
      <c r="AH6" s="7"/>
      <c r="AI6" s="30" t="s">
        <v>91</v>
      </c>
      <c r="AJ6" s="5">
        <f>AJ5</f>
        <v>2010</v>
      </c>
      <c r="AK6" s="5">
        <f>AK5</f>
        <v>2015</v>
      </c>
      <c r="AL6" s="33" t="s">
        <v>22</v>
      </c>
      <c r="AM6" s="193">
        <f>IF(AND(VLOOKUP($AJ6&amp;"_2",$A:$X,AM$9,FALSE)&lt;1,VLOOKUP($AK6&amp;"_2",$A:$X,AM$10,FALSE)&lt;1),1,IF(AND(VLOOKUP($AJ6&amp;"_2",$A:$X,AM$9,FALSE)&lt;1,VLOOKUP($AK6&amp;"_2",$A:$X,AM$10,FALSE)&gt;=1),VLOOKUP($AK6&amp;"_2",$A:$X,AM$10,FALSE)/1,IF(AND(VLOOKUP($AJ6&amp;"_2",$A:$X,AM$9,FALSE)&gt;=1,VLOOKUP($AK6&amp;"_2",$A:$X,AM$10,FALSE)&lt;1),1/VLOOKUP($AJ6&amp;"_2",$A:$X,AM$9,FALSE),IF(AND(VLOOKUP($AJ6&amp;"_2",$A:$X,AM$9,FALSE)&gt;=1,VLOOKUP($AK6&amp;"_2",$A:$X,AM$10,FALSE)&gt;=1),VLOOKUP($AK6&amp;"_2",$A:$X,AM$10,FALSE)/VLOOKUP($AJ6&amp;"_2",$A:$X,AM$9,FALSE)))))</f>
        <v>0.99200787954466263</v>
      </c>
      <c r="AN6" s="193">
        <f t="shared" si="18"/>
        <v>0.97325619841205568</v>
      </c>
      <c r="AO6" s="193">
        <f t="shared" si="18"/>
        <v>0.87259987631657676</v>
      </c>
      <c r="AP6" s="193">
        <f t="shared" si="18"/>
        <v>0.71804146142674752</v>
      </c>
      <c r="AQ6" s="193">
        <f t="shared" si="18"/>
        <v>0.86378198365428194</v>
      </c>
      <c r="AR6" s="193">
        <f t="shared" si="18"/>
        <v>0.92998996792536437</v>
      </c>
      <c r="AS6" s="193">
        <f t="shared" si="18"/>
        <v>0.96491986113416983</v>
      </c>
      <c r="AT6" s="193">
        <f t="shared" si="18"/>
        <v>0.97953021903580217</v>
      </c>
      <c r="AU6" s="193">
        <f t="shared" si="18"/>
        <v>0.95783870649802072</v>
      </c>
      <c r="AV6" s="193">
        <f t="shared" si="18"/>
        <v>0.99451195244228285</v>
      </c>
      <c r="AW6" s="193">
        <f t="shared" si="18"/>
        <v>0.98799091996429456</v>
      </c>
      <c r="AX6" s="193">
        <f t="shared" si="18"/>
        <v>0.97887440581246077</v>
      </c>
      <c r="AY6" s="193">
        <f t="shared" si="18"/>
        <v>0.95987918231833069</v>
      </c>
      <c r="AZ6" s="193">
        <f t="shared" si="18"/>
        <v>1.0143598430024898</v>
      </c>
      <c r="BA6" s="193">
        <f t="shared" si="18"/>
        <v>0.94378020970418419</v>
      </c>
      <c r="BB6" s="193">
        <f t="shared" si="18"/>
        <v>0.89225535966890235</v>
      </c>
      <c r="BC6" s="193">
        <f t="shared" si="18"/>
        <v>0.81071734842801069</v>
      </c>
      <c r="BD6" s="193">
        <f t="shared" si="18"/>
        <v>0.54579701342330678</v>
      </c>
      <c r="BE6" s="193">
        <f>IF(AND(VLOOKUP($AJ6&amp;"_2",$A:$X,BE$9,FALSE)&lt;1,VLOOKUP($AK6&amp;"_2",$A:$X,BE$10,FALSE)&lt;1),0,IF(AND(VLOOKUP($AJ6&amp;"_2",$A:$X,BE$9,FALSE)&lt;1,VLOOKUP($AK6&amp;"_2",$A:$X,BE$10,FALSE)&gt;=1),VLOOKUP($AK6&amp;"_2",$A:$X,BE$10,FALSE)/1,IF(AND(VLOOKUP($AJ6&amp;"_2",$A:$X,BE$9,FALSE)&gt;=1,VLOOKUP($AK6&amp;"_2",$A:$X,BE$10,FALSE)&lt;1),0,IF(AND(VLOOKUP($AJ6&amp;"_2",$A:$X,BE$9,FALSE)&gt;=1,VLOOKUP($AK6&amp;"_2",$A:$X,BE$10,FALSE)&gt;=1),VLOOKUP($AK6&amp;"_2",$A:$X,BE$10,FALSE)/VLOOKUP($AJ6&amp;"_2",$A:$X,BE$9,FALSE)))))</f>
        <v>0.44564112162449865</v>
      </c>
      <c r="BF6" s="193">
        <f>IF(AND(VLOOKUP($AJ6&amp;"_2",$A:$X,BF$9,FALSE)&lt;1,VLOOKUP($AK6&amp;"_2",$A:$X,BF$10,FALSE)&lt;1),0,IF(AND(VLOOKUP($AJ6&amp;"_2",$A:$X,BF$9,FALSE)&lt;1,VLOOKUP($AK6&amp;"_2",$A:$X,BF$10,FALSE)&gt;=1),VLOOKUP($AK6&amp;"_2",$A:$X,BF$10,FALSE)/1,IF(AND(VLOOKUP($AJ6&amp;"_2",$A:$X,BF$9,FALSE)&gt;=1,VLOOKUP($AK6&amp;"_2",$A:$X,BF$10,FALSE)&lt;1),0,IF(AND(VLOOKUP($AJ6&amp;"_2",$A:$X,BF$9,FALSE)&gt;=1,VLOOKUP($AK6&amp;"_2",$A:$X,BF$10,FALSE)&gt;=1),VLOOKUP($AK6&amp;"_2",$A:$X,BF$10,FALSE)/VLOOKUP($AJ6&amp;"_2",$A:$X,BF$9,FALSE)))))</f>
        <v>0.10524121501144397</v>
      </c>
      <c r="BH6" s="7" t="str">
        <f t="shared" si="19"/>
        <v>2030_1</v>
      </c>
      <c r="BI6" s="28">
        <f>管理者入力シート!B9</f>
        <v>2030</v>
      </c>
      <c r="BJ6" s="3" t="s">
        <v>21</v>
      </c>
      <c r="BK6" s="9">
        <f>CM7*$AK$13</f>
        <v>93.652964134384291</v>
      </c>
      <c r="BL6" s="9">
        <f>IF(管理者入力シート!$B$14=1,BK3*管理者用人口入力シート!AM$3,IF(管理者入力シート!$B$14=2,BK3*管理者用人口入力シート!AM$7))</f>
        <v>113.9023400645154</v>
      </c>
      <c r="BM6" s="9">
        <f>IF(管理者入力シート!$B$14=1,BL3*管理者用人口入力シート!AN$3,IF(管理者入力シート!$B$14=2,BL3*管理者用人口入力シート!AN$7))</f>
        <v>135.21288458899932</v>
      </c>
      <c r="BN6" s="9">
        <f>IF(管理者入力シート!$B$14=1,BM3*管理者用人口入力シート!AO$3,IF(管理者入力シート!$B$14=2,BM3*管理者用人口入力シート!AO$7))</f>
        <v>120.03141466266439</v>
      </c>
      <c r="BO6" s="9">
        <f>IF(管理者入力シート!$B$14=1,BN3*管理者用人口入力シート!AP$3,IF(管理者入力シート!$B$14=2,BN3*管理者用人口入力シート!AP$7))</f>
        <v>75.806478006368948</v>
      </c>
      <c r="BP6" s="9">
        <f>IF(管理者入力シート!$B$14=1,BO3*管理者用人口入力シート!AQ$3,IF(管理者入力シート!$B$14=2,BO3*管理者用人口入力シート!AQ$7))</f>
        <v>99.526222864558733</v>
      </c>
      <c r="BQ6" s="9">
        <f>IF(管理者入力シート!$B$14=1,BP3*管理者用人口入力シート!AR$3,IF(管理者入力シート!$B$14=2,BP3*管理者用人口入力シート!AR$7))</f>
        <v>118.56624849165146</v>
      </c>
      <c r="BR6" s="9">
        <f>IF(管理者入力シート!$B$14=1,BQ3*管理者用人口入力シート!AS$3,IF(管理者入力シート!$B$14=2,BQ3*管理者用人口入力シート!AS$7))</f>
        <v>131.21448925885687</v>
      </c>
      <c r="BS6" s="9">
        <f>IF(管理者入力シート!$B$14=1,BR3*管理者用人口入力シート!AT$3,IF(管理者入力シート!$B$14=2,BR3*管理者用人口入力シート!AT$7))</f>
        <v>161.85026390802338</v>
      </c>
      <c r="BT6" s="9">
        <f>IF(管理者入力シート!$B$14=1,BS3*管理者用人口入力シート!AU$3,IF(管理者入力シート!$B$14=2,BS3*管理者用人口入力シート!AU$7))</f>
        <v>191.45692475422317</v>
      </c>
      <c r="BU6" s="9">
        <f>IF(管理者入力シート!$B$14=1,BT3*管理者用人口入力シート!AV$3,IF(管理者入力シート!$B$14=2,BT3*管理者用人口入力シート!AV$7))</f>
        <v>206.12195174174806</v>
      </c>
      <c r="BV6" s="9">
        <f>IF(管理者入力シート!$B$14=1,BU3*管理者用人口入力シート!AW$3,IF(管理者入力シート!$B$14=2,BU3*管理者用人口入力シート!AW$7))</f>
        <v>218.48570910314481</v>
      </c>
      <c r="BW6" s="9">
        <f>IF(管理者入力シート!$B$14=1,BV3*管理者用人口入力シート!AX$3,IF(管理者入力シート!$B$14=2,BV3*管理者用人口入力シート!AX$7))</f>
        <v>194.46450699631527</v>
      </c>
      <c r="BX6" s="9">
        <f>IF(管理者入力シート!$B$14=1,BW3*管理者用人口入力シート!AY$3,IF(管理者入力シート!$B$14=2,BW3*管理者用人口入力シート!AY$7))</f>
        <v>202.13425978800484</v>
      </c>
      <c r="BY6" s="9">
        <f>IF(管理者入力シート!$B$14=1,BX3*管理者用人口入力シート!AZ$3,IF(管理者入力シート!$B$14=2,BX3*管理者用人口入力シート!AZ$7))</f>
        <v>254.133830317057</v>
      </c>
      <c r="BZ6" s="9">
        <f>IF(管理者入力シート!$B$14=1,BY3*管理者用人口入力シート!BA$3,IF(管理者入力シート!$B$14=2,BY3*管理者用人口入力シート!BA$7))</f>
        <v>257.25387536377684</v>
      </c>
      <c r="CA6" s="9">
        <f>IF(管理者入力シート!$B$14=1,BZ3*管理者用人口入力シート!BB$3,IF(管理者入力シート!$B$14=2,BZ3*管理者用人口入力シート!BB$7))</f>
        <v>215.02808606368885</v>
      </c>
      <c r="CB6" s="9">
        <f>IF(管理者入力シート!$B$14=1,CA3*管理者用人口入力シート!BC$3,IF(管理者入力シート!$B$14=2,CA3*管理者用人口入力シート!BC$7))</f>
        <v>108.24587937872774</v>
      </c>
      <c r="CC6" s="9">
        <f>IF(管理者入力シート!$B$14=1,CB3*管理者用人口入力シート!BD$3,IF(管理者入力シート!$B$14=2,CB3*管理者用人口入力シート!BD$7))</f>
        <v>49.970635234315687</v>
      </c>
      <c r="CD6" s="9">
        <f>IF(管理者入力シート!$B$14=1,CC3*管理者用人口入力シート!BE$3,IF(管理者入力シート!$B$14=2,CC3*管理者用人口入力シート!BE$7))</f>
        <v>19.195566073455932</v>
      </c>
      <c r="CE6" s="9">
        <f>IF(管理者入力シート!$B$14=1,CD3*管理者用人口入力シート!BF$3,IF(管理者入力シート!$B$14=2,CD3*管理者用人口入力シート!BF$7))</f>
        <v>1.7704480923503622E-2</v>
      </c>
      <c r="CF6" s="9">
        <f t="shared" si="2"/>
        <v>2966.2722352754045</v>
      </c>
      <c r="CG6" s="9">
        <f t="shared" si="20"/>
        <v>149.46913479210883</v>
      </c>
      <c r="CH6" s="9">
        <f t="shared" si="21"/>
        <v>78.09143676813261</v>
      </c>
      <c r="CI6" s="9">
        <f t="shared" si="3"/>
        <v>1105.9798366999505</v>
      </c>
      <c r="CJ6" s="9">
        <f t="shared" si="22"/>
        <v>649.7117465948885</v>
      </c>
      <c r="CK6" s="13">
        <f t="shared" si="23"/>
        <v>0.37285176442925694</v>
      </c>
      <c r="CL6" s="13">
        <f t="shared" si="24"/>
        <v>0.21903308093856255</v>
      </c>
      <c r="CM6" s="9">
        <f t="shared" si="25"/>
        <v>425.11343862143605</v>
      </c>
      <c r="CO6" s="7" t="str">
        <f t="shared" si="26"/>
        <v>2030_1</v>
      </c>
      <c r="CP6" s="28">
        <f>管理者入力シート!B9</f>
        <v>2030</v>
      </c>
      <c r="CQ6" s="3" t="s">
        <v>21</v>
      </c>
      <c r="CR6" s="9">
        <f>DT7*$AK$13+将来予測シート②!$G17</f>
        <v>95.553228749072687</v>
      </c>
      <c r="CS6" s="9">
        <f>IF(管理者入力シート!$B$14=1,CR3*管理者用人口入力シート!AM$3,IF(管理者入力シート!$B$14=2,CR3*管理者用人口入力シート!AM$7))+将来予測シート②!$G18</f>
        <v>114.91192444135065</v>
      </c>
      <c r="CT6" s="9">
        <f>IF(管理者入力シート!$B$14=1,CS3*管理者用人口入力シート!AN$3,IF(管理者入力シート!$B$14=2,CS3*管理者用人口入力シート!AN$7))+将来予測シート②!$G19</f>
        <v>136.21288458899932</v>
      </c>
      <c r="CU6" s="9">
        <f>IF(管理者入力シート!$B$14=1,CT3*管理者用人口入力シート!AO$3,IF(管理者入力シート!$B$14=2,CT3*管理者用人口入力シート!AO$7))+将来予測シート②!$G20</f>
        <v>120.86733355912718</v>
      </c>
      <c r="CV6" s="9">
        <f>IF(管理者入力シート!$B$14=1,CU3*管理者用人口入力シート!AP$3,IF(管理者入力シート!$B$14=2,CU3*管理者用人口入力シート!AP$7))+将来予測シート②!$G21</f>
        <v>75.806478006368948</v>
      </c>
      <c r="CW6" s="9">
        <f>IF(管理者入力シート!$B$14=1,CV3*管理者用人口入力シート!AQ$3,IF(管理者入力シート!$B$14=2,CV3*管理者用人口入力シート!AQ$7))+将来予測シート②!$G22</f>
        <v>101.52622286455873</v>
      </c>
      <c r="CX6" s="9">
        <f>IF(管理者入力シート!$B$14=1,CW3*管理者用人口入力シート!AR$3,IF(管理者入力シート!$B$14=2,CW3*管理者用人口入力シート!AR$7))+将来予測シート②!$G23</f>
        <v>120.58421062562414</v>
      </c>
      <c r="CY6" s="9">
        <f>IF(管理者入力シート!$B$14=1,CX3*管理者用人口入力シート!AS$3,IF(管理者入力シート!$B$14=2,CX3*管理者用人口入力シート!AS$7))+将来予測シート②!$G24</f>
        <v>131.21448925885687</v>
      </c>
      <c r="CZ6" s="9">
        <f>IF(管理者入力シート!$B$14=1,CY3*管理者用人口入力シート!AT$3,IF(管理者入力シート!$B$14=2,CY3*管理者用人口入力シート!AT$7))+将来予測シート②!$G25</f>
        <v>161.85026390802338</v>
      </c>
      <c r="DA6" s="9">
        <f>IF(管理者入力シート!$B$14=1,CZ3*管理者用人口入力シート!AU$3,IF(管理者入力シート!$B$14=2,CZ3*管理者用人口入力シート!AU$7))+将来予測シート②!$G26</f>
        <v>191.45692475422317</v>
      </c>
      <c r="DB6" s="9">
        <f>IF(管理者入力シート!$B$14=1,DA3*管理者用人口入力シート!AV$3,IF(管理者入力シート!$B$14=2,DA3*管理者用人口入力シート!AV$7))+将来予測シート②!$G27</f>
        <v>206.12195174174806</v>
      </c>
      <c r="DC6" s="9">
        <f>IF(管理者入力シート!$B$14=1,DB3*管理者用人口入力シート!AW$3,IF(管理者入力シート!$B$14=2,DB3*管理者用人口入力シート!AW$7))+将来予測シート②!$G28</f>
        <v>218.48570910314481</v>
      </c>
      <c r="DD6" s="9">
        <f>IF(管理者入力シート!$B$14=1,DC3*管理者用人口入力シート!AX$3,IF(管理者入力シート!$B$14=2,DC3*管理者用人口入力シート!AX$7))+将来予測シート②!$G29</f>
        <v>194.46450699631527</v>
      </c>
      <c r="DE6" s="9">
        <f>IF(管理者入力シート!$B$14=1,DD3*管理者用人口入力シート!AY$3,IF(管理者入力シート!$B$14=2,DD3*管理者用人口入力シート!AY$7))</f>
        <v>202.13425978800484</v>
      </c>
      <c r="DF6" s="9">
        <f>IF(管理者入力シート!$B$14=1,DE3*管理者用人口入力シート!AZ$3,IF(管理者入力シート!$B$14=2,DE3*管理者用人口入力シート!AZ$7))</f>
        <v>254.133830317057</v>
      </c>
      <c r="DG6" s="9">
        <f>IF(管理者入力シート!$B$14=1,DF3*管理者用人口入力シート!BA$3,IF(管理者入力シート!$B$14=2,DF3*管理者用人口入力シート!BA$7))</f>
        <v>257.25387536377684</v>
      </c>
      <c r="DH6" s="9">
        <f>IF(管理者入力シート!$B$14=1,DG3*管理者用人口入力シート!BB$3,IF(管理者入力シート!$B$14=2,DG3*管理者用人口入力シート!BB$7))</f>
        <v>215.02808606368885</v>
      </c>
      <c r="DI6" s="9">
        <f>IF(管理者入力シート!$B$14=1,DH3*管理者用人口入力シート!BC$3,IF(管理者入力シート!$B$14=2,DH3*管理者用人口入力シート!BC$7))</f>
        <v>108.24587937872774</v>
      </c>
      <c r="DJ6" s="9">
        <f>IF(管理者入力シート!$B$14=1,DI3*管理者用人口入力シート!BD$3,IF(管理者入力シート!$B$14=2,DI3*管理者用人口入力シート!BD$7))</f>
        <v>49.970635234315687</v>
      </c>
      <c r="DK6" s="9">
        <f>IF(管理者入力シート!$B$14=1,DJ3*管理者用人口入力シート!BE$3,IF(管理者入力シート!$B$14=2,DJ3*管理者用人口入力シート!BE$7))</f>
        <v>19.195566073455932</v>
      </c>
      <c r="DL6" s="9">
        <f>IF(管理者入力シート!$B$14=1,DK3*管理者用人口入力シート!BF$3,IF(管理者入力シート!$B$14=2,DK3*管理者用人口入力シート!BF$7))</f>
        <v>1.7704480923503622E-2</v>
      </c>
      <c r="DM6" s="9">
        <f t="shared" ref="DM6:DM14" si="69">SUM(CR6:DL6)</f>
        <v>2975.0359652973634</v>
      </c>
      <c r="DN6" s="9">
        <f t="shared" si="34"/>
        <v>150.67488541820995</v>
      </c>
      <c r="DO6" s="9">
        <f t="shared" si="35"/>
        <v>78.658620547425159</v>
      </c>
      <c r="DP6" s="9">
        <f t="shared" si="6"/>
        <v>1105.9798366999505</v>
      </c>
      <c r="DQ6" s="9">
        <f t="shared" si="36"/>
        <v>649.7117465948885</v>
      </c>
      <c r="DR6" s="13">
        <f t="shared" si="37"/>
        <v>0.37175343410996531</v>
      </c>
      <c r="DS6" s="13">
        <f t="shared" si="38"/>
        <v>0.21838786292788495</v>
      </c>
      <c r="DT6" s="9">
        <f t="shared" ref="DT6:DT14" si="70">SUM(CV6:CY6)</f>
        <v>429.13140075540872</v>
      </c>
      <c r="DV6" s="7" t="s">
        <v>400</v>
      </c>
      <c r="DX6" s="28">
        <f>管理者入力シート!B9</f>
        <v>2030</v>
      </c>
      <c r="DY6" s="3" t="s">
        <v>21</v>
      </c>
      <c r="DZ6" s="9">
        <f>FB7*$AK$13</f>
        <v>195.40741186696471</v>
      </c>
      <c r="EA6" s="129">
        <f>IF(管理者入力シート!$B$14=1,DZ3*管理者用人口入力シート!AM$3,IF(管理者入力シート!$B$14=2,DZ3*管理者用人口入力シート!AM$7))</f>
        <v>113.9023400645154</v>
      </c>
      <c r="EB6" s="9">
        <f>IF(管理者入力シート!$B$14=1,EA3*管理者用人口入力シート!AN$3,IF(管理者入力シート!$B$14=2,EA3*管理者用人口入力シート!AN$7))</f>
        <v>135.21288458899932</v>
      </c>
      <c r="EC6" s="9">
        <f>IF(管理者入力シート!$B$14=1,EB3*管理者用人口入力シート!AO$3,IF(管理者入力シート!$B$14=2,EB3*管理者用人口入力シート!AO$7))</f>
        <v>120.03141466266439</v>
      </c>
      <c r="ED6" s="9">
        <f>IF(管理者入力シート!$B$14=1,EC3*管理者用人口入力シート!AP$3,IF(管理者入力シート!$B$14=2,EC3*管理者用人口入力シート!AP$7))</f>
        <v>75.806478006368948</v>
      </c>
      <c r="EE6" s="9">
        <f>IF(管理者入力シート!$B$14=1,ED3*管理者用人口入力シート!AQ$3,IF(管理者入力シート!$B$14=2,ED3*管理者用人口入力シート!AQ$7))+DX1</f>
        <v>188.52622286455875</v>
      </c>
      <c r="EF6" s="9">
        <f>IF(管理者入力シート!$B$14=1,EE3*管理者用人口入力シート!AR$3,IF(管理者入力シート!$B$14=2,EE3*管理者用人口入力シート!AR$7))+DX1</f>
        <v>297.36556345343575</v>
      </c>
      <c r="EG6" s="9">
        <f>IF(管理者入力シート!$B$14=1,EF3*管理者用人口入力シート!AS$3,IF(管理者入力シート!$B$14=2,EF3*管理者用人口入力シート!AS$7))+DX1</f>
        <v>308.57901979240103</v>
      </c>
      <c r="EH6" s="9">
        <f>IF(管理者入力シート!$B$14=1,EG3*管理者用人口入力シート!AT$3,IF(管理者入力シート!$B$14=2,EG3*管理者用人口入力シート!AT$7))</f>
        <v>248.90181398018953</v>
      </c>
      <c r="EI6" s="9">
        <f>IF(管理者入力シート!$B$14=1,EH3*管理者用人口入力シート!AU$3,IF(管理者入力シート!$B$14=2,EH3*管理者用人口入力シート!AU$7))</f>
        <v>191.45692475422317</v>
      </c>
      <c r="EJ6" s="9">
        <f>IF(管理者入力シート!$B$14=1,EI3*管理者用人口入力シート!AV$3,IF(管理者入力シート!$B$14=2,EI3*管理者用人口入力シート!AV$7))</f>
        <v>206.12195174174806</v>
      </c>
      <c r="EK6" s="9">
        <f>IF(管理者入力シート!$B$14=1,EJ3*管理者用人口入力シート!AW$3,IF(管理者入力シート!$B$14=2,EJ3*管理者用人口入力シート!AW$7))</f>
        <v>218.48570910314481</v>
      </c>
      <c r="EL6" s="9">
        <f>IF(管理者入力シート!$B$14=1,EK3*管理者用人口入力シート!AX$3,IF(管理者入力シート!$B$14=2,EK3*管理者用人口入力シート!AX$7))</f>
        <v>194.46450699631527</v>
      </c>
      <c r="EM6" s="9">
        <f>IF(管理者入力シート!$B$14=1,EL3*管理者用人口入力シート!AY$3,IF(管理者入力シート!$B$14=2,EL3*管理者用人口入力シート!AY$7))</f>
        <v>202.13425978800484</v>
      </c>
      <c r="EN6" s="9">
        <f>IF(管理者入力シート!$B$14=1,EM3*管理者用人口入力シート!AZ$3,IF(管理者入力シート!$B$14=2,EM3*管理者用人口入力シート!AZ$7))</f>
        <v>254.133830317057</v>
      </c>
      <c r="EO6" s="9">
        <f>IF(管理者入力シート!$B$14=1,EN3*管理者用人口入力シート!BA$3,IF(管理者入力シート!$B$14=2,EN3*管理者用人口入力シート!BA$7))</f>
        <v>257.25387536377684</v>
      </c>
      <c r="EP6" s="9">
        <f>IF(管理者入力シート!$B$14=1,EO3*管理者用人口入力シート!BB$3,IF(管理者入力シート!$B$14=2,EO3*管理者用人口入力シート!BB$7))</f>
        <v>215.02808606368885</v>
      </c>
      <c r="EQ6" s="9">
        <f>IF(管理者入力シート!$B$14=1,EP3*管理者用人口入力シート!BC$3,IF(管理者入力シート!$B$14=2,EP3*管理者用人口入力シート!BC$7))</f>
        <v>108.24587937872774</v>
      </c>
      <c r="ER6" s="9">
        <f>IF(管理者入力シート!$B$14=1,EQ3*管理者用人口入力シート!BD$3,IF(管理者入力シート!$B$14=2,EQ3*管理者用人口入力シート!BD$7))</f>
        <v>49.970635234315687</v>
      </c>
      <c r="ES6" s="9">
        <f>IF(管理者入力シート!$B$14=1,ER3*管理者用人口入力シート!BE$3,IF(管理者入力シート!$B$14=2,ER3*管理者用人口入力シート!BE$7))</f>
        <v>19.195566073455932</v>
      </c>
      <c r="ET6" s="9">
        <f>IF(管理者入力シート!$B$14=1,ES3*管理者用人口入力シート!BF$3,IF(管理者入力シート!$B$14=2,ES3*管理者用人口入力シート!BF$7))</f>
        <v>1.7704480923503622E-2</v>
      </c>
      <c r="EU6" s="9">
        <f t="shared" ref="EU6:EU14" si="71">SUM(DZ6:ET6)</f>
        <v>3600.2420785754794</v>
      </c>
      <c r="EV6" s="9">
        <f t="shared" si="41"/>
        <v>149.46913479210883</v>
      </c>
      <c r="EW6" s="9">
        <f t="shared" si="42"/>
        <v>78.09143676813261</v>
      </c>
      <c r="EX6" s="9">
        <f t="shared" si="10"/>
        <v>1105.9798366999505</v>
      </c>
      <c r="EY6" s="9">
        <f t="shared" si="43"/>
        <v>649.7117465948885</v>
      </c>
      <c r="EZ6" s="13">
        <f t="shared" si="44"/>
        <v>0.30719596420515077</v>
      </c>
      <c r="FA6" s="13">
        <f t="shared" si="45"/>
        <v>0.18046335007893755</v>
      </c>
      <c r="FB6" s="9">
        <f t="shared" ref="FB6:FB14" si="72">SUM(ED6:EG6)</f>
        <v>870.27728411676446</v>
      </c>
    </row>
    <row r="7" spans="1:158" x14ac:dyDescent="0.15">
      <c r="A7" s="7" t="str">
        <f t="shared" si="11"/>
        <v>2010_2</v>
      </c>
      <c r="B7" s="29">
        <v>2010</v>
      </c>
      <c r="C7" s="4" t="s">
        <v>22</v>
      </c>
      <c r="D7" s="10">
        <v>185.21509519492292</v>
      </c>
      <c r="E7" s="10">
        <v>183.26281051677245</v>
      </c>
      <c r="F7" s="10">
        <v>241.91650951949228</v>
      </c>
      <c r="G7" s="10">
        <v>182.78652765185856</v>
      </c>
      <c r="H7" s="10">
        <v>201.66023572076156</v>
      </c>
      <c r="I7" s="10">
        <v>213.1382320942883</v>
      </c>
      <c r="J7" s="10">
        <v>248.15222121486852</v>
      </c>
      <c r="K7" s="10">
        <v>270.16878513145969</v>
      </c>
      <c r="L7" s="10">
        <v>259.88736174070721</v>
      </c>
      <c r="M7" s="10">
        <v>259.51679057116951</v>
      </c>
      <c r="N7" s="10">
        <v>333.7333454215775</v>
      </c>
      <c r="O7" s="10">
        <v>338.73333635539439</v>
      </c>
      <c r="P7" s="10">
        <v>382.67704442429738</v>
      </c>
      <c r="Q7" s="10">
        <v>252.62450589301903</v>
      </c>
      <c r="R7" s="10">
        <v>252.78621940163191</v>
      </c>
      <c r="S7" s="10">
        <v>240.66022665457839</v>
      </c>
      <c r="T7" s="10">
        <v>206.77651858567543</v>
      </c>
      <c r="U7" s="10">
        <v>123.60739800543971</v>
      </c>
      <c r="V7" s="10">
        <v>53.653699002719854</v>
      </c>
      <c r="W7" s="10">
        <v>15.970852221214866</v>
      </c>
      <c r="X7" s="10">
        <v>3.3622846781504987</v>
      </c>
      <c r="Y7" s="10">
        <f t="shared" si="68"/>
        <v>4450.29</v>
      </c>
      <c r="Z7" s="10">
        <f t="shared" si="12"/>
        <v>255.10759202175882</v>
      </c>
      <c r="AA7" s="10">
        <f t="shared" si="13"/>
        <v>133.32390933816862</v>
      </c>
      <c r="AB7" s="10">
        <f t="shared" si="0"/>
        <v>1149.4417044424297</v>
      </c>
      <c r="AC7" s="10">
        <f t="shared" si="14"/>
        <v>644.03097914777857</v>
      </c>
      <c r="AD7" s="14">
        <f t="shared" si="15"/>
        <v>0.25828467458130361</v>
      </c>
      <c r="AE7" s="14">
        <f t="shared" si="16"/>
        <v>0.14471663175833002</v>
      </c>
      <c r="AF7" s="10">
        <f t="shared" si="17"/>
        <v>933.11947416137809</v>
      </c>
      <c r="AH7" s="7"/>
      <c r="AI7" s="28" t="s">
        <v>88</v>
      </c>
      <c r="AJ7" s="3">
        <f>管理者入力シート!B7</f>
        <v>2010</v>
      </c>
      <c r="AK7" s="3">
        <f>管理者入力シート!B5</f>
        <v>2020</v>
      </c>
      <c r="AL7" s="31" t="s">
        <v>21</v>
      </c>
      <c r="AM7" s="48">
        <f t="shared" ref="AM7:BF8" si="73">IF(AND(AM3&gt;0,AM5&gt;0),SQRT(AM3*AM5),IF(AND(AM3=0,AM5&gt;0),SQRT(0.001*AM5),IF(AND(AM3&gt;0,AM5=0),SQRT(AM3*0.001),IF(AND(AM3=0,AM5=0),SQRT(0.001*0.001)))))</f>
        <v>1.0095843768352581</v>
      </c>
      <c r="AN7" s="48">
        <f t="shared" si="73"/>
        <v>0.94309370715441909</v>
      </c>
      <c r="AO7" s="48">
        <f t="shared" si="73"/>
        <v>0.83591889646277828</v>
      </c>
      <c r="AP7" s="48">
        <f t="shared" si="73"/>
        <v>0.61284343351225257</v>
      </c>
      <c r="AQ7" s="48">
        <f t="shared" si="73"/>
        <v>0.98068417843500866</v>
      </c>
      <c r="AR7" s="48">
        <f t="shared" si="73"/>
        <v>1.0089810669863404</v>
      </c>
      <c r="AS7" s="48">
        <f t="shared" si="73"/>
        <v>0.99285989363532789</v>
      </c>
      <c r="AT7" s="48">
        <f t="shared" si="73"/>
        <v>0.97810730418164193</v>
      </c>
      <c r="AU7" s="48">
        <f t="shared" si="73"/>
        <v>0.97595638541779794</v>
      </c>
      <c r="AV7" s="48">
        <f t="shared" si="73"/>
        <v>0.96674510462025132</v>
      </c>
      <c r="AW7" s="48">
        <f t="shared" si="73"/>
        <v>0.94563447796365618</v>
      </c>
      <c r="AX7" s="48">
        <f t="shared" si="73"/>
        <v>0.98439301124438461</v>
      </c>
      <c r="AY7" s="48">
        <f t="shared" si="73"/>
        <v>0.94111763650047597</v>
      </c>
      <c r="AZ7" s="48">
        <f t="shared" si="73"/>
        <v>0.92887723219526441</v>
      </c>
      <c r="BA7" s="48">
        <f t="shared" si="73"/>
        <v>0.88743948943930073</v>
      </c>
      <c r="BB7" s="48">
        <f t="shared" si="73"/>
        <v>0.83206589866003466</v>
      </c>
      <c r="BC7" s="48">
        <f t="shared" si="73"/>
        <v>0.68121802440912538</v>
      </c>
      <c r="BD7" s="48">
        <f t="shared" si="73"/>
        <v>0.47563265425202739</v>
      </c>
      <c r="BE7" s="48">
        <f t="shared" si="73"/>
        <v>0.37624218539863791</v>
      </c>
      <c r="BF7" s="48">
        <f t="shared" si="73"/>
        <v>1E-3</v>
      </c>
      <c r="BH7" s="7" t="str">
        <f t="shared" si="19"/>
        <v>2030_2</v>
      </c>
      <c r="BI7" s="29">
        <f>BI6</f>
        <v>2030</v>
      </c>
      <c r="BJ7" s="4" t="s">
        <v>22</v>
      </c>
      <c r="BK7" s="10">
        <f>CM7*$AK$14</f>
        <v>82.82215773633763</v>
      </c>
      <c r="BL7" s="10">
        <f>IF(管理者入力シート!$B$14=1,BK4*管理者用人口入力シート!AM$4,IF(管理者入力シート!$B$14=2,BK4*管理者用人口入力シート!AM$8))</f>
        <v>105.50347951848875</v>
      </c>
      <c r="BM7" s="10">
        <f>IF(管理者入力シート!$B$14=1,BL4*管理者用人口入力シート!AN$4,IF(管理者入力シート!$B$14=2,BL4*管理者用人口入力シート!AN$8))</f>
        <v>131.62615640447959</v>
      </c>
      <c r="BN7" s="10">
        <f>IF(管理者入力シート!$B$14=1,BM4*管理者用人口入力シート!AO$4,IF(管理者入力シート!$B$14=2,BM4*管理者用人口入力シート!AO$8))</f>
        <v>135.11683051983917</v>
      </c>
      <c r="BO7" s="10">
        <f>IF(管理者入力シート!$B$14=1,BN4*管理者用人口入力シート!AP$4,IF(管理者入力シート!$B$14=2,BN4*管理者用人口入力シート!AP$8))</f>
        <v>102.06576077181933</v>
      </c>
      <c r="BP7" s="10">
        <f>IF(管理者入力シート!$B$14=1,BO4*管理者用人口入力シート!AQ$4,IF(管理者入力シート!$B$14=2,BO4*管理者用人口入力シート!AQ$8))</f>
        <v>87.961106673932008</v>
      </c>
      <c r="BQ7" s="10">
        <f>IF(管理者入力シート!$B$14=1,BP4*管理者用人口入力シート!AR$4,IF(管理者入力シート!$B$14=2,BP4*管理者用人口入力シート!AR$8))</f>
        <v>99.476119610852464</v>
      </c>
      <c r="BR7" s="10">
        <f>IF(管理者入力シート!$B$14=1,BQ4*管理者用人口入力シート!AS$4,IF(管理者入力シート!$B$14=2,BQ4*管理者用人口入力シート!AS$8))</f>
        <v>116.49927184235889</v>
      </c>
      <c r="BS7" s="10">
        <f>IF(管理者入力シート!$B$14=1,BR4*管理者用人口入力シート!AT$4,IF(管理者入力シート!$B$14=2,BR4*管理者用人口入力シート!AT$8))</f>
        <v>165.65480088693337</v>
      </c>
      <c r="BT7" s="10">
        <f>IF(管理者入力シート!$B$14=1,BS4*管理者用人口入力シート!AU$4,IF(管理者入力シート!$B$14=2,BS4*管理者用人口入力シート!AU$8))</f>
        <v>194.65723249873042</v>
      </c>
      <c r="BU7" s="10">
        <f>IF(管理者入力シート!$B$14=1,BT4*管理者用人口入力シート!AV$4,IF(管理者入力シート!$B$14=2,BT4*管理者用人口入力シート!AV$8))</f>
        <v>218.7013634654798</v>
      </c>
      <c r="BV7" s="10">
        <f>IF(管理者入力シート!$B$14=1,BU4*管理者用人口入力シート!AW$4,IF(管理者入力シート!$B$14=2,BU4*管理者用人口入力シート!AW$8))</f>
        <v>247.95615800902465</v>
      </c>
      <c r="BW7" s="10">
        <f>IF(管理者入力シート!$B$14=1,BV4*管理者用人口入力シート!AX$4,IF(管理者入力シート!$B$14=2,BV4*管理者用人口入力シート!AX$8))</f>
        <v>234.07161098909776</v>
      </c>
      <c r="BX7" s="10">
        <f>IF(管理者入力シート!$B$14=1,BW4*管理者用人口入力シート!AY$4,IF(管理者入力シート!$B$14=2,BW4*管理者用人口入力シート!AY$8))</f>
        <v>241.21900603229906</v>
      </c>
      <c r="BY7" s="10">
        <f>IF(管理者入力シート!$B$14=1,BX4*管理者用人口入力シート!AZ$4,IF(管理者入力シート!$B$14=2,BX4*管理者用人口入力シート!AZ$8))</f>
        <v>314.93128735717835</v>
      </c>
      <c r="BZ7" s="10">
        <f>IF(管理者入力シート!$B$14=1,BY4*管理者用人口入力シート!BA$4,IF(管理者入力シート!$B$14=2,BY4*管理者用人口入力シート!BA$8))</f>
        <v>300.554049848158</v>
      </c>
      <c r="CA7" s="10">
        <f>IF(管理者入力シート!$B$14=1,BZ4*管理者用人口入力シート!BB$4,IF(管理者入力シート!$B$14=2,BZ4*管理者用人口入力シート!BB$8))</f>
        <v>301.69575183673589</v>
      </c>
      <c r="CB7" s="10">
        <f>IF(管理者入力シート!$B$14=1,CA4*管理者用人口入力シート!BC$4,IF(管理者入力シート!$B$14=2,CA4*管理者用人口入力シート!BC$8))</f>
        <v>175.79856260475648</v>
      </c>
      <c r="CC7" s="10">
        <f>IF(管理者入力シート!$B$14=1,CB4*管理者用人口入力シート!BD$4,IF(管理者入力シート!$B$14=2,CB4*管理者用人口入力シート!BD$8))</f>
        <v>97.747595797570497</v>
      </c>
      <c r="CD7" s="10">
        <f>IF(管理者入力シート!$B$14=1,CC4*管理者用人口入力シート!BE$4,IF(管理者入力シート!$B$14=2,CC4*管理者用人口入力シート!BE$8))</f>
        <v>36.499181511500083</v>
      </c>
      <c r="CE7" s="10">
        <f>IF(管理者入力シート!$B$14=1,CD4*管理者用人口入力シート!BF$4,IF(管理者入力シート!$B$14=2,CD4*管理者用人口入力シート!BF$8))</f>
        <v>6.0428849483069014</v>
      </c>
      <c r="CF7" s="10">
        <f t="shared" si="2"/>
        <v>3396.6003688638789</v>
      </c>
      <c r="CG7" s="10">
        <f t="shared" si="20"/>
        <v>142.27778155378098</v>
      </c>
      <c r="CH7" s="10">
        <f t="shared" si="21"/>
        <v>79.673828665759672</v>
      </c>
      <c r="CI7" s="10">
        <f t="shared" si="3"/>
        <v>1474.4883199365051</v>
      </c>
      <c r="CJ7" s="10">
        <f t="shared" si="22"/>
        <v>918.33802654702788</v>
      </c>
      <c r="CK7" s="14">
        <f t="shared" si="23"/>
        <v>0.43410709527470948</v>
      </c>
      <c r="CL7" s="14">
        <f t="shared" si="24"/>
        <v>0.27036976000040908</v>
      </c>
      <c r="CM7" s="10">
        <f t="shared" si="25"/>
        <v>406.00225889896274</v>
      </c>
      <c r="CO7" s="7" t="str">
        <f t="shared" si="26"/>
        <v>2030_2</v>
      </c>
      <c r="CP7" s="29">
        <f>CP6</f>
        <v>2030</v>
      </c>
      <c r="CQ7" s="4" t="s">
        <v>22</v>
      </c>
      <c r="CR7" s="10">
        <f>DT7*$AK$14+将来予測シート②!$H17</f>
        <v>84.618308275846175</v>
      </c>
      <c r="CS7" s="10">
        <f>IF(管理者入力シート!$B$14=1,CR4*管理者用人口入力シート!AM$4,IF(管理者入力シート!$B$14=2,CR4*管理者用人口入力シート!AM$8))+将来予測シート②!$H18</f>
        <v>106.56090980305216</v>
      </c>
      <c r="CT7" s="10">
        <f>IF(管理者入力シート!$B$14=1,CS4*管理者用人口入力シート!AN$4,IF(管理者入力シート!$B$14=2,CS4*管理者用人口入力シート!AN$8))+将来予測シート②!$H19</f>
        <v>132.62615640447959</v>
      </c>
      <c r="CU7" s="10">
        <f>IF(管理者入力シート!$B$14=1,CT4*管理者用人口入力シート!AO$4,IF(管理者入力シート!$B$14=2,CT4*管理者用人口入力シート!AO$8))+将来予測シート②!$H20</f>
        <v>135.99007496739469</v>
      </c>
      <c r="CV7" s="10">
        <f>IF(管理者入力シート!$B$14=1,CU4*管理者用人口入力シート!AP$4,IF(管理者入力シート!$B$14=2,CU4*管理者用人口入力シート!AP$8))+将来予測シート②!$H21</f>
        <v>102.06576077181933</v>
      </c>
      <c r="CW7" s="10">
        <f>IF(管理者入力シート!$B$14=1,CV4*管理者用人口入力シート!AQ$4,IF(管理者入力シート!$B$14=2,CV4*管理者用人口入力シート!AQ$8))+将来予測シート②!$H22</f>
        <v>89.961106673932008</v>
      </c>
      <c r="CX7" s="10">
        <f>IF(管理者入力シート!$B$14=1,CW4*管理者用人口入力シート!AR$4,IF(管理者入力シート!$B$14=2,CW4*管理者用人口入力シート!AR$8))+将来予測シート②!$H23</f>
        <v>101.3789268583179</v>
      </c>
      <c r="CY7" s="10">
        <f>IF(管理者入力シート!$B$14=1,CX4*管理者用人口入力シート!AS$4,IF(管理者入力シート!$B$14=2,CX4*管理者用人口入力シート!AS$8))+将来予測シート②!$H24</f>
        <v>116.49927184235889</v>
      </c>
      <c r="CZ7" s="10">
        <f>IF(管理者入力シート!$B$14=1,CY4*管理者用人口入力シート!AT$4,IF(管理者入力シート!$B$14=2,CY4*管理者用人口入力シート!AT$8))+将来予測シート②!$H25</f>
        <v>166.65480088693337</v>
      </c>
      <c r="DA7" s="10">
        <f>IF(管理者入力シート!$B$14=1,CZ4*管理者用人口入力シート!AU$4,IF(管理者入力シート!$B$14=2,CZ4*管理者用人口入力シート!AU$8))+将来予測シート②!$H26</f>
        <v>195.62219363293286</v>
      </c>
      <c r="DB7" s="10">
        <f>IF(管理者入力シート!$B$14=1,DA4*管理者用人口入力シート!AV$4,IF(管理者入力シート!$B$14=2,DA4*管理者用人口入力シート!AV$8))+将来予測シート②!$H27</f>
        <v>218.7013634654798</v>
      </c>
      <c r="DC7" s="10">
        <f>IF(管理者入力シート!$B$14=1,DB4*管理者用人口入力シート!AW$4,IF(管理者入力シート!$B$14=2,DB4*管理者用人口入力シート!AW$8))+将来予測シート②!$H28</f>
        <v>247.95615800902465</v>
      </c>
      <c r="DD7" s="10">
        <f>IF(管理者入力シート!$B$14=1,DC4*管理者用人口入力シート!AX$4,IF(管理者入力シート!$B$14=2,DC4*管理者用人口入力シート!AX$8))+将来予測シート②!$H29</f>
        <v>234.07161098909776</v>
      </c>
      <c r="DE7" s="10">
        <f>IF(管理者入力シート!$B$14=1,DD4*管理者用人口入力シート!AY$4,IF(管理者入力シート!$B$14=2,DD4*管理者用人口入力シート!AY$8))</f>
        <v>241.21900603229906</v>
      </c>
      <c r="DF7" s="10">
        <f>IF(管理者入力シート!$B$14=1,DE4*管理者用人口入力シート!AZ$4,IF(管理者入力シート!$B$14=2,DE4*管理者用人口入力シート!AZ$8))</f>
        <v>314.93128735717835</v>
      </c>
      <c r="DG7" s="10">
        <f>IF(管理者入力シート!$B$14=1,DF4*管理者用人口入力シート!BA$4,IF(管理者入力シート!$B$14=2,DF4*管理者用人口入力シート!BA$8))</f>
        <v>300.554049848158</v>
      </c>
      <c r="DH7" s="10">
        <f>IF(管理者入力シート!$B$14=1,DG4*管理者用人口入力シート!BB$4,IF(管理者入力シート!$B$14=2,DG4*管理者用人口入力シート!BB$8))</f>
        <v>301.69575183673589</v>
      </c>
      <c r="DI7" s="10">
        <f>IF(管理者入力シート!$B$14=1,DH4*管理者用人口入力シート!BC$4,IF(管理者入力シート!$B$14=2,DH4*管理者用人口入力シート!BC$8))</f>
        <v>175.79856260475648</v>
      </c>
      <c r="DJ7" s="10">
        <f>IF(管理者入力シート!$B$14=1,DI4*管理者用人口入力シート!BD$4,IF(管理者入力シート!$B$14=2,DI4*管理者用人口入力シート!BD$8))</f>
        <v>97.747595797570497</v>
      </c>
      <c r="DK7" s="10">
        <f>IF(管理者入力シート!$B$14=1,DJ4*管理者用人口入力シート!BE$4,IF(管理者入力シート!$B$14=2,DJ4*管理者用人口入力シート!BE$8))</f>
        <v>36.499181511500083</v>
      </c>
      <c r="DL7" s="10">
        <f>IF(管理者入力シート!$B$14=1,DK4*管理者用人口入力シート!BF$4,IF(管理者入力シート!$B$14=2,DK4*管理者用人口入力シート!BF$8))</f>
        <v>6.0428849483069014</v>
      </c>
      <c r="DM7" s="10">
        <f t="shared" si="69"/>
        <v>3407.1949625171742</v>
      </c>
      <c r="DN7" s="10">
        <f t="shared" si="34"/>
        <v>143.51223972451902</v>
      </c>
      <c r="DO7" s="10">
        <f t="shared" si="35"/>
        <v>80.248477555270767</v>
      </c>
      <c r="DP7" s="10">
        <f t="shared" si="6"/>
        <v>1474.4883199365051</v>
      </c>
      <c r="DQ7" s="10">
        <f t="shared" si="36"/>
        <v>918.33802654702788</v>
      </c>
      <c r="DR7" s="14">
        <f t="shared" si="37"/>
        <v>0.43275724933778953</v>
      </c>
      <c r="DS7" s="14">
        <f t="shared" si="38"/>
        <v>0.26952905150710138</v>
      </c>
      <c r="DT7" s="10">
        <f t="shared" si="70"/>
        <v>409.90506614642811</v>
      </c>
      <c r="DV7" s="7" t="s">
        <v>401</v>
      </c>
      <c r="DW7" s="210">
        <f>(SUM(BK12:BW12)-SUM(D12:P12))/4</f>
        <v>-247.10074700098625</v>
      </c>
      <c r="DX7" s="29">
        <f>DX6</f>
        <v>2030</v>
      </c>
      <c r="DY7" s="4" t="s">
        <v>22</v>
      </c>
      <c r="DZ7" s="10">
        <f>FB7*$AK$14</f>
        <v>172.8088762387963</v>
      </c>
      <c r="EA7" s="10">
        <f>IF(管理者入力シート!$B$14=1,DZ4*管理者用人口入力シート!AM$4,IF(管理者入力シート!$B$14=2,DZ4*管理者用人口入力シート!AM$8))</f>
        <v>105.50347951848875</v>
      </c>
      <c r="EB7" s="10">
        <f>IF(管理者入力シート!$B$14=1,EA4*管理者用人口入力シート!AN$4,IF(管理者入力シート!$B$14=2,EA4*管理者用人口入力シート!AN$8))</f>
        <v>131.62615640447959</v>
      </c>
      <c r="EC7" s="10">
        <f>IF(管理者入力シート!$B$14=1,EB4*管理者用人口入力シート!AO$4,IF(管理者入力シート!$B$14=2,EB4*管理者用人口入力シート!AO$8))</f>
        <v>135.11683051983917</v>
      </c>
      <c r="ED7" s="10">
        <f>IF(管理者入力シート!$B$14=1,EC4*管理者用人口入力シート!AP$4,IF(管理者入力シート!$B$14=2,EC4*管理者用人口入力シート!AP$8))</f>
        <v>102.06576077181933</v>
      </c>
      <c r="EE7" s="10">
        <f>IF(管理者入力シート!$B$14=1,ED4*管理者用人口入力シート!AQ$4,IF(管理者入力シート!$B$14=2,ED4*管理者用人口入力シート!AQ$8))+DX1</f>
        <v>176.96110667393202</v>
      </c>
      <c r="EF7" s="10">
        <f>IF(管理者入力シート!$B$14=1,EE4*管理者用人口入力シート!AR$4,IF(管理者入力シート!$B$14=2,EE4*管理者用人口入力シート!AR$8))+DX1</f>
        <v>273.15104212306449</v>
      </c>
      <c r="EG7" s="10">
        <f>IF(管理者入力シート!$B$14=1,EF4*管理者用人口入力シート!AS$4,IF(管理者入力シート!$B$14=2,EF4*管理者用人口入力シート!AS$8))+DX1</f>
        <v>294.9479807526825</v>
      </c>
      <c r="EH7" s="10">
        <f>IF(管理者入力シート!$B$14=1,EG4*管理者用人口入力シート!AT$4,IF(管理者入力シート!$B$14=2,EG4*管理者用人口入力シート!AT$8))</f>
        <v>252.17832757699028</v>
      </c>
      <c r="EI7" s="10">
        <f>IF(管理者入力シート!$B$14=1,EH4*管理者用人口入力シート!AU$4,IF(管理者入力シート!$B$14=2,EH4*管理者用人口入力シート!AU$8))</f>
        <v>194.65723249873042</v>
      </c>
      <c r="EJ7" s="10">
        <f>IF(管理者入力シート!$B$14=1,EI4*管理者用人口入力シート!AV$4,IF(管理者入力シート!$B$14=2,EI4*管理者用人口入力シート!AV$8))</f>
        <v>218.7013634654798</v>
      </c>
      <c r="EK7" s="10">
        <f>IF(管理者入力シート!$B$14=1,EJ4*管理者用人口入力シート!AW$4,IF(管理者入力シート!$B$14=2,EJ4*管理者用人口入力シート!AW$8))</f>
        <v>247.95615800902465</v>
      </c>
      <c r="EL7" s="10">
        <f>IF(管理者入力シート!$B$14=1,EK4*管理者用人口入力シート!AX$4,IF(管理者入力シート!$B$14=2,EK4*管理者用人口入力シート!AX$8))</f>
        <v>234.07161098909776</v>
      </c>
      <c r="EM7" s="10">
        <f>IF(管理者入力シート!$B$14=1,EL4*管理者用人口入力シート!AY$4,IF(管理者入力シート!$B$14=2,EL4*管理者用人口入力シート!AY$8))</f>
        <v>241.21900603229906</v>
      </c>
      <c r="EN7" s="10">
        <f>IF(管理者入力シート!$B$14=1,EM4*管理者用人口入力シート!AZ$4,IF(管理者入力シート!$B$14=2,EM4*管理者用人口入力シート!AZ$8))</f>
        <v>314.93128735717835</v>
      </c>
      <c r="EO7" s="10">
        <f>IF(管理者入力シート!$B$14=1,EN4*管理者用人口入力シート!BA$4,IF(管理者入力シート!$B$14=2,EN4*管理者用人口入力シート!BA$8))</f>
        <v>300.554049848158</v>
      </c>
      <c r="EP7" s="10">
        <f>IF(管理者入力シート!$B$14=1,EO4*管理者用人口入力シート!BB$4,IF(管理者入力シート!$B$14=2,EO4*管理者用人口入力シート!BB$8))</f>
        <v>301.69575183673589</v>
      </c>
      <c r="EQ7" s="10">
        <f>IF(管理者入力シート!$B$14=1,EP4*管理者用人口入力シート!BC$4,IF(管理者入力シート!$B$14=2,EP4*管理者用人口入力シート!BC$8))</f>
        <v>175.79856260475648</v>
      </c>
      <c r="ER7" s="10">
        <f>IF(管理者入力シート!$B$14=1,EQ4*管理者用人口入力シート!BD$4,IF(管理者入力シート!$B$14=2,EQ4*管理者用人口入力シート!BD$8))</f>
        <v>97.747595797570497</v>
      </c>
      <c r="ES7" s="10">
        <f>IF(管理者入力シート!$B$14=1,ER4*管理者用人口入力シート!BE$4,IF(管理者入力シート!$B$14=2,ER4*管理者用人口入力シート!BE$8))</f>
        <v>36.499181511500083</v>
      </c>
      <c r="ET7" s="10">
        <f>IF(管理者入力シート!$B$14=1,ES4*管理者用人口入力シート!BF$4,IF(管理者入力シート!$B$14=2,ES4*管理者用人口入力シート!BF$8))</f>
        <v>6.0428849483069014</v>
      </c>
      <c r="EU7" s="10">
        <f t="shared" si="71"/>
        <v>4014.23424547893</v>
      </c>
      <c r="EV7" s="10">
        <f t="shared" si="41"/>
        <v>142.27778155378098</v>
      </c>
      <c r="EW7" s="10">
        <f t="shared" si="42"/>
        <v>79.673828665759672</v>
      </c>
      <c r="EX7" s="10">
        <f t="shared" si="10"/>
        <v>1474.4883199365051</v>
      </c>
      <c r="EY7" s="10">
        <f t="shared" si="43"/>
        <v>918.33802654702788</v>
      </c>
      <c r="EZ7" s="14">
        <f t="shared" si="44"/>
        <v>0.3673149671315673</v>
      </c>
      <c r="FA7" s="14">
        <f t="shared" si="45"/>
        <v>0.22877041308222482</v>
      </c>
      <c r="FB7" s="10">
        <f t="shared" si="72"/>
        <v>847.12589032149833</v>
      </c>
    </row>
    <row r="8" spans="1:158" x14ac:dyDescent="0.15">
      <c r="A8" s="7" t="str">
        <f t="shared" si="11"/>
        <v>2010_3</v>
      </c>
      <c r="B8" s="30">
        <v>2010</v>
      </c>
      <c r="C8" s="5" t="s">
        <v>23</v>
      </c>
      <c r="D8" s="11">
        <v>347.51061544095057</v>
      </c>
      <c r="E8" s="11">
        <v>393.2580181026259</v>
      </c>
      <c r="F8" s="11">
        <v>477.16731423502279</v>
      </c>
      <c r="G8" s="11">
        <v>391.03979776974683</v>
      </c>
      <c r="H8" s="11">
        <v>363.32360322460573</v>
      </c>
      <c r="I8" s="11">
        <v>427.72107166373985</v>
      </c>
      <c r="J8" s="11">
        <v>481.10367175305407</v>
      </c>
      <c r="K8" s="11">
        <v>521.84432587979393</v>
      </c>
      <c r="L8" s="11">
        <v>484.14601371405422</v>
      </c>
      <c r="M8" s="11">
        <v>491.53544254451651</v>
      </c>
      <c r="N8" s="11">
        <v>642.84749713864562</v>
      </c>
      <c r="O8" s="11">
        <v>681.98459212166813</v>
      </c>
      <c r="P8" s="11">
        <v>708.61894601322615</v>
      </c>
      <c r="Q8" s="11">
        <v>479.67272731792934</v>
      </c>
      <c r="R8" s="11">
        <v>468.29207281014033</v>
      </c>
      <c r="S8" s="11">
        <v>439.67198985293817</v>
      </c>
      <c r="T8" s="11">
        <v>340.2047195082792</v>
      </c>
      <c r="U8" s="11">
        <v>165.38514787730028</v>
      </c>
      <c r="V8" s="11">
        <v>72.98800448708684</v>
      </c>
      <c r="W8" s="11">
        <v>19.331713318088262</v>
      </c>
      <c r="X8" s="11">
        <v>5.0427152265871982</v>
      </c>
      <c r="Y8" s="11">
        <f t="shared" si="68"/>
        <v>8402.69</v>
      </c>
      <c r="Z8" s="11">
        <f t="shared" si="12"/>
        <v>522.25519940258914</v>
      </c>
      <c r="AA8" s="11">
        <f t="shared" si="13"/>
        <v>269.07488524795849</v>
      </c>
      <c r="AB8" s="11">
        <f t="shared" si="0"/>
        <v>1990.5890903983498</v>
      </c>
      <c r="AC8" s="11">
        <f t="shared" si="14"/>
        <v>1042.62429027028</v>
      </c>
      <c r="AD8" s="15">
        <f t="shared" si="15"/>
        <v>0.23689902762072024</v>
      </c>
      <c r="AE8" s="15">
        <f t="shared" si="16"/>
        <v>0.12408220346939848</v>
      </c>
      <c r="AF8" s="11">
        <f t="shared" si="17"/>
        <v>1793.9926725211935</v>
      </c>
      <c r="AH8" s="7"/>
      <c r="AI8" s="30" t="s">
        <v>88</v>
      </c>
      <c r="AJ8" s="5">
        <f>AJ7</f>
        <v>2010</v>
      </c>
      <c r="AK8" s="5">
        <f>AK7</f>
        <v>2020</v>
      </c>
      <c r="AL8" s="33" t="s">
        <v>22</v>
      </c>
      <c r="AM8" s="47">
        <f t="shared" si="73"/>
        <v>1.0574302845634074</v>
      </c>
      <c r="AN8" s="47">
        <f t="shared" si="73"/>
        <v>0.99116243124719849</v>
      </c>
      <c r="AO8" s="47">
        <f t="shared" si="73"/>
        <v>0.87324444755553732</v>
      </c>
      <c r="AP8" s="47">
        <f t="shared" si="73"/>
        <v>0.63021720732654984</v>
      </c>
      <c r="AQ8" s="47">
        <f t="shared" si="73"/>
        <v>0.89545215968519154</v>
      </c>
      <c r="AR8" s="47">
        <f t="shared" si="73"/>
        <v>0.95140362373271892</v>
      </c>
      <c r="AS8" s="47">
        <f t="shared" si="73"/>
        <v>1.0050416731497034</v>
      </c>
      <c r="AT8" s="47">
        <f t="shared" si="73"/>
        <v>0.97217445719165052</v>
      </c>
      <c r="AU8" s="47">
        <f t="shared" si="73"/>
        <v>0.96496113420244267</v>
      </c>
      <c r="AV8" s="47">
        <f t="shared" si="73"/>
        <v>0.98098345468798054</v>
      </c>
      <c r="AW8" s="47">
        <f t="shared" si="73"/>
        <v>0.98250087779310247</v>
      </c>
      <c r="AX8" s="47">
        <f t="shared" si="73"/>
        <v>0.98906514059439588</v>
      </c>
      <c r="AY8" s="47">
        <f t="shared" si="73"/>
        <v>0.9671597593589224</v>
      </c>
      <c r="AZ8" s="47">
        <f t="shared" si="73"/>
        <v>0.98819401001221108</v>
      </c>
      <c r="BA8" s="47">
        <f t="shared" si="73"/>
        <v>0.94127297539787602</v>
      </c>
      <c r="BB8" s="47">
        <f t="shared" si="73"/>
        <v>0.90638400874613623</v>
      </c>
      <c r="BC8" s="47">
        <f t="shared" si="73"/>
        <v>0.80626024571241561</v>
      </c>
      <c r="BD8" s="47">
        <f t="shared" si="73"/>
        <v>0.5519138246212939</v>
      </c>
      <c r="BE8" s="47">
        <f t="shared" si="73"/>
        <v>0.38409383774978723</v>
      </c>
      <c r="BF8" s="47">
        <f t="shared" si="73"/>
        <v>0.16816085632225536</v>
      </c>
      <c r="BH8" s="7" t="str">
        <f t="shared" si="19"/>
        <v>2030_3</v>
      </c>
      <c r="BI8" s="30">
        <f>BI7</f>
        <v>2030</v>
      </c>
      <c r="BJ8" s="5" t="s">
        <v>23</v>
      </c>
      <c r="BK8" s="16">
        <f>BK6+BK7</f>
        <v>176.47512187072192</v>
      </c>
      <c r="BL8" s="16">
        <f t="shared" ref="BL8" si="74">BL6+BL7</f>
        <v>219.40581958300413</v>
      </c>
      <c r="BM8" s="16">
        <f t="shared" ref="BM8" si="75">BM6+BM7</f>
        <v>266.83904099347887</v>
      </c>
      <c r="BN8" s="16">
        <f t="shared" ref="BN8" si="76">BN6+BN7</f>
        <v>255.14824518250356</v>
      </c>
      <c r="BO8" s="16">
        <f t="shared" ref="BO8" si="77">BO6+BO7</f>
        <v>177.87223877818826</v>
      </c>
      <c r="BP8" s="16">
        <f t="shared" ref="BP8" si="78">BP6+BP7</f>
        <v>187.48732953849074</v>
      </c>
      <c r="BQ8" s="16">
        <f t="shared" ref="BQ8" si="79">BQ6+BQ7</f>
        <v>218.04236810250393</v>
      </c>
      <c r="BR8" s="16">
        <f t="shared" ref="BR8" si="80">BR6+BR7</f>
        <v>247.71376110121577</v>
      </c>
      <c r="BS8" s="16">
        <f t="shared" ref="BS8" si="81">BS6+BS7</f>
        <v>327.50506479495675</v>
      </c>
      <c r="BT8" s="16">
        <f t="shared" ref="BT8" si="82">BT6+BT7</f>
        <v>386.11415725295359</v>
      </c>
      <c r="BU8" s="16">
        <f t="shared" ref="BU8" si="83">BU6+BU7</f>
        <v>424.82331520722789</v>
      </c>
      <c r="BV8" s="16">
        <f t="shared" ref="BV8" si="84">BV6+BV7</f>
        <v>466.44186711216946</v>
      </c>
      <c r="BW8" s="16">
        <f t="shared" ref="BW8" si="85">BW6+BW7</f>
        <v>428.53611798541306</v>
      </c>
      <c r="BX8" s="16">
        <f t="shared" ref="BX8" si="86">BX6+BX7</f>
        <v>443.35326582030393</v>
      </c>
      <c r="BY8" s="16">
        <f t="shared" ref="BY8" si="87">BY6+BY7</f>
        <v>569.06511767423535</v>
      </c>
      <c r="BZ8" s="16">
        <f t="shared" ref="BZ8" si="88">BZ6+BZ7</f>
        <v>557.80792521193484</v>
      </c>
      <c r="CA8" s="16">
        <f t="shared" ref="CA8" si="89">CA6+CA7</f>
        <v>516.72383790042477</v>
      </c>
      <c r="CB8" s="16">
        <f t="shared" ref="CB8" si="90">CB6+CB7</f>
        <v>284.04444198348421</v>
      </c>
      <c r="CC8" s="16">
        <f t="shared" ref="CC8" si="91">CC6+CC7</f>
        <v>147.71823103188618</v>
      </c>
      <c r="CD8" s="16">
        <f t="shared" ref="CD8" si="92">CD6+CD7</f>
        <v>55.694747584956019</v>
      </c>
      <c r="CE8" s="16">
        <f t="shared" ref="CE8" si="93">CE6+CE7</f>
        <v>6.0605894292304052</v>
      </c>
      <c r="CF8" s="11">
        <f t="shared" si="2"/>
        <v>6362.8726041392829</v>
      </c>
      <c r="CG8" s="11">
        <f t="shared" si="20"/>
        <v>291.74691634588982</v>
      </c>
      <c r="CH8" s="11">
        <f t="shared" si="21"/>
        <v>157.76526543389227</v>
      </c>
      <c r="CI8" s="11">
        <f t="shared" si="3"/>
        <v>2580.4681566364557</v>
      </c>
      <c r="CJ8" s="11">
        <f t="shared" si="22"/>
        <v>1568.0497731419166</v>
      </c>
      <c r="CK8" s="15">
        <f t="shared" si="23"/>
        <v>0.40555081284477801</v>
      </c>
      <c r="CL8" s="15">
        <f t="shared" si="24"/>
        <v>0.24643739875003037</v>
      </c>
      <c r="CM8" s="11">
        <f t="shared" si="25"/>
        <v>831.11569752039873</v>
      </c>
      <c r="CO8" s="7" t="str">
        <f t="shared" si="26"/>
        <v>2030_3</v>
      </c>
      <c r="CP8" s="30">
        <f>CP7</f>
        <v>2030</v>
      </c>
      <c r="CQ8" s="5" t="s">
        <v>23</v>
      </c>
      <c r="CR8" s="16">
        <f>CR6+CR7</f>
        <v>180.17153702491885</v>
      </c>
      <c r="CS8" s="16">
        <f t="shared" ref="CS8" si="94">CS6+CS7</f>
        <v>221.4728342444028</v>
      </c>
      <c r="CT8" s="16">
        <f t="shared" ref="CT8" si="95">CT6+CT7</f>
        <v>268.83904099347887</v>
      </c>
      <c r="CU8" s="16">
        <f t="shared" ref="CU8" si="96">CU6+CU7</f>
        <v>256.85740852652185</v>
      </c>
      <c r="CV8" s="16">
        <f t="shared" ref="CV8" si="97">CV6+CV7</f>
        <v>177.87223877818826</v>
      </c>
      <c r="CW8" s="16">
        <f t="shared" ref="CW8" si="98">CW6+CW7</f>
        <v>191.48732953849074</v>
      </c>
      <c r="CX8" s="16">
        <f t="shared" ref="CX8" si="99">CX6+CX7</f>
        <v>221.96313748394203</v>
      </c>
      <c r="CY8" s="16">
        <f t="shared" ref="CY8" si="100">CY6+CY7</f>
        <v>247.71376110121577</v>
      </c>
      <c r="CZ8" s="16">
        <f t="shared" ref="CZ8" si="101">CZ6+CZ7</f>
        <v>328.50506479495675</v>
      </c>
      <c r="DA8" s="16">
        <f t="shared" ref="DA8" si="102">DA6+DA7</f>
        <v>387.07911838715603</v>
      </c>
      <c r="DB8" s="16">
        <f t="shared" ref="DB8" si="103">DB6+DB7</f>
        <v>424.82331520722789</v>
      </c>
      <c r="DC8" s="16">
        <f t="shared" ref="DC8" si="104">DC6+DC7</f>
        <v>466.44186711216946</v>
      </c>
      <c r="DD8" s="16">
        <f t="shared" ref="DD8" si="105">DD6+DD7</f>
        <v>428.53611798541306</v>
      </c>
      <c r="DE8" s="16">
        <f t="shared" ref="DE8" si="106">DE6+DE7</f>
        <v>443.35326582030393</v>
      </c>
      <c r="DF8" s="16">
        <f t="shared" ref="DF8" si="107">DF6+DF7</f>
        <v>569.06511767423535</v>
      </c>
      <c r="DG8" s="16">
        <f t="shared" ref="DG8" si="108">DG6+DG7</f>
        <v>557.80792521193484</v>
      </c>
      <c r="DH8" s="16">
        <f t="shared" ref="DH8" si="109">DH6+DH7</f>
        <v>516.72383790042477</v>
      </c>
      <c r="DI8" s="16">
        <f t="shared" ref="DI8" si="110">DI6+DI7</f>
        <v>284.04444198348421</v>
      </c>
      <c r="DJ8" s="16">
        <f t="shared" ref="DJ8" si="111">DJ6+DJ7</f>
        <v>147.71823103188618</v>
      </c>
      <c r="DK8" s="16">
        <f t="shared" ref="DK8" si="112">DK6+DK7</f>
        <v>55.694747584956019</v>
      </c>
      <c r="DL8" s="16">
        <f t="shared" ref="DL8" si="113">DL6+DL7</f>
        <v>6.0605894292304052</v>
      </c>
      <c r="DM8" s="11">
        <f t="shared" si="69"/>
        <v>6382.2309278145376</v>
      </c>
      <c r="DN8" s="11">
        <f t="shared" si="34"/>
        <v>294.18712514272903</v>
      </c>
      <c r="DO8" s="11">
        <f t="shared" si="35"/>
        <v>158.90709810269593</v>
      </c>
      <c r="DP8" s="11">
        <f t="shared" si="6"/>
        <v>2580.4681566364557</v>
      </c>
      <c r="DQ8" s="11">
        <f t="shared" si="36"/>
        <v>1568.0497731419166</v>
      </c>
      <c r="DR8" s="15">
        <f t="shared" si="37"/>
        <v>0.40432071258820518</v>
      </c>
      <c r="DS8" s="15">
        <f t="shared" si="38"/>
        <v>0.24568991483967859</v>
      </c>
      <c r="DT8" s="11">
        <f t="shared" si="70"/>
        <v>839.03646690183677</v>
      </c>
      <c r="DV8" s="7" t="s">
        <v>402</v>
      </c>
      <c r="DW8" s="210">
        <f>(SUM(BK13:BW13)-SUM(D13:P13))/4</f>
        <v>-286.32274547105953</v>
      </c>
      <c r="DX8" s="30">
        <f>DX7</f>
        <v>2030</v>
      </c>
      <c r="DY8" s="5" t="s">
        <v>23</v>
      </c>
      <c r="DZ8" s="16">
        <f>DZ6+DZ7</f>
        <v>368.21628810576101</v>
      </c>
      <c r="EA8" s="16">
        <f t="shared" ref="EA8:ET8" si="114">EA6+EA7</f>
        <v>219.40581958300413</v>
      </c>
      <c r="EB8" s="16">
        <f t="shared" si="114"/>
        <v>266.83904099347887</v>
      </c>
      <c r="EC8" s="16">
        <f t="shared" si="114"/>
        <v>255.14824518250356</v>
      </c>
      <c r="ED8" s="16">
        <f t="shared" si="114"/>
        <v>177.87223877818826</v>
      </c>
      <c r="EE8" s="16">
        <f t="shared" si="114"/>
        <v>365.48732953849077</v>
      </c>
      <c r="EF8" s="16">
        <f t="shared" si="114"/>
        <v>570.5166055765003</v>
      </c>
      <c r="EG8" s="16">
        <f t="shared" si="114"/>
        <v>603.52700054508352</v>
      </c>
      <c r="EH8" s="16">
        <f t="shared" si="114"/>
        <v>501.08014155717979</v>
      </c>
      <c r="EI8" s="16">
        <f t="shared" si="114"/>
        <v>386.11415725295359</v>
      </c>
      <c r="EJ8" s="16">
        <f t="shared" si="114"/>
        <v>424.82331520722789</v>
      </c>
      <c r="EK8" s="16">
        <f t="shared" si="114"/>
        <v>466.44186711216946</v>
      </c>
      <c r="EL8" s="16">
        <f t="shared" si="114"/>
        <v>428.53611798541306</v>
      </c>
      <c r="EM8" s="16">
        <f t="shared" si="114"/>
        <v>443.35326582030393</v>
      </c>
      <c r="EN8" s="16">
        <f t="shared" si="114"/>
        <v>569.06511767423535</v>
      </c>
      <c r="EO8" s="16">
        <f t="shared" si="114"/>
        <v>557.80792521193484</v>
      </c>
      <c r="EP8" s="16">
        <f t="shared" si="114"/>
        <v>516.72383790042477</v>
      </c>
      <c r="EQ8" s="16">
        <f t="shared" si="114"/>
        <v>284.04444198348421</v>
      </c>
      <c r="ER8" s="16">
        <f t="shared" si="114"/>
        <v>147.71823103188618</v>
      </c>
      <c r="ES8" s="16">
        <f t="shared" si="114"/>
        <v>55.694747584956019</v>
      </c>
      <c r="ET8" s="16">
        <f t="shared" si="114"/>
        <v>6.0605894292304052</v>
      </c>
      <c r="EU8" s="11">
        <f t="shared" si="71"/>
        <v>7614.4763240544098</v>
      </c>
      <c r="EV8" s="11">
        <f t="shared" si="41"/>
        <v>291.74691634588982</v>
      </c>
      <c r="EW8" s="11">
        <f t="shared" si="42"/>
        <v>157.76526543389227</v>
      </c>
      <c r="EX8" s="11">
        <f t="shared" si="10"/>
        <v>2580.4681566364557</v>
      </c>
      <c r="EY8" s="11">
        <f t="shared" si="43"/>
        <v>1568.0497731419166</v>
      </c>
      <c r="EZ8" s="15">
        <f t="shared" si="44"/>
        <v>0.33888977348116012</v>
      </c>
      <c r="FA8" s="15">
        <f t="shared" si="45"/>
        <v>0.20593008716678124</v>
      </c>
      <c r="FB8" s="11">
        <f t="shared" si="72"/>
        <v>1717.4031744382628</v>
      </c>
    </row>
    <row r="9" spans="1:158" x14ac:dyDescent="0.15">
      <c r="A9" s="7" t="str">
        <f t="shared" si="11"/>
        <v>2015_1</v>
      </c>
      <c r="B9" s="28">
        <v>2015</v>
      </c>
      <c r="C9" s="3" t="s">
        <v>21</v>
      </c>
      <c r="D9" s="9">
        <v>141.26069510759731</v>
      </c>
      <c r="E9" s="9">
        <v>153.47483643873949</v>
      </c>
      <c r="F9" s="9">
        <v>193.71516333918143</v>
      </c>
      <c r="G9" s="9">
        <v>192.29332274756268</v>
      </c>
      <c r="H9" s="9">
        <v>125.518059028626</v>
      </c>
      <c r="I9" s="9">
        <v>148.9928281773968</v>
      </c>
      <c r="J9" s="9">
        <v>195.29334495547315</v>
      </c>
      <c r="K9" s="9">
        <v>223.60145839347973</v>
      </c>
      <c r="L9" s="9">
        <v>246.43749850096606</v>
      </c>
      <c r="M9" s="9">
        <v>220.25666703679852</v>
      </c>
      <c r="N9" s="9">
        <v>228.62693730706877</v>
      </c>
      <c r="O9" s="9">
        <v>289.6445683892602</v>
      </c>
      <c r="P9" s="9">
        <v>331.40138177618866</v>
      </c>
      <c r="Q9" s="9">
        <v>306.56140398409912</v>
      </c>
      <c r="R9" s="9">
        <v>206.23078771458393</v>
      </c>
      <c r="S9" s="9">
        <v>183.28315507783876</v>
      </c>
      <c r="T9" s="9">
        <v>163.74184125785604</v>
      </c>
      <c r="U9" s="9">
        <v>94.51871060871882</v>
      </c>
      <c r="V9" s="9">
        <v>18.984119123231693</v>
      </c>
      <c r="W9" s="9">
        <v>6.5727608874281023</v>
      </c>
      <c r="X9" s="9">
        <v>0.8404601479046836</v>
      </c>
      <c r="Y9" s="9">
        <f t="shared" si="68"/>
        <v>3671.25</v>
      </c>
      <c r="Z9" s="9">
        <f t="shared" si="12"/>
        <v>208.31399986675254</v>
      </c>
      <c r="AA9" s="9">
        <f t="shared" si="13"/>
        <v>115.94472988518511</v>
      </c>
      <c r="AB9" s="9">
        <f t="shared" si="0"/>
        <v>980.73323880166106</v>
      </c>
      <c r="AC9" s="9">
        <f t="shared" si="14"/>
        <v>467.94104710297819</v>
      </c>
      <c r="AD9" s="13">
        <f t="shared" si="15"/>
        <v>0.26713877801883856</v>
      </c>
      <c r="AE9" s="13">
        <f t="shared" si="16"/>
        <v>0.12746095937432161</v>
      </c>
      <c r="AF9" s="9">
        <f t="shared" si="17"/>
        <v>693.40569055497576</v>
      </c>
      <c r="AL9" s="46" t="s">
        <v>92</v>
      </c>
      <c r="AM9" s="2">
        <v>4</v>
      </c>
      <c r="AN9" s="2">
        <f>AM9+1</f>
        <v>5</v>
      </c>
      <c r="AO9" s="2">
        <f t="shared" ref="AO9:BF9" si="115">AN9+1</f>
        <v>6</v>
      </c>
      <c r="AP9" s="2">
        <f t="shared" si="115"/>
        <v>7</v>
      </c>
      <c r="AQ9" s="2">
        <f t="shared" si="115"/>
        <v>8</v>
      </c>
      <c r="AR9" s="2">
        <f t="shared" si="115"/>
        <v>9</v>
      </c>
      <c r="AS9" s="2">
        <f t="shared" si="115"/>
        <v>10</v>
      </c>
      <c r="AT9" s="2">
        <f t="shared" si="115"/>
        <v>11</v>
      </c>
      <c r="AU9" s="2">
        <f t="shared" si="115"/>
        <v>12</v>
      </c>
      <c r="AV9" s="2">
        <f t="shared" si="115"/>
        <v>13</v>
      </c>
      <c r="AW9" s="2">
        <f t="shared" si="115"/>
        <v>14</v>
      </c>
      <c r="AX9" s="2">
        <f t="shared" si="115"/>
        <v>15</v>
      </c>
      <c r="AY9" s="2">
        <f t="shared" si="115"/>
        <v>16</v>
      </c>
      <c r="AZ9" s="2">
        <f t="shared" si="115"/>
        <v>17</v>
      </c>
      <c r="BA9" s="2">
        <f t="shared" si="115"/>
        <v>18</v>
      </c>
      <c r="BB9" s="2">
        <f t="shared" si="115"/>
        <v>19</v>
      </c>
      <c r="BC9" s="2">
        <f t="shared" si="115"/>
        <v>20</v>
      </c>
      <c r="BD9" s="2">
        <f t="shared" si="115"/>
        <v>21</v>
      </c>
      <c r="BE9" s="2">
        <f t="shared" si="115"/>
        <v>22</v>
      </c>
      <c r="BF9" s="2">
        <f t="shared" si="115"/>
        <v>23</v>
      </c>
      <c r="BH9" s="7" t="str">
        <f t="shared" si="19"/>
        <v>2035_1</v>
      </c>
      <c r="BI9" s="28">
        <f>管理者入力シート!B10</f>
        <v>2035</v>
      </c>
      <c r="BJ9" s="3" t="s">
        <v>21</v>
      </c>
      <c r="BK9" s="9">
        <f>CM10*$AK$13</f>
        <v>83.090504810343063</v>
      </c>
      <c r="BL9" s="9">
        <f>IF(管理者入力シート!$B$14=1,BK6*管理者用人口入力シート!AM$3,IF(管理者入力シート!$B$14=2,BK6*管理者用人口入力シート!AM$7))</f>
        <v>94.550569434387143</v>
      </c>
      <c r="BM9" s="9">
        <f>IF(管理者入力シート!$B$14=1,BL6*管理者用人口入力シート!AN$3,IF(管理者入力シート!$B$14=2,BL6*管理者用人口入力シート!AN$7))</f>
        <v>107.42058014500715</v>
      </c>
      <c r="BN9" s="9">
        <f>IF(管理者入力シート!$B$14=1,BM6*管理者用人口入力シート!AO$3,IF(管理者入力シート!$B$14=2,BM6*管理者用人口入力シート!AO$7))</f>
        <v>113.02700527318531</v>
      </c>
      <c r="BO9" s="9">
        <f>IF(管理者入力シート!$B$14=1,BN6*管理者用人口入力シート!AP$3,IF(管理者入力シート!$B$14=2,BN6*管理者用人口入力シート!AP$7))</f>
        <v>73.560464291200176</v>
      </c>
      <c r="BP9" s="9">
        <f>IF(管理者入力シート!$B$14=1,BO6*管理者用人口入力シート!AQ$3,IF(管理者入力シート!$B$14=2,BO6*管理者用人口入力シート!AQ$7))</f>
        <v>74.342213603727487</v>
      </c>
      <c r="BQ9" s="9">
        <f>IF(管理者入力シート!$B$14=1,BP6*管理者用人口入力シート!AR$3,IF(管理者入力シート!$B$14=2,BP6*管理者用人口入力シート!AR$7))</f>
        <v>100.42007453900278</v>
      </c>
      <c r="BR9" s="9">
        <f>IF(管理者入力シート!$B$14=1,BQ6*管理者用人口入力シート!AS$3,IF(管理者入力シート!$B$14=2,BQ6*管理者用人口入力シート!AS$7))</f>
        <v>117.71967286616093</v>
      </c>
      <c r="BS9" s="9">
        <f>IF(管理者入力シート!$B$14=1,BR6*管理者用人口入力シート!AT$3,IF(管理者入力シート!$B$14=2,BR6*管理者用人口入力シート!AT$7))</f>
        <v>128.34185035855151</v>
      </c>
      <c r="BT9" s="9">
        <f>IF(管理者入力シート!$B$14=1,BS6*管理者用人口入力シート!AU$3,IF(管理者入力シート!$B$14=2,BS6*管理者用人口入力シート!AU$7))</f>
        <v>157.95879854259118</v>
      </c>
      <c r="BU9" s="9">
        <f>IF(管理者入力シート!$B$14=1,BT6*管理者用人口入力シート!AV$3,IF(管理者入力シート!$B$14=2,BT6*管理者用人口入力シート!AV$7))</f>
        <v>185.09004475179307</v>
      </c>
      <c r="BV9" s="9">
        <f>IF(管理者入力シート!$B$14=1,BU6*管理者用人口入力シート!AW$3,IF(管理者入力シート!$B$14=2,BU6*管理者用人口入力シート!AW$7))</f>
        <v>194.91602423215787</v>
      </c>
      <c r="BW9" s="9">
        <f>IF(管理者入力シート!$B$14=1,BV6*管理者用人口入力シート!AX$3,IF(管理者入力シート!$B$14=2,BV6*管理者用人口入力シート!AX$7))</f>
        <v>215.07580509790938</v>
      </c>
      <c r="BX9" s="9">
        <f>IF(管理者入力シート!$B$14=1,BW6*管理者用人口入力シート!AY$3,IF(管理者入力シート!$B$14=2,BW6*管理者用人口入力シート!AY$7))</f>
        <v>183.01397720760249</v>
      </c>
      <c r="BY9" s="9">
        <f>IF(管理者入力シート!$B$14=1,BX6*管理者用人口入力シート!AZ$3,IF(管理者入力シート!$B$14=2,BX6*管理者用人口入力シート!AZ$7))</f>
        <v>187.75791176372047</v>
      </c>
      <c r="BZ9" s="9">
        <f>IF(管理者入力シート!$B$14=1,BY6*管理者用人口入力シート!BA$3,IF(管理者入力シート!$B$14=2,BY6*管理者用人口入力シート!BA$7))</f>
        <v>225.52839662582295</v>
      </c>
      <c r="CA9" s="9">
        <f>IF(管理者入力シート!$B$14=1,BZ6*管理者用人口入力シート!BB$3,IF(管理者入力シート!$B$14=2,BZ6*管理者用人口入力シート!BB$7))</f>
        <v>214.05217698833752</v>
      </c>
      <c r="CB9" s="9">
        <f>IF(管理者入力シート!$B$14=1,CA6*管理者用人口入力シート!BC$3,IF(管理者入力シート!$B$14=2,CA6*管理者用人口入力シート!BC$7))</f>
        <v>146.4810079807815</v>
      </c>
      <c r="CC9" s="9">
        <f>IF(管理者入力シート!$B$14=1,CB6*管理者用人口入力シート!BD$3,IF(管理者入力シート!$B$14=2,CB6*管理者用人口入力シート!BD$7))</f>
        <v>51.48527492074907</v>
      </c>
      <c r="CD9" s="9">
        <f>IF(管理者入力シート!$B$14=1,CC6*管理者用人口入力シート!BE$3,IF(管理者入力シート!$B$14=2,CC6*管理者用人口入力シート!BE$7))</f>
        <v>18.801061006317109</v>
      </c>
      <c r="CE9" s="9">
        <f>IF(管理者入力シート!$B$14=1,CD6*管理者用人口入力シート!BF$3,IF(管理者入力シート!$B$14=2,CD6*管理者用人口入力シート!BF$7))</f>
        <v>1.9195566073455933E-2</v>
      </c>
      <c r="CF9" s="9">
        <f t="shared" si="2"/>
        <v>2672.6526100054216</v>
      </c>
      <c r="CG9" s="9">
        <f t="shared" si="20"/>
        <v>121.18268974763657</v>
      </c>
      <c r="CH9" s="9">
        <f t="shared" si="21"/>
        <v>65.573633112639925</v>
      </c>
      <c r="CI9" s="9">
        <f t="shared" si="3"/>
        <v>1027.1390020594044</v>
      </c>
      <c r="CJ9" s="9">
        <f t="shared" si="22"/>
        <v>656.36711308808162</v>
      </c>
      <c r="CK9" s="13">
        <f t="shared" si="23"/>
        <v>0.38431444408980664</v>
      </c>
      <c r="CL9" s="13">
        <f t="shared" si="24"/>
        <v>0.24558639257151724</v>
      </c>
      <c r="CM9" s="9">
        <f t="shared" si="25"/>
        <v>366.04242530009134</v>
      </c>
      <c r="CO9" s="7" t="str">
        <f t="shared" si="26"/>
        <v>2035_1</v>
      </c>
      <c r="CP9" s="28">
        <f>管理者入力シート!B10</f>
        <v>2035</v>
      </c>
      <c r="CQ9" s="3" t="s">
        <v>21</v>
      </c>
      <c r="CR9" s="9">
        <f>DT10*$AK$13+将来予測シート②!$G17</f>
        <v>85.558850902319648</v>
      </c>
      <c r="CS9" s="9">
        <f>IF(管理者入力シート!$B$14=1,CR6*管理者用人口入力シート!AM$3,IF(管理者入力シート!$B$14=2,CR6*管理者用人口入力シート!AM$7))+将来予測シート②!$G18</f>
        <v>96.469046901229419</v>
      </c>
      <c r="CT9" s="9">
        <f>IF(管理者入力シート!$B$14=1,CS6*管理者用人口入力シート!AN$3,IF(管理者入力シート!$B$14=2,CS6*管理者用人口入力シート!AN$7))+将来予測シート②!$G19</f>
        <v>109.37271281764188</v>
      </c>
      <c r="CU9" s="9">
        <f>IF(管理者入力シート!$B$14=1,CT6*管理者用人口入力シート!AO$3,IF(管理者入力シート!$B$14=2,CT6*管理者用人口入力シート!AO$7))+将来予測シート②!$G20</f>
        <v>113.86292416964808</v>
      </c>
      <c r="CV9" s="9">
        <f>IF(管理者入力シート!$B$14=1,CU6*管理者用人口入力シート!AP$3,IF(管理者入力シート!$B$14=2,CU6*管理者用人口入力シート!AP$7))+将来予測シート②!$G21</f>
        <v>74.072751697846215</v>
      </c>
      <c r="CW9" s="9">
        <f>IF(管理者入力シート!$B$14=1,CV6*管理者用人口入力シート!AQ$3,IF(管理者入力シート!$B$14=2,CV6*管理者用人口入力シート!AQ$7))+将来予測シート②!$G22</f>
        <v>76.342213603727487</v>
      </c>
      <c r="CX9" s="9">
        <f>IF(管理者入力シート!$B$14=1,CW6*管理者用人口入力シート!AR$3,IF(管理者入力シート!$B$14=2,CW6*管理者用人口入力シート!AR$7))+将来予測シート②!$G23</f>
        <v>102.43803667297546</v>
      </c>
      <c r="CY9" s="9">
        <f>IF(管理者入力シート!$B$14=1,CX6*管理者用人口入力シート!AS$3,IF(管理者入力シート!$B$14=2,CX6*管理者用人口入力シート!AS$7))+将来予測シート②!$G24</f>
        <v>119.72322653585715</v>
      </c>
      <c r="CZ9" s="9">
        <f>IF(管理者入力シート!$B$14=1,CY6*管理者用人口入力シート!AT$3,IF(管理者入力シート!$B$14=2,CY6*管理者用人口入力シート!AT$7))+将来予測シート②!$G25</f>
        <v>128.34185035855151</v>
      </c>
      <c r="DA9" s="9">
        <f>IF(管理者入力シート!$B$14=1,CZ6*管理者用人口入力シート!AU$3,IF(管理者入力シート!$B$14=2,CZ6*管理者用人口入力シート!AU$7))+将来予測シート②!$G26</f>
        <v>157.95879854259118</v>
      </c>
      <c r="DB9" s="9">
        <f>IF(管理者入力シート!$B$14=1,DA6*管理者用人口入力シート!AV$3,IF(管理者入力シート!$B$14=2,DA6*管理者用人口入力シート!AV$7))+将来予測シート②!$G27</f>
        <v>185.09004475179307</v>
      </c>
      <c r="DC9" s="9">
        <f>IF(管理者入力シート!$B$14=1,DB6*管理者用人口入力シート!AW$3,IF(管理者入力シート!$B$14=2,DB6*管理者用人口入力シート!AW$7))+将来予測シート②!$G28</f>
        <v>194.91602423215787</v>
      </c>
      <c r="DD9" s="9">
        <f>IF(管理者入力シート!$B$14=1,DC6*管理者用人口入力シート!AX$3,IF(管理者入力シート!$B$14=2,DC6*管理者用人口入力シート!AX$7))+将来予測シート②!$G29</f>
        <v>215.07580509790938</v>
      </c>
      <c r="DE9" s="9">
        <f>IF(管理者入力シート!$B$14=1,DD6*管理者用人口入力シート!AY$3,IF(管理者入力シート!$B$14=2,DD6*管理者用人口入力シート!AY$7))</f>
        <v>183.01397720760249</v>
      </c>
      <c r="DF9" s="9">
        <f>IF(管理者入力シート!$B$14=1,DE6*管理者用人口入力シート!AZ$3,IF(管理者入力シート!$B$14=2,DE6*管理者用人口入力シート!AZ$7))</f>
        <v>187.75791176372047</v>
      </c>
      <c r="DG9" s="9">
        <f>IF(管理者入力シート!$B$14=1,DF6*管理者用人口入力シート!BA$3,IF(管理者入力シート!$B$14=2,DF6*管理者用人口入力シート!BA$7))</f>
        <v>225.52839662582295</v>
      </c>
      <c r="DH9" s="9">
        <f>IF(管理者入力シート!$B$14=1,DG6*管理者用人口入力シート!BB$3,IF(管理者入力シート!$B$14=2,DG6*管理者用人口入力シート!BB$7))</f>
        <v>214.05217698833752</v>
      </c>
      <c r="DI9" s="9">
        <f>IF(管理者入力シート!$B$14=1,DH6*管理者用人口入力シート!BC$3,IF(管理者入力シート!$B$14=2,DH6*管理者用人口入力シート!BC$7))</f>
        <v>146.4810079807815</v>
      </c>
      <c r="DJ9" s="9">
        <f>IF(管理者入力シート!$B$14=1,DI6*管理者用人口入力シート!BD$3,IF(管理者入力シート!$B$14=2,DI6*管理者用人口入力シート!BD$7))</f>
        <v>51.48527492074907</v>
      </c>
      <c r="DK9" s="9">
        <f>IF(管理者入力シート!$B$14=1,DJ6*管理者用人口入力シート!BE$3,IF(管理者入力シート!$B$14=2,DJ6*管理者用人口入力シート!BE$7))</f>
        <v>18.801061006317109</v>
      </c>
      <c r="DL9" s="9">
        <f>IF(管理者入力シート!$B$14=1,DK6*管理者用人口入力シート!BF$3,IF(管理者入力シート!$B$14=2,DK6*管理者用人口入力シート!BF$7))</f>
        <v>1.9195566073455933E-2</v>
      </c>
      <c r="DM9" s="9">
        <f t="shared" si="69"/>
        <v>2686.3612883436531</v>
      </c>
      <c r="DN9" s="9">
        <f t="shared" si="34"/>
        <v>123.50505583132278</v>
      </c>
      <c r="DO9" s="9">
        <f t="shared" si="35"/>
        <v>66.521669960986372</v>
      </c>
      <c r="DP9" s="9">
        <f t="shared" si="6"/>
        <v>1027.1390020594044</v>
      </c>
      <c r="DQ9" s="9">
        <f t="shared" si="36"/>
        <v>656.36711308808162</v>
      </c>
      <c r="DR9" s="13">
        <f t="shared" si="37"/>
        <v>0.38235326220499333</v>
      </c>
      <c r="DS9" s="13">
        <f t="shared" si="38"/>
        <v>0.24433314905784026</v>
      </c>
      <c r="DT9" s="9">
        <f t="shared" si="70"/>
        <v>372.57622851040628</v>
      </c>
      <c r="DV9" s="7" t="s">
        <v>403</v>
      </c>
      <c r="DW9" s="210">
        <f>DW7+DW8</f>
        <v>-533.42349247204584</v>
      </c>
      <c r="DX9" s="28">
        <f>管理者入力シート!B10</f>
        <v>2035</v>
      </c>
      <c r="DY9" s="3" t="s">
        <v>21</v>
      </c>
      <c r="DZ9" s="9">
        <f>FB10*$AK$13</f>
        <v>204.47547937942446</v>
      </c>
      <c r="EA9" s="129">
        <f>IF(管理者入力シート!$B$14=1,DZ6*管理者用人口入力シート!AM$3,IF(管理者入力シート!$B$14=2,DZ6*管理者用人口入力シート!AM$7))</f>
        <v>197.28027013870019</v>
      </c>
      <c r="EB9" s="9">
        <f>IF(管理者入力シート!$B$14=1,EA6*管理者用人口入力シート!AN$3,IF(管理者入力シート!$B$14=2,EA6*管理者用人口入力シート!AN$7))</f>
        <v>107.42058014500715</v>
      </c>
      <c r="EC9" s="9">
        <f>IF(管理者入力シート!$B$14=1,EB6*管理者用人口入力シート!AO$3,IF(管理者入力シート!$B$14=2,EB6*管理者用人口入力シート!AO$7))</f>
        <v>113.02700527318531</v>
      </c>
      <c r="ED9" s="9">
        <f>IF(管理者入力シート!$B$14=1,EC6*管理者用人口入力シート!AP$3,IF(管理者入力シート!$B$14=2,EC6*管理者用人口入力シート!AP$7))</f>
        <v>73.560464291200176</v>
      </c>
      <c r="EE9" s="9">
        <f>IF(管理者入力シート!$B$14=1,ED6*管理者用人口入力シート!AQ$3,IF(管理者入力シート!$B$14=2,ED6*管理者用人口入力シート!AQ$7))+DX1</f>
        <v>163.34221360372749</v>
      </c>
      <c r="EF9" s="9">
        <f>IF(管理者入力シート!$B$14=1,EE6*管理者用人口入力シート!AR$3,IF(管理者入力シート!$B$14=2,EE6*管理者用人口入力シート!AR$7))+DX1</f>
        <v>279.21938950078709</v>
      </c>
      <c r="EG9" s="9">
        <f>IF(管理者入力シート!$B$14=1,EF6*管理者用人口入力シート!AS$3,IF(管理者入力シート!$B$14=2,EF6*管理者用人口入力シート!AS$7))+DX1</f>
        <v>384.24234170118757</v>
      </c>
      <c r="EH9" s="9">
        <f>IF(管理者入力シート!$B$14=1,EG6*管理者用人口入力シート!AT$3,IF(管理者入力シート!$B$14=2,EG6*管理者用人口入力シート!AT$7))</f>
        <v>301.8233931761589</v>
      </c>
      <c r="EI9" s="9">
        <f>IF(管理者入力シート!$B$14=1,EH6*管理者用人口入力シート!AU$3,IF(管理者入力シート!$B$14=2,EH6*管理者用人口入力シート!AU$7))</f>
        <v>242.91731469603891</v>
      </c>
      <c r="EJ9" s="9">
        <f>IF(管理者入力シート!$B$14=1,EI6*管理者用人口入力シート!AV$3,IF(管理者入力シート!$B$14=2,EI6*管理者用人口入力シート!AV$7))</f>
        <v>185.09004475179307</v>
      </c>
      <c r="EK9" s="9">
        <f>IF(管理者入力シート!$B$14=1,EJ6*管理者用人口入力シート!AW$3,IF(管理者入力シート!$B$14=2,EJ6*管理者用人口入力シート!AW$7))</f>
        <v>194.91602423215787</v>
      </c>
      <c r="EL9" s="9">
        <f>IF(管理者入力シート!$B$14=1,EK6*管理者用人口入力シート!AX$3,IF(管理者入力シート!$B$14=2,EK6*管理者用人口入力シート!AX$7))</f>
        <v>215.07580509790938</v>
      </c>
      <c r="EM9" s="9">
        <f>IF(管理者入力シート!$B$14=1,EL6*管理者用人口入力シート!AY$3,IF(管理者入力シート!$B$14=2,EL6*管理者用人口入力シート!AY$7))</f>
        <v>183.01397720760249</v>
      </c>
      <c r="EN9" s="9">
        <f>IF(管理者入力シート!$B$14=1,EM6*管理者用人口入力シート!AZ$3,IF(管理者入力シート!$B$14=2,EM6*管理者用人口入力シート!AZ$7))</f>
        <v>187.75791176372047</v>
      </c>
      <c r="EO9" s="9">
        <f>IF(管理者入力シート!$B$14=1,EN6*管理者用人口入力シート!BA$3,IF(管理者入力シート!$B$14=2,EN6*管理者用人口入力シート!BA$7))</f>
        <v>225.52839662582295</v>
      </c>
      <c r="EP9" s="9">
        <f>IF(管理者入力シート!$B$14=1,EO6*管理者用人口入力シート!BB$3,IF(管理者入力シート!$B$14=2,EO6*管理者用人口入力シート!BB$7))</f>
        <v>214.05217698833752</v>
      </c>
      <c r="EQ9" s="9">
        <f>IF(管理者入力シート!$B$14=1,EP6*管理者用人口入力シート!BC$3,IF(管理者入力シート!$B$14=2,EP6*管理者用人口入力シート!BC$7))</f>
        <v>146.4810079807815</v>
      </c>
      <c r="ER9" s="9">
        <f>IF(管理者入力シート!$B$14=1,EQ6*管理者用人口入力シート!BD$3,IF(管理者入力シート!$B$14=2,EQ6*管理者用人口入力シート!BD$7))</f>
        <v>51.48527492074907</v>
      </c>
      <c r="ES9" s="9">
        <f>IF(管理者入力シート!$B$14=1,ER6*管理者用人口入力シート!BE$3,IF(管理者入力シート!$B$14=2,ER6*管理者用人口入力シート!BE$7))</f>
        <v>18.801061006317109</v>
      </c>
      <c r="ET9" s="9">
        <f>IF(管理者入力シート!$B$14=1,ES6*管理者用人口入力シート!BF$3,IF(管理者入力シート!$B$14=2,ES6*管理者用人口入力シート!BF$7))</f>
        <v>1.9195566073455933E-2</v>
      </c>
      <c r="EU9" s="9">
        <f t="shared" si="71"/>
        <v>3689.5293280466822</v>
      </c>
      <c r="EV9" s="9">
        <f t="shared" si="41"/>
        <v>182.8205101702244</v>
      </c>
      <c r="EW9" s="9">
        <f t="shared" si="42"/>
        <v>65.573633112639925</v>
      </c>
      <c r="EX9" s="9">
        <f t="shared" si="10"/>
        <v>1027.1390020594044</v>
      </c>
      <c r="EY9" s="9">
        <f t="shared" si="43"/>
        <v>656.36711308808162</v>
      </c>
      <c r="EZ9" s="13">
        <f t="shared" si="44"/>
        <v>0.27839296309461631</v>
      </c>
      <c r="FA9" s="13">
        <f t="shared" si="45"/>
        <v>0.17789995815958909</v>
      </c>
      <c r="FB9" s="9">
        <f t="shared" si="72"/>
        <v>900.36440909690236</v>
      </c>
    </row>
    <row r="10" spans="1:158" x14ac:dyDescent="0.15">
      <c r="A10" s="7" t="str">
        <f t="shared" si="11"/>
        <v>2015_2</v>
      </c>
      <c r="B10" s="29">
        <v>2015</v>
      </c>
      <c r="C10" s="4" t="s">
        <v>22</v>
      </c>
      <c r="D10" s="10">
        <v>138.49701626207872</v>
      </c>
      <c r="E10" s="10">
        <v>183.73483384397832</v>
      </c>
      <c r="F10" s="10">
        <v>178.36166627386285</v>
      </c>
      <c r="G10" s="10">
        <v>211.09631628564694</v>
      </c>
      <c r="H10" s="10">
        <v>131.24830544426112</v>
      </c>
      <c r="I10" s="10">
        <v>174.19047843506951</v>
      </c>
      <c r="J10" s="10">
        <v>198.21641762903604</v>
      </c>
      <c r="K10" s="10">
        <v>239.44700683478672</v>
      </c>
      <c r="L10" s="10">
        <v>264.63848927645529</v>
      </c>
      <c r="M10" s="10">
        <v>248.93017440490217</v>
      </c>
      <c r="N10" s="10">
        <v>258.0925500824888</v>
      </c>
      <c r="O10" s="10">
        <v>329.72551496582605</v>
      </c>
      <c r="P10" s="10">
        <v>331.57739335375908</v>
      </c>
      <c r="Q10" s="10">
        <v>367.32372849399007</v>
      </c>
      <c r="R10" s="10">
        <v>256.25215413622436</v>
      </c>
      <c r="S10" s="10">
        <v>238.57463115720009</v>
      </c>
      <c r="T10" s="10">
        <v>214.7303770916804</v>
      </c>
      <c r="U10" s="10">
        <v>167.63731086495406</v>
      </c>
      <c r="V10" s="10">
        <v>67.464548668394997</v>
      </c>
      <c r="W10" s="10">
        <v>23.910294602875322</v>
      </c>
      <c r="X10" s="10">
        <v>1.6807918925288712</v>
      </c>
      <c r="Y10" s="10">
        <f t="shared" si="68"/>
        <v>4225.329999999999</v>
      </c>
      <c r="Z10" s="10">
        <f t="shared" si="12"/>
        <v>217.25790007070469</v>
      </c>
      <c r="AA10" s="10">
        <f t="shared" si="13"/>
        <v>113.56392976667452</v>
      </c>
      <c r="AB10" s="10">
        <f t="shared" si="0"/>
        <v>1337.5738369078483</v>
      </c>
      <c r="AC10" s="10">
        <f t="shared" si="14"/>
        <v>713.99795427763365</v>
      </c>
      <c r="AD10" s="14">
        <f t="shared" si="15"/>
        <v>0.31656079806970072</v>
      </c>
      <c r="AE10" s="14">
        <f t="shared" si="16"/>
        <v>0.16898040017646759</v>
      </c>
      <c r="AF10" s="10">
        <f t="shared" si="17"/>
        <v>743.10220834315339</v>
      </c>
      <c r="AL10" s="55"/>
      <c r="AM10" s="2">
        <v>5</v>
      </c>
      <c r="AN10" s="2">
        <f>AM10+1</f>
        <v>6</v>
      </c>
      <c r="AO10" s="2">
        <f t="shared" ref="AO10:BF10" si="116">AN10+1</f>
        <v>7</v>
      </c>
      <c r="AP10" s="2">
        <f t="shared" si="116"/>
        <v>8</v>
      </c>
      <c r="AQ10" s="2">
        <f t="shared" si="116"/>
        <v>9</v>
      </c>
      <c r="AR10" s="2">
        <f t="shared" si="116"/>
        <v>10</v>
      </c>
      <c r="AS10" s="2">
        <f t="shared" si="116"/>
        <v>11</v>
      </c>
      <c r="AT10" s="2">
        <f t="shared" si="116"/>
        <v>12</v>
      </c>
      <c r="AU10" s="2">
        <f t="shared" si="116"/>
        <v>13</v>
      </c>
      <c r="AV10" s="2">
        <f t="shared" si="116"/>
        <v>14</v>
      </c>
      <c r="AW10" s="2">
        <f t="shared" si="116"/>
        <v>15</v>
      </c>
      <c r="AX10" s="2">
        <f t="shared" si="116"/>
        <v>16</v>
      </c>
      <c r="AY10" s="2">
        <f t="shared" si="116"/>
        <v>17</v>
      </c>
      <c r="AZ10" s="2">
        <f t="shared" si="116"/>
        <v>18</v>
      </c>
      <c r="BA10" s="2">
        <f t="shared" si="116"/>
        <v>19</v>
      </c>
      <c r="BB10" s="2">
        <f t="shared" si="116"/>
        <v>20</v>
      </c>
      <c r="BC10" s="2">
        <f t="shared" si="116"/>
        <v>21</v>
      </c>
      <c r="BD10" s="2">
        <f t="shared" si="116"/>
        <v>22</v>
      </c>
      <c r="BE10" s="2">
        <f t="shared" si="116"/>
        <v>23</v>
      </c>
      <c r="BF10" s="2">
        <f t="shared" si="116"/>
        <v>24</v>
      </c>
      <c r="BH10" s="7" t="str">
        <f t="shared" si="19"/>
        <v>2035_2</v>
      </c>
      <c r="BI10" s="29">
        <f>BI9</f>
        <v>2035</v>
      </c>
      <c r="BJ10" s="4" t="s">
        <v>22</v>
      </c>
      <c r="BK10" s="10">
        <f>CM10*$AK$14</f>
        <v>73.481228911446195</v>
      </c>
      <c r="BL10" s="10">
        <f>IF(管理者入力シート!$B$14=1,BK7*管理者用人口入力シート!AM$4,IF(管理者入力シート!$B$14=2,BK7*管理者用人口入力シート!AM$8))</f>
        <v>87.578657823290911</v>
      </c>
      <c r="BM10" s="10">
        <f>IF(管理者入力シート!$B$14=1,BL7*管理者用人口入力シート!AN$4,IF(管理者入力シート!$B$14=2,BL7*管理者用人口入力シート!AN$8))</f>
        <v>104.57108526458431</v>
      </c>
      <c r="BN10" s="10">
        <f>IF(管理者入力シート!$B$14=1,BM7*管理者用人口入力シート!AO$4,IF(管理者入力シート!$B$14=2,BM7*管理者用人口入力シート!AO$8))</f>
        <v>114.94181023328852</v>
      </c>
      <c r="BO10" s="10">
        <f>IF(管理者入力シート!$B$14=1,BN7*管理者用人口入力シート!AP$4,IF(管理者入力シート!$B$14=2,BN7*管理者用人口入力シート!AP$8))</f>
        <v>85.15295159302778</v>
      </c>
      <c r="BP10" s="10">
        <f>IF(管理者入力シート!$B$14=1,BO7*管理者用人口入力シート!AQ$4,IF(管理者入力シート!$B$14=2,BO7*管理者用人口入力シート!AQ$8))</f>
        <v>91.395005913037721</v>
      </c>
      <c r="BQ10" s="10">
        <f>IF(管理者入力シート!$B$14=1,BP7*管理者用人口入力シート!AR$4,IF(管理者入力シート!$B$14=2,BP7*管理者用人口入力シート!AR$8))</f>
        <v>83.686515637119157</v>
      </c>
      <c r="BR10" s="10">
        <f>IF(管理者入力シート!$B$14=1,BQ7*管理者用人口入力シート!AS$4,IF(管理者入力シート!$B$14=2,BQ7*管理者用人口入力シート!AS$8))</f>
        <v>99.977645692131176</v>
      </c>
      <c r="BS10" s="10">
        <f>IF(管理者入力シート!$B$14=1,BR7*管理者用人口入力シート!AT$4,IF(管理者入力シート!$B$14=2,BR7*管理者用人口入力シート!AT$8))</f>
        <v>113.25761636656779</v>
      </c>
      <c r="BT10" s="10">
        <f>IF(管理者入力シート!$B$14=1,BS7*管理者用人口入力シート!AU$4,IF(管理者入力シート!$B$14=2,BS7*管理者用人口入力シート!AU$8))</f>
        <v>159.85044454993502</v>
      </c>
      <c r="BU10" s="10">
        <f>IF(管理者入力シート!$B$14=1,BT7*管理者用人口入力シート!AV$4,IF(管理者入力シート!$B$14=2,BT7*管理者用人口入力シート!AV$8))</f>
        <v>190.95552441660601</v>
      </c>
      <c r="BV10" s="10">
        <f>IF(管理者入力シート!$B$14=1,BU7*管理者用人口入力シート!AW$4,IF(管理者入力シート!$B$14=2,BU7*管理者用人口入力シート!AW$8))</f>
        <v>214.87428157938226</v>
      </c>
      <c r="BW10" s="10">
        <f>IF(管理者入力シート!$B$14=1,BV7*管理者用人口入力シート!AX$4,IF(管理者入力シート!$B$14=2,BV7*管理者用人口入力シート!AX$8))</f>
        <v>245.24479228244221</v>
      </c>
      <c r="BX10" s="10">
        <f>IF(管理者入力シート!$B$14=1,BW7*管理者用人口入力シート!AY$4,IF(管理者入力シート!$B$14=2,BW7*管理者用人口入力シート!AY$8))</f>
        <v>226.38464295697108</v>
      </c>
      <c r="BY10" s="10">
        <f>IF(管理者入力シート!$B$14=1,BX7*管理者用人口入力シート!AZ$4,IF(管理者入力シート!$B$14=2,BX7*管理者用人口入力シート!AZ$8))</f>
        <v>238.37117686221734</v>
      </c>
      <c r="BZ10" s="10">
        <f>IF(管理者入力シート!$B$14=1,BY7*管理者用人口入力シート!BA$4,IF(管理者入力シート!$B$14=2,BY7*管理者用人口入力シート!BA$8))</f>
        <v>296.43630989657476</v>
      </c>
      <c r="CA10" s="10">
        <f>IF(管理者入力シート!$B$14=1,BZ7*管理者用人口入力シート!BB$4,IF(管理者入力シート!$B$14=2,BZ7*管理者用人口入力シート!BB$8))</f>
        <v>272.41738454625948</v>
      </c>
      <c r="CB10" s="10">
        <f>IF(管理者入力シート!$B$14=1,CA7*管理者用人口入力シート!BC$4,IF(管理者入力シート!$B$14=2,CA7*管理者用人口入力シート!BC$8))</f>
        <v>243.24529100627865</v>
      </c>
      <c r="CC10" s="10">
        <f>IF(管理者入力シート!$B$14=1,CB7*管理者用人口入力シート!BD$4,IF(管理者入力シート!$B$14=2,CB7*管理者用人口入力シート!BD$8))</f>
        <v>97.025657050117132</v>
      </c>
      <c r="CD10" s="10">
        <f>IF(管理者入力シート!$B$14=1,CC7*管理者用人口入力シート!BE$4,IF(管理者入力シート!$B$14=2,CC7*管理者用人口入力シート!BE$8))</f>
        <v>37.544249200703824</v>
      </c>
      <c r="CE10" s="10">
        <f>IF(管理者入力シート!$B$14=1,CD7*管理者用人口入力シート!BF$4,IF(管理者入力シート!$B$14=2,CD7*管理者用人口入力シート!BF$8))</f>
        <v>6.1377336180352851</v>
      </c>
      <c r="CF10" s="10">
        <f t="shared" si="2"/>
        <v>3082.5300054000163</v>
      </c>
      <c r="CG10" s="10">
        <f t="shared" si="20"/>
        <v>115.28984585272514</v>
      </c>
      <c r="CH10" s="10">
        <f t="shared" si="21"/>
        <v>64.816796152491435</v>
      </c>
      <c r="CI10" s="10">
        <f t="shared" si="3"/>
        <v>1417.5624451371577</v>
      </c>
      <c r="CJ10" s="10">
        <f t="shared" si="22"/>
        <v>952.80662531796918</v>
      </c>
      <c r="CK10" s="14">
        <f t="shared" si="23"/>
        <v>0.4598697961265108</v>
      </c>
      <c r="CL10" s="14">
        <f t="shared" si="24"/>
        <v>0.3090988972204099</v>
      </c>
      <c r="CM10" s="10">
        <f t="shared" si="25"/>
        <v>360.21211883531589</v>
      </c>
      <c r="CO10" s="7" t="str">
        <f t="shared" si="26"/>
        <v>2035_2</v>
      </c>
      <c r="CP10" s="29">
        <f>CP9</f>
        <v>2035</v>
      </c>
      <c r="CQ10" s="4" t="s">
        <v>22</v>
      </c>
      <c r="CR10" s="10">
        <f>DT10*$AK$14+将来予測シート②!$H17</f>
        <v>75.779763269277282</v>
      </c>
      <c r="CS10" s="10">
        <f>IF(管理者入力シート!$B$14=1,CR7*管理者用人口入力シート!AM$4,IF(管理者入力シート!$B$14=2,CR7*管理者用人口入力シート!AM$8))+将来予測シート②!$H18</f>
        <v>89.477961799402152</v>
      </c>
      <c r="CT10" s="10">
        <f>IF(管理者入力シート!$B$14=1,CS7*管理者用人口入力シート!AN$4,IF(管理者入力シート!$B$14=2,CS7*管理者用人口入力シート!AN$8))+将来予測シート②!$H19</f>
        <v>106.6191704363066</v>
      </c>
      <c r="CU10" s="10">
        <f>IF(管理者入力シート!$B$14=1,CT7*管理者用人口入力シート!AO$4,IF(管理者入力シート!$B$14=2,CT7*管理者用人口入力シート!AO$8))+将来予測シート②!$H20</f>
        <v>115.81505468084407</v>
      </c>
      <c r="CV10" s="10">
        <f>IF(管理者入力シート!$B$14=1,CU7*管理者用人口入力シート!AP$4,IF(管理者入力シート!$B$14=2,CU7*管理者用人口入力シート!AP$8))+将来予測シート②!$H21</f>
        <v>85.703285270079633</v>
      </c>
      <c r="CW10" s="10">
        <f>IF(管理者入力シート!$B$14=1,CV7*管理者用人口入力シート!AQ$4,IF(管理者入力シート!$B$14=2,CV7*管理者用人口入力シート!AQ$8))+将来予測シート②!$H22</f>
        <v>93.395005913037721</v>
      </c>
      <c r="CX10" s="10">
        <f>IF(管理者入力シート!$B$14=1,CW7*管理者用人口入力シート!AR$4,IF(管理者入力シート!$B$14=2,CW7*管理者用人口入力シート!AR$8))+将来予測シート②!$H23</f>
        <v>85.58932288458459</v>
      </c>
      <c r="CY10" s="10">
        <f>IF(管理者入力シート!$B$14=1,CX7*管理者用人口入力シート!AS$4,IF(管理者入力シート!$B$14=2,CX7*管理者用人口入力シート!AS$8))+将来予測シート②!$H24</f>
        <v>101.89004627180522</v>
      </c>
      <c r="CZ10" s="10">
        <f>IF(管理者入力シート!$B$14=1,CY7*管理者用人口入力シート!AT$4,IF(管理者入力シート!$B$14=2,CY7*管理者用人口入力シート!AT$8))+将来予測シート②!$H25</f>
        <v>114.25761636656779</v>
      </c>
      <c r="DA10" s="10">
        <f>IF(管理者入力シート!$B$14=1,CZ7*管理者用人口入力シート!AU$4,IF(管理者入力シート!$B$14=2,CZ7*管理者用人口入力シート!AU$8))+将来予測シート②!$H26</f>
        <v>160.81540568413749</v>
      </c>
      <c r="DB10" s="10">
        <f>IF(管理者入力シート!$B$14=1,DA7*管理者用人口入力シート!AV$4,IF(管理者入力シート!$B$14=2,DA7*管理者用人口入力シート!AV$8))+将来予測シート②!$H27</f>
        <v>191.90213532367554</v>
      </c>
      <c r="DC10" s="10">
        <f>IF(管理者入力シート!$B$14=1,DB7*管理者用人口入力シート!AW$4,IF(管理者入力シート!$B$14=2,DB7*管理者用人口入力シート!AW$8))+将来予測シート②!$H28</f>
        <v>214.87428157938226</v>
      </c>
      <c r="DD10" s="10">
        <f>IF(管理者入力シート!$B$14=1,DC7*管理者用人口入力シート!AX$4,IF(管理者入力シート!$B$14=2,DC7*管理者用人口入力シート!AX$8))+将来予測シート②!$H29</f>
        <v>245.24479228244221</v>
      </c>
      <c r="DE10" s="10">
        <f>IF(管理者入力シート!$B$14=1,DD7*管理者用人口入力シート!AY$4,IF(管理者入力シート!$B$14=2,DD7*管理者用人口入力シート!AY$8))</f>
        <v>226.38464295697108</v>
      </c>
      <c r="DF10" s="10">
        <f>IF(管理者入力シート!$B$14=1,DE7*管理者用人口入力シート!AZ$4,IF(管理者入力シート!$B$14=2,DE7*管理者用人口入力シート!AZ$8))</f>
        <v>238.37117686221734</v>
      </c>
      <c r="DG10" s="10">
        <f>IF(管理者入力シート!$B$14=1,DF7*管理者用人口入力シート!BA$4,IF(管理者入力シート!$B$14=2,DF7*管理者用人口入力シート!BA$8))</f>
        <v>296.43630989657476</v>
      </c>
      <c r="DH10" s="10">
        <f>IF(管理者入力シート!$B$14=1,DG7*管理者用人口入力シート!BB$4,IF(管理者入力シート!$B$14=2,DG7*管理者用人口入力シート!BB$8))</f>
        <v>272.41738454625948</v>
      </c>
      <c r="DI10" s="10">
        <f>IF(管理者入力シート!$B$14=1,DH7*管理者用人口入力シート!BC$4,IF(管理者入力シート!$B$14=2,DH7*管理者用人口入力シート!BC$8))</f>
        <v>243.24529100627865</v>
      </c>
      <c r="DJ10" s="10">
        <f>IF(管理者入力シート!$B$14=1,DI7*管理者用人口入力シート!BD$4,IF(管理者入力シート!$B$14=2,DI7*管理者用人口入力シート!BD$8))</f>
        <v>97.025657050117132</v>
      </c>
      <c r="DK10" s="10">
        <f>IF(管理者入力シート!$B$14=1,DJ7*管理者用人口入力シート!BE$4,IF(管理者入力シート!$B$14=2,DJ7*管理者用人口入力シート!BE$8))</f>
        <v>37.544249200703824</v>
      </c>
      <c r="DL10" s="10">
        <f>IF(管理者入力シート!$B$14=1,DK7*管理者用人口入力シート!BF$4,IF(管理者入力シート!$B$14=2,DK7*管理者用人口入力シート!BF$8))</f>
        <v>6.1377336180352851</v>
      </c>
      <c r="DM10" s="10">
        <f t="shared" si="69"/>
        <v>3098.9262868986998</v>
      </c>
      <c r="DN10" s="10">
        <f t="shared" si="34"/>
        <v>117.65827934142526</v>
      </c>
      <c r="DO10" s="10">
        <f t="shared" si="35"/>
        <v>65.810679110691453</v>
      </c>
      <c r="DP10" s="10">
        <f t="shared" si="6"/>
        <v>1417.5624451371577</v>
      </c>
      <c r="DQ10" s="10">
        <f t="shared" si="36"/>
        <v>952.80662531796918</v>
      </c>
      <c r="DR10" s="14">
        <f t="shared" si="37"/>
        <v>0.45743664543754159</v>
      </c>
      <c r="DS10" s="14">
        <f t="shared" si="38"/>
        <v>0.30746346866853219</v>
      </c>
      <c r="DT10" s="10">
        <f t="shared" si="70"/>
        <v>366.57766033950713</v>
      </c>
      <c r="DV10" s="62" t="s">
        <v>405</v>
      </c>
      <c r="DW10" s="210">
        <f>((SUM(BL12:BL13)*3/5+SUM(BM12:BM13)+SUM(BN12:BN13)*1/5)-(SUM(E12:E13)*3/5+SUM(F12:F13)+SUM(G12:G13)*1/5))/4</f>
        <v>-68.400325553384675</v>
      </c>
      <c r="DX10" s="29">
        <f>DX9</f>
        <v>2035</v>
      </c>
      <c r="DY10" s="4" t="s">
        <v>22</v>
      </c>
      <c r="DZ10" s="10">
        <f>FB10*$AK$14</f>
        <v>180.8282371295314</v>
      </c>
      <c r="EA10" s="10">
        <f>IF(管理者入力シート!$B$14=1,DZ7*管理者用人口入力シート!AM$4,IF(管理者入力シート!$B$14=2,DZ7*管理者用人口入力シート!AM$8))</f>
        <v>182.73333917627303</v>
      </c>
      <c r="EB10" s="10">
        <f>IF(管理者入力シート!$B$14=1,EA7*管理者用人口入力シート!AN$4,IF(管理者入力シート!$B$14=2,EA7*管理者用人口入力シート!AN$8))</f>
        <v>104.57108526458431</v>
      </c>
      <c r="EC10" s="10">
        <f>IF(管理者入力シート!$B$14=1,EB7*管理者用人口入力シート!AO$4,IF(管理者入力シート!$B$14=2,EB7*管理者用人口入力シート!AO$8))</f>
        <v>114.94181023328852</v>
      </c>
      <c r="ED10" s="10">
        <f>IF(管理者入力シート!$B$14=1,EC7*管理者用人口入力シート!AP$4,IF(管理者入力シート!$B$14=2,EC7*管理者用人口入力シート!AP$8))</f>
        <v>85.15295159302778</v>
      </c>
      <c r="EE10" s="10">
        <f>IF(管理者入力シート!$B$14=1,ED7*管理者用人口入力シート!AQ$4,IF(管理者入力シート!$B$14=2,ED7*管理者用人口入力シート!AQ$8))+DX1</f>
        <v>180.39500591303772</v>
      </c>
      <c r="EF10" s="10">
        <f>IF(管理者入力シート!$B$14=1,EE7*管理者用人口入力シート!AR$4,IF(管理者入力シート!$B$14=2,EE7*管理者用人口入力シート!AR$8))+DX1</f>
        <v>257.36143814933115</v>
      </c>
      <c r="EG10" s="10">
        <f>IF(管理者入力シート!$B$14=1,EF7*管理者用人口入力シート!AS$4,IF(管理者入力シート!$B$14=2,EF7*管理者用人口入力シート!AS$8))+DX1</f>
        <v>363.52818039794982</v>
      </c>
      <c r="EH10" s="10">
        <f>IF(管理者入力シート!$B$14=1,EG7*管理者用人口入力シート!AT$4,IF(管理者入力シート!$B$14=2,EG7*管理者用人口入力シート!AT$8))</f>
        <v>286.74089308801251</v>
      </c>
      <c r="EI10" s="10">
        <f>IF(管理者入力シート!$B$14=1,EH7*管理者用人口入力シート!AU$4,IF(管理者入力シート!$B$14=2,EH7*管理者用人口入力シート!AU$8))</f>
        <v>243.34228499996766</v>
      </c>
      <c r="EJ10" s="10">
        <f>IF(管理者入力シート!$B$14=1,EI7*管理者用人口入力シート!AV$4,IF(管理者入力シート!$B$14=2,EI7*管理者用人口入力シート!AV$8))</f>
        <v>190.95552441660601</v>
      </c>
      <c r="EK10" s="10">
        <f>IF(管理者入力シート!$B$14=1,EJ7*管理者用人口入力シート!AW$4,IF(管理者入力シート!$B$14=2,EJ7*管理者用人口入力シート!AW$8))</f>
        <v>214.87428157938226</v>
      </c>
      <c r="EL10" s="10">
        <f>IF(管理者入力シート!$B$14=1,EK7*管理者用人口入力シート!AX$4,IF(管理者入力シート!$B$14=2,EK7*管理者用人口入力シート!AX$8))</f>
        <v>245.24479228244221</v>
      </c>
      <c r="EM10" s="10">
        <f>IF(管理者入力シート!$B$14=1,EL7*管理者用人口入力シート!AY$4,IF(管理者入力シート!$B$14=2,EL7*管理者用人口入力シート!AY$8))</f>
        <v>226.38464295697108</v>
      </c>
      <c r="EN10" s="10">
        <f>IF(管理者入力シート!$B$14=1,EM7*管理者用人口入力シート!AZ$4,IF(管理者入力シート!$B$14=2,EM7*管理者用人口入力シート!AZ$8))</f>
        <v>238.37117686221734</v>
      </c>
      <c r="EO10" s="10">
        <f>IF(管理者入力シート!$B$14=1,EN7*管理者用人口入力シート!BA$4,IF(管理者入力シート!$B$14=2,EN7*管理者用人口入力シート!BA$8))</f>
        <v>296.43630989657476</v>
      </c>
      <c r="EP10" s="10">
        <f>IF(管理者入力シート!$B$14=1,EO7*管理者用人口入力シート!BB$4,IF(管理者入力シート!$B$14=2,EO7*管理者用人口入力シート!BB$8))</f>
        <v>272.41738454625948</v>
      </c>
      <c r="EQ10" s="10">
        <f>IF(管理者入力シート!$B$14=1,EP7*管理者用人口入力シート!BC$4,IF(管理者入力シート!$B$14=2,EP7*管理者用人口入力シート!BC$8))</f>
        <v>243.24529100627865</v>
      </c>
      <c r="ER10" s="10">
        <f>IF(管理者入力シート!$B$14=1,EQ7*管理者用人口入力シート!BD$4,IF(管理者入力シート!$B$14=2,EQ7*管理者用人口入力シート!BD$8))</f>
        <v>97.025657050117132</v>
      </c>
      <c r="ES10" s="10">
        <f>IF(管理者入力シート!$B$14=1,ER7*管理者用人口入力シート!BE$4,IF(管理者入力シート!$B$14=2,ER7*管理者用人口入力シート!BE$8))</f>
        <v>37.544249200703824</v>
      </c>
      <c r="ET10" s="10">
        <f>IF(管理者入力シート!$B$14=1,ES7*管理者用人口入力シート!BF$4,IF(管理者入力シート!$B$14=2,ES7*管理者用人口入力シート!BF$8))</f>
        <v>6.1377336180352851</v>
      </c>
      <c r="EU10" s="10">
        <f t="shared" si="71"/>
        <v>4068.232269360592</v>
      </c>
      <c r="EV10" s="10">
        <f t="shared" si="41"/>
        <v>172.3826546645144</v>
      </c>
      <c r="EW10" s="10">
        <f t="shared" si="42"/>
        <v>64.816796152491435</v>
      </c>
      <c r="EX10" s="10">
        <f t="shared" si="10"/>
        <v>1417.5624451371577</v>
      </c>
      <c r="EY10" s="10">
        <f t="shared" si="43"/>
        <v>952.80662531796918</v>
      </c>
      <c r="EZ10" s="14">
        <f t="shared" si="44"/>
        <v>0.34844678260220313</v>
      </c>
      <c r="FA10" s="14">
        <f t="shared" si="45"/>
        <v>0.2342065453081229</v>
      </c>
      <c r="FB10" s="10">
        <f t="shared" si="72"/>
        <v>886.43757605334645</v>
      </c>
    </row>
    <row r="11" spans="1:158" x14ac:dyDescent="0.15">
      <c r="A11" s="7" t="str">
        <f t="shared" si="11"/>
        <v>2015_3</v>
      </c>
      <c r="B11" s="30">
        <v>2015</v>
      </c>
      <c r="C11" s="5" t="s">
        <v>23</v>
      </c>
      <c r="D11" s="11">
        <v>279.75771136967603</v>
      </c>
      <c r="E11" s="11">
        <v>337.20967028271781</v>
      </c>
      <c r="F11" s="11">
        <v>372.07682961304431</v>
      </c>
      <c r="G11" s="11">
        <v>403.38963903320962</v>
      </c>
      <c r="H11" s="11">
        <v>256.76636447288712</v>
      </c>
      <c r="I11" s="11">
        <v>323.18330661246631</v>
      </c>
      <c r="J11" s="11">
        <v>393.50976258450919</v>
      </c>
      <c r="K11" s="11">
        <v>463.04846522826642</v>
      </c>
      <c r="L11" s="11">
        <v>511.07598777742135</v>
      </c>
      <c r="M11" s="11">
        <v>469.18684144170072</v>
      </c>
      <c r="N11" s="11">
        <v>486.71948738955757</v>
      </c>
      <c r="O11" s="11">
        <v>619.37008335508631</v>
      </c>
      <c r="P11" s="11">
        <v>662.97877512994773</v>
      </c>
      <c r="Q11" s="11">
        <v>673.88513247808919</v>
      </c>
      <c r="R11" s="11">
        <v>462.48294185080829</v>
      </c>
      <c r="S11" s="11">
        <v>421.85778623503882</v>
      </c>
      <c r="T11" s="11">
        <v>378.47221834953643</v>
      </c>
      <c r="U11" s="11">
        <v>262.15602147367287</v>
      </c>
      <c r="V11" s="11">
        <v>86.44866779162669</v>
      </c>
      <c r="W11" s="11">
        <v>30.483055490303425</v>
      </c>
      <c r="X11" s="11">
        <v>2.5212520404335548</v>
      </c>
      <c r="Y11" s="11">
        <f t="shared" si="68"/>
        <v>7896.5800000000008</v>
      </c>
      <c r="Z11" s="11">
        <f t="shared" si="12"/>
        <v>425.57189993745726</v>
      </c>
      <c r="AA11" s="11">
        <f t="shared" si="13"/>
        <v>229.50865965185963</v>
      </c>
      <c r="AB11" s="11">
        <f t="shared" si="0"/>
        <v>2318.3070757095088</v>
      </c>
      <c r="AC11" s="11">
        <f t="shared" si="14"/>
        <v>1181.9390013806119</v>
      </c>
      <c r="AD11" s="15">
        <f t="shared" si="15"/>
        <v>0.29358368758494291</v>
      </c>
      <c r="AE11" s="15">
        <f t="shared" si="16"/>
        <v>0.14967732884117071</v>
      </c>
      <c r="AF11" s="11">
        <f t="shared" si="17"/>
        <v>1436.507898898129</v>
      </c>
      <c r="BH11" s="7" t="str">
        <f t="shared" si="19"/>
        <v>2035_3</v>
      </c>
      <c r="BI11" s="30">
        <f>BI10</f>
        <v>2035</v>
      </c>
      <c r="BJ11" s="5" t="s">
        <v>23</v>
      </c>
      <c r="BK11" s="16">
        <f>BK9+BK10</f>
        <v>156.57173372178926</v>
      </c>
      <c r="BL11" s="16">
        <f t="shared" ref="BL11" si="117">BL9+BL10</f>
        <v>182.12922725767805</v>
      </c>
      <c r="BM11" s="16">
        <f t="shared" ref="BM11" si="118">BM9+BM10</f>
        <v>211.99166540959146</v>
      </c>
      <c r="BN11" s="16">
        <f t="shared" ref="BN11" si="119">BN9+BN10</f>
        <v>227.96881550647385</v>
      </c>
      <c r="BO11" s="16">
        <f t="shared" ref="BO11" si="120">BO9+BO10</f>
        <v>158.71341588422797</v>
      </c>
      <c r="BP11" s="16">
        <f t="shared" ref="BP11" si="121">BP9+BP10</f>
        <v>165.73721951676521</v>
      </c>
      <c r="BQ11" s="16">
        <f t="shared" ref="BQ11" si="122">BQ9+BQ10</f>
        <v>184.10659017612193</v>
      </c>
      <c r="BR11" s="16">
        <f t="shared" ref="BR11" si="123">BR9+BR10</f>
        <v>217.69731855829212</v>
      </c>
      <c r="BS11" s="16">
        <f t="shared" ref="BS11" si="124">BS9+BS10</f>
        <v>241.5994667251193</v>
      </c>
      <c r="BT11" s="16">
        <f t="shared" ref="BT11" si="125">BT9+BT10</f>
        <v>317.80924309252623</v>
      </c>
      <c r="BU11" s="16">
        <f t="shared" ref="BU11" si="126">BU9+BU10</f>
        <v>376.04556916839908</v>
      </c>
      <c r="BV11" s="16">
        <f t="shared" ref="BV11" si="127">BV9+BV10</f>
        <v>409.79030581154012</v>
      </c>
      <c r="BW11" s="16">
        <f t="shared" ref="BW11" si="128">BW9+BW10</f>
        <v>460.32059738035161</v>
      </c>
      <c r="BX11" s="16">
        <f t="shared" ref="BX11" si="129">BX9+BX10</f>
        <v>409.39862016457357</v>
      </c>
      <c r="BY11" s="16">
        <f t="shared" ref="BY11" si="130">BY9+BY10</f>
        <v>426.12908862593781</v>
      </c>
      <c r="BZ11" s="16">
        <f t="shared" ref="BZ11" si="131">BZ9+BZ10</f>
        <v>521.96470652239771</v>
      </c>
      <c r="CA11" s="16">
        <f t="shared" ref="CA11" si="132">CA9+CA10</f>
        <v>486.46956153459701</v>
      </c>
      <c r="CB11" s="16">
        <f t="shared" ref="CB11" si="133">CB9+CB10</f>
        <v>389.72629898706015</v>
      </c>
      <c r="CC11" s="16">
        <f t="shared" ref="CC11" si="134">CC9+CC10</f>
        <v>148.51093197086621</v>
      </c>
      <c r="CD11" s="16">
        <f t="shared" ref="CD11" si="135">CD9+CD10</f>
        <v>56.34531020702093</v>
      </c>
      <c r="CE11" s="16">
        <f t="shared" ref="CE11" si="136">CE9+CE10</f>
        <v>6.1569291841087406</v>
      </c>
      <c r="CF11" s="11">
        <f t="shared" si="2"/>
        <v>5755.1826154054388</v>
      </c>
      <c r="CG11" s="11">
        <f t="shared" si="20"/>
        <v>236.47253560036171</v>
      </c>
      <c r="CH11" s="11">
        <f t="shared" si="21"/>
        <v>130.39042926513136</v>
      </c>
      <c r="CI11" s="11">
        <f t="shared" si="3"/>
        <v>2444.7014471965622</v>
      </c>
      <c r="CJ11" s="11">
        <f t="shared" si="22"/>
        <v>1609.1737384060509</v>
      </c>
      <c r="CK11" s="15">
        <f t="shared" si="23"/>
        <v>0.42478260214586411</v>
      </c>
      <c r="CL11" s="15">
        <f t="shared" si="24"/>
        <v>0.27960428815909755</v>
      </c>
      <c r="CM11" s="11">
        <f t="shared" si="25"/>
        <v>726.25454413540729</v>
      </c>
      <c r="CO11" s="7" t="str">
        <f t="shared" si="26"/>
        <v>2035_3</v>
      </c>
      <c r="CP11" s="30">
        <f>CP10</f>
        <v>2035</v>
      </c>
      <c r="CQ11" s="5" t="s">
        <v>23</v>
      </c>
      <c r="CR11" s="16">
        <f>CR9+CR10</f>
        <v>161.33861417159693</v>
      </c>
      <c r="CS11" s="16">
        <f t="shared" ref="CS11" si="137">CS9+CS10</f>
        <v>185.94700870063156</v>
      </c>
      <c r="CT11" s="16">
        <f t="shared" ref="CT11" si="138">CT9+CT10</f>
        <v>215.99188325394849</v>
      </c>
      <c r="CU11" s="16">
        <f t="shared" ref="CU11" si="139">CU9+CU10</f>
        <v>229.67797885049214</v>
      </c>
      <c r="CV11" s="16">
        <f t="shared" ref="CV11" si="140">CV9+CV10</f>
        <v>159.77603696792585</v>
      </c>
      <c r="CW11" s="16">
        <f t="shared" ref="CW11" si="141">CW9+CW10</f>
        <v>169.73721951676521</v>
      </c>
      <c r="CX11" s="16">
        <f t="shared" ref="CX11" si="142">CX9+CX10</f>
        <v>188.02735955756003</v>
      </c>
      <c r="CY11" s="16">
        <f t="shared" ref="CY11" si="143">CY9+CY10</f>
        <v>221.61327280766238</v>
      </c>
      <c r="CZ11" s="16">
        <f t="shared" ref="CZ11" si="144">CZ9+CZ10</f>
        <v>242.5994667251193</v>
      </c>
      <c r="DA11" s="16">
        <f t="shared" ref="DA11" si="145">DA9+DA10</f>
        <v>318.77420422672867</v>
      </c>
      <c r="DB11" s="16">
        <f t="shared" ref="DB11" si="146">DB9+DB10</f>
        <v>376.99218007546858</v>
      </c>
      <c r="DC11" s="16">
        <f t="shared" ref="DC11" si="147">DC9+DC10</f>
        <v>409.79030581154012</v>
      </c>
      <c r="DD11" s="16">
        <f t="shared" ref="DD11" si="148">DD9+DD10</f>
        <v>460.32059738035161</v>
      </c>
      <c r="DE11" s="16">
        <f t="shared" ref="DE11" si="149">DE9+DE10</f>
        <v>409.39862016457357</v>
      </c>
      <c r="DF11" s="16">
        <f t="shared" ref="DF11" si="150">DF9+DF10</f>
        <v>426.12908862593781</v>
      </c>
      <c r="DG11" s="16">
        <f t="shared" ref="DG11" si="151">DG9+DG10</f>
        <v>521.96470652239771</v>
      </c>
      <c r="DH11" s="16">
        <f t="shared" ref="DH11" si="152">DH9+DH10</f>
        <v>486.46956153459701</v>
      </c>
      <c r="DI11" s="16">
        <f t="shared" ref="DI11" si="153">DI9+DI10</f>
        <v>389.72629898706015</v>
      </c>
      <c r="DJ11" s="16">
        <f t="shared" ref="DJ11" si="154">DJ9+DJ10</f>
        <v>148.51093197086621</v>
      </c>
      <c r="DK11" s="16">
        <f t="shared" ref="DK11" si="155">DK9+DK10</f>
        <v>56.34531020702093</v>
      </c>
      <c r="DL11" s="16">
        <f t="shared" ref="DL11" si="156">DL9+DL10</f>
        <v>6.1569291841087406</v>
      </c>
      <c r="DM11" s="11">
        <f t="shared" si="69"/>
        <v>5785.2875752423543</v>
      </c>
      <c r="DN11" s="11">
        <f t="shared" si="34"/>
        <v>241.16333517274802</v>
      </c>
      <c r="DO11" s="11">
        <f t="shared" si="35"/>
        <v>132.33234907167781</v>
      </c>
      <c r="DP11" s="11">
        <f t="shared" si="6"/>
        <v>2444.7014471965622</v>
      </c>
      <c r="DQ11" s="11">
        <f t="shared" si="36"/>
        <v>1609.1737384060509</v>
      </c>
      <c r="DR11" s="15">
        <f t="shared" si="37"/>
        <v>0.42257215659571601</v>
      </c>
      <c r="DS11" s="15">
        <f t="shared" si="38"/>
        <v>0.2781493084790414</v>
      </c>
      <c r="DT11" s="11">
        <f t="shared" si="70"/>
        <v>739.15388884991341</v>
      </c>
      <c r="DW11" s="211"/>
      <c r="DX11" s="30">
        <f>DX10</f>
        <v>2035</v>
      </c>
      <c r="DY11" s="5" t="s">
        <v>23</v>
      </c>
      <c r="DZ11" s="16">
        <f>DZ9+DZ10</f>
        <v>385.30371650895586</v>
      </c>
      <c r="EA11" s="16">
        <f t="shared" ref="EA11" si="157">EA9+EA10</f>
        <v>380.01360931497322</v>
      </c>
      <c r="EB11" s="16">
        <f t="shared" ref="EB11" si="158">EB9+EB10</f>
        <v>211.99166540959146</v>
      </c>
      <c r="EC11" s="16">
        <f t="shared" ref="EC11" si="159">EC9+EC10</f>
        <v>227.96881550647385</v>
      </c>
      <c r="ED11" s="16">
        <f t="shared" ref="ED11" si="160">ED9+ED10</f>
        <v>158.71341588422797</v>
      </c>
      <c r="EE11" s="16">
        <f t="shared" ref="EE11" si="161">EE9+EE10</f>
        <v>343.73721951676521</v>
      </c>
      <c r="EF11" s="16">
        <f t="shared" ref="EF11" si="162">EF9+EF10</f>
        <v>536.58082765011818</v>
      </c>
      <c r="EG11" s="16">
        <f t="shared" ref="EG11" si="163">EG9+EG10</f>
        <v>747.77052209913745</v>
      </c>
      <c r="EH11" s="16">
        <f t="shared" ref="EH11" si="164">EH9+EH10</f>
        <v>588.56428626417141</v>
      </c>
      <c r="EI11" s="16">
        <f t="shared" ref="EI11" si="165">EI9+EI10</f>
        <v>486.2595996960066</v>
      </c>
      <c r="EJ11" s="16">
        <f t="shared" ref="EJ11" si="166">EJ9+EJ10</f>
        <v>376.04556916839908</v>
      </c>
      <c r="EK11" s="16">
        <f t="shared" ref="EK11" si="167">EK9+EK10</f>
        <v>409.79030581154012</v>
      </c>
      <c r="EL11" s="16">
        <f t="shared" ref="EL11" si="168">EL9+EL10</f>
        <v>460.32059738035161</v>
      </c>
      <c r="EM11" s="16">
        <f t="shared" ref="EM11" si="169">EM9+EM10</f>
        <v>409.39862016457357</v>
      </c>
      <c r="EN11" s="16">
        <f t="shared" ref="EN11" si="170">EN9+EN10</f>
        <v>426.12908862593781</v>
      </c>
      <c r="EO11" s="16">
        <f t="shared" ref="EO11" si="171">EO9+EO10</f>
        <v>521.96470652239771</v>
      </c>
      <c r="EP11" s="16">
        <f t="shared" ref="EP11" si="172">EP9+EP10</f>
        <v>486.46956153459701</v>
      </c>
      <c r="EQ11" s="16">
        <f t="shared" ref="EQ11" si="173">EQ9+EQ10</f>
        <v>389.72629898706015</v>
      </c>
      <c r="ER11" s="16">
        <f t="shared" ref="ER11" si="174">ER9+ER10</f>
        <v>148.51093197086621</v>
      </c>
      <c r="ES11" s="16">
        <f t="shared" ref="ES11" si="175">ES9+ES10</f>
        <v>56.34531020702093</v>
      </c>
      <c r="ET11" s="16">
        <f t="shared" ref="ET11" si="176">ET9+ET10</f>
        <v>6.1569291841087406</v>
      </c>
      <c r="EU11" s="11">
        <f t="shared" si="71"/>
        <v>7757.7615974072751</v>
      </c>
      <c r="EV11" s="11">
        <f t="shared" si="41"/>
        <v>355.20316483473886</v>
      </c>
      <c r="EW11" s="11">
        <f t="shared" si="42"/>
        <v>130.39042926513136</v>
      </c>
      <c r="EX11" s="11">
        <f t="shared" si="10"/>
        <v>2444.7014471965622</v>
      </c>
      <c r="EY11" s="11">
        <f t="shared" si="43"/>
        <v>1609.1737384060509</v>
      </c>
      <c r="EZ11" s="15">
        <f t="shared" si="44"/>
        <v>0.31512974670600952</v>
      </c>
      <c r="FA11" s="15">
        <f t="shared" si="45"/>
        <v>0.20742758309869352</v>
      </c>
      <c r="FB11" s="11">
        <f t="shared" si="72"/>
        <v>1786.8019851502488</v>
      </c>
    </row>
    <row r="12" spans="1:158" x14ac:dyDescent="0.15">
      <c r="A12" s="7" t="str">
        <f t="shared" si="11"/>
        <v>2020_1</v>
      </c>
      <c r="B12" s="28">
        <v>2020</v>
      </c>
      <c r="C12" s="3" t="s">
        <v>21</v>
      </c>
      <c r="D12" s="9">
        <v>142.01055007894786</v>
      </c>
      <c r="E12" s="9">
        <v>152.25653245028704</v>
      </c>
      <c r="F12" s="9">
        <v>147.97646208537259</v>
      </c>
      <c r="G12" s="9">
        <v>165.59942196413772</v>
      </c>
      <c r="H12" s="9">
        <v>119.82540152239275</v>
      </c>
      <c r="I12" s="9">
        <v>130.98175630977801</v>
      </c>
      <c r="J12" s="9">
        <v>166.66290289112456</v>
      </c>
      <c r="K12" s="9">
        <v>200.56454696489391</v>
      </c>
      <c r="L12" s="9">
        <v>218.46499271017973</v>
      </c>
      <c r="M12" s="9">
        <v>238.99441695049578</v>
      </c>
      <c r="N12" s="9">
        <v>208.90485198035077</v>
      </c>
      <c r="O12" s="9">
        <v>218.18630851517554</v>
      </c>
      <c r="P12" s="9">
        <v>290.7101880758504</v>
      </c>
      <c r="Q12" s="9">
        <v>312.07922424666816</v>
      </c>
      <c r="R12" s="9">
        <v>291.2049251583494</v>
      </c>
      <c r="S12" s="9">
        <v>190.97104263334927</v>
      </c>
      <c r="T12" s="9">
        <v>154.2258159607741</v>
      </c>
      <c r="U12" s="9">
        <v>107.26592257061446</v>
      </c>
      <c r="V12" s="9">
        <v>47.056076140811498</v>
      </c>
      <c r="W12" s="9">
        <v>7.9050781916406025</v>
      </c>
      <c r="X12" s="9">
        <v>0.84358259880580044</v>
      </c>
      <c r="Y12" s="9">
        <f t="shared" ref="Y12:Y14" si="177">SUM(D12:X12)</f>
        <v>3512.6900000000005</v>
      </c>
      <c r="Z12" s="9">
        <f>E12*3/5+F12*3/5</f>
        <v>180.13979672139578</v>
      </c>
      <c r="AA12" s="9">
        <f>F12*2/5+G12*1/5</f>
        <v>92.310469226976579</v>
      </c>
      <c r="AB12" s="9">
        <f t="shared" ref="AB12:AB14" si="178">SUM(Q12:X12)</f>
        <v>1111.5516675010133</v>
      </c>
      <c r="AC12" s="9">
        <f>SUM(S12:X12)</f>
        <v>508.26751809599574</v>
      </c>
      <c r="AD12" s="13">
        <f>AB12/Y12</f>
        <v>0.31643887376939417</v>
      </c>
      <c r="AE12" s="13">
        <f>AC12/Y12</f>
        <v>0.1446946693548237</v>
      </c>
      <c r="AF12" s="9">
        <f>SUM(H12:K12)</f>
        <v>618.03460768818923</v>
      </c>
      <c r="AK12" s="61">
        <f>管理者入力シート!B5</f>
        <v>2020</v>
      </c>
      <c r="AL12" s="62"/>
      <c r="BH12" s="7" t="str">
        <f t="shared" si="19"/>
        <v>2040_1</v>
      </c>
      <c r="BI12" s="28">
        <f>管理者入力シート!B11</f>
        <v>2040</v>
      </c>
      <c r="BJ12" s="3" t="s">
        <v>21</v>
      </c>
      <c r="BK12" s="9">
        <f>CM13*$AK$13</f>
        <v>73.757221760335767</v>
      </c>
      <c r="BL12" s="9">
        <f>IF(管理者入力シート!$B$14=1,BK9*管理者用人口入力シート!AM$3,IF(管理者入力シート!$B$14=2,BK9*管理者用人口入力シート!AM$7))</f>
        <v>83.886875519877222</v>
      </c>
      <c r="BM12" s="9">
        <f>IF(管理者入力シート!$B$14=1,BL9*管理者用人口入力シート!AN$3,IF(管理者入力シート!$B$14=2,BL9*管理者用人口入力シート!AN$7))</f>
        <v>89.170047041437471</v>
      </c>
      <c r="BN12" s="9">
        <f>IF(管理者入力シート!$B$14=1,BM9*管理者用人口入力シート!AO$3,IF(管理者入力シート!$B$14=2,BM9*管理者用人口入力シート!AO$7))</f>
        <v>89.794892812205802</v>
      </c>
      <c r="BO12" s="9">
        <f>IF(管理者入力シート!$B$14=1,BN9*管理者用人口入力シート!AP$3,IF(管理者入力シート!$B$14=2,BN9*管理者用人口入力シート!AP$7))</f>
        <v>69.267857991226364</v>
      </c>
      <c r="BP12" s="9">
        <f>IF(管理者入力シート!$B$14=1,BO9*管理者用人口入力シート!AQ$3,IF(管理者入力シート!$B$14=2,BO9*管理者用人口入力シート!AQ$7))</f>
        <v>72.139583488713441</v>
      </c>
      <c r="BQ12" s="9">
        <f>IF(管理者入力シート!$B$14=1,BP9*管理者用人口入力シート!AR$3,IF(管理者入力シート!$B$14=2,BP9*管理者用人口入力シート!AR$7))</f>
        <v>75.009886004015385</v>
      </c>
      <c r="BR12" s="9">
        <f>IF(管理者入力シート!$B$14=1,BQ9*管理者用人口入力シート!AS$3,IF(管理者入力シート!$B$14=2,BQ9*管理者用人口入力シート!AS$7))</f>
        <v>99.703064525645999</v>
      </c>
      <c r="BS12" s="9">
        <f>IF(管理者入力シート!$B$14=1,BR9*管理者用人口入力シート!AT$3,IF(管理者入力シート!$B$14=2,BR9*管理者用人口入力シート!AT$7))</f>
        <v>115.14247187626545</v>
      </c>
      <c r="BT12" s="9">
        <f>IF(管理者入力シート!$B$14=1,BS9*管理者用人口入力シート!AU$3,IF(管理者入力シート!$B$14=2,BS9*管理者用人口入力シート!AU$7))</f>
        <v>125.25604837376385</v>
      </c>
      <c r="BU12" s="9">
        <f>IF(管理者入力シート!$B$14=1,BT9*管理者用人口入力シート!AV$3,IF(管理者入力シート!$B$14=2,BT9*管理者用人口入力シート!AV$7))</f>
        <v>152.70589522274651</v>
      </c>
      <c r="BV12" s="9">
        <f>IF(管理者入力シート!$B$14=1,BU9*管理者用人口入力シート!AW$3,IF(管理者入力シート!$B$14=2,BU9*管理者用人口入力シート!AW$7))</f>
        <v>175.0275278451316</v>
      </c>
      <c r="BW12" s="9">
        <f>IF(管理者入力シート!$B$14=1,BV9*管理者用人口入力シート!AX$3,IF(管理者入力シート!$B$14=2,BV9*管理者用人口入力シート!AX$7))</f>
        <v>191.87397203367732</v>
      </c>
      <c r="BX12" s="9">
        <f>IF(管理者入力シート!$B$14=1,BW9*管理者用人口入力シート!AY$3,IF(管理者入力シート!$B$14=2,BW9*管理者用人口入力シート!AY$7))</f>
        <v>202.4116333621815</v>
      </c>
      <c r="BY12" s="9">
        <f>IF(管理者入力シート!$B$14=1,BX9*管理者用人口入力シート!AZ$3,IF(管理者入力シート!$B$14=2,BX9*管理者用人口入力シート!AZ$7))</f>
        <v>169.997516601645</v>
      </c>
      <c r="BZ12" s="9">
        <f>IF(管理者入力シート!$B$14=1,BY9*管理者用人口入力シート!BA$3,IF(管理者入力シート!$B$14=2,BY9*管理者用人口入力シート!BA$7))</f>
        <v>166.62378535378537</v>
      </c>
      <c r="CA12" s="9">
        <f>IF(管理者入力シート!$B$14=1,BZ9*管理者用人口入力シート!BB$3,IF(管理者入力シート!$B$14=2,BZ9*管理者用人口入力シート!BB$7))</f>
        <v>187.65448801182211</v>
      </c>
      <c r="CB12" s="9">
        <f>IF(管理者入力シート!$B$14=1,CA9*管理者用人口入力シート!BC$3,IF(管理者入力シート!$B$14=2,CA9*管理者用人口入力シート!BC$7))</f>
        <v>145.81620112846772</v>
      </c>
      <c r="CC12" s="9">
        <f>IF(管理者入力シート!$B$14=1,CB9*管理者用人口入力シート!BD$3,IF(管理者入力シート!$B$14=2,CB9*管理者用人口入力シート!BD$7))</f>
        <v>69.671150623411506</v>
      </c>
      <c r="CD12" s="9">
        <f>IF(管理者入力シート!$B$14=1,CC9*管理者用人口入力シート!BE$3,IF(管理者入力シート!$B$14=2,CC9*管理者用人口入力シート!BE$7))</f>
        <v>19.370932352032316</v>
      </c>
      <c r="CE12" s="9">
        <f>IF(管理者入力シート!$B$14=1,CD9*管理者用人口入力シート!BF$3,IF(管理者入力シート!$B$14=2,CD9*管理者用人口入力シート!BF$7))</f>
        <v>1.8801061006317111E-2</v>
      </c>
      <c r="CF12" s="9">
        <f t="shared" si="2"/>
        <v>2374.2998529893939</v>
      </c>
      <c r="CG12" s="9">
        <f t="shared" si="20"/>
        <v>103.83415353678882</v>
      </c>
      <c r="CH12" s="9">
        <f t="shared" si="21"/>
        <v>53.626997379016146</v>
      </c>
      <c r="CI12" s="9">
        <f t="shared" si="3"/>
        <v>961.5645084943518</v>
      </c>
      <c r="CJ12" s="9">
        <f t="shared" si="22"/>
        <v>589.1553585305254</v>
      </c>
      <c r="CK12" s="13">
        <f t="shared" si="23"/>
        <v>0.4049886568807563</v>
      </c>
      <c r="CL12" s="13">
        <f t="shared" si="24"/>
        <v>0.24813856505476403</v>
      </c>
      <c r="CM12" s="9">
        <f t="shared" si="25"/>
        <v>316.12039200960118</v>
      </c>
      <c r="CO12" s="7" t="str">
        <f t="shared" si="26"/>
        <v>2040_1</v>
      </c>
      <c r="CP12" s="28">
        <f>管理者入力シート!B11</f>
        <v>2040</v>
      </c>
      <c r="CQ12" s="3" t="s">
        <v>21</v>
      </c>
      <c r="CR12" s="9">
        <f>DT13*$AK$13+将来予測シート②!$G17</f>
        <v>76.339241960465387</v>
      </c>
      <c r="CS12" s="9">
        <f>IF(管理者入力シート!$B$14=1,CR9*管理者用人口入力シート!AM$3,IF(管理者入力シート!$B$14=2,CR9*管理者用人口入力シート!AM$7))+将来予測シート②!$G18</f>
        <v>86.378879170959152</v>
      </c>
      <c r="CT12" s="9">
        <f>IF(管理者入力シート!$B$14=1,CS9*管理者用人口入力シート!AN$3,IF(管理者入力シート!$B$14=2,CS9*管理者用人口入力シート!AN$7))+将来予測シート②!$G19</f>
        <v>91.979351067733973</v>
      </c>
      <c r="CU12" s="9">
        <f>IF(管理者入力シート!$B$14=1,CT9*管理者用人口入力シート!AO$3,IF(管理者入力シート!$B$14=2,CT9*管理者用人口入力シート!AO$7))+将来予測シート②!$G20</f>
        <v>91.426717401663566</v>
      </c>
      <c r="CV12" s="9">
        <f>IF(管理者入力シート!$B$14=1,CU9*管理者用人口入力シート!AP$3,IF(管理者入力シート!$B$14=2,CU9*管理者用人口入力シート!AP$7))+将来予測シート②!$G21</f>
        <v>69.780145397872374</v>
      </c>
      <c r="CW12" s="9">
        <f>IF(管理者入力シート!$B$14=1,CV9*管理者用人口入力シート!AQ$3,IF(管理者入力シート!$B$14=2,CV9*管理者用人口入力シート!AQ$7))+将来予測シート②!$G22</f>
        <v>74.641975643222708</v>
      </c>
      <c r="CX12" s="9">
        <f>IF(管理者入力シート!$B$14=1,CW9*管理者用人口入力シート!AR$3,IF(管理者入力シート!$B$14=2,CW9*管理者用人口入力シート!AR$7))+将来予測シート②!$G23</f>
        <v>77.027848137988073</v>
      </c>
      <c r="CY12" s="9">
        <f>IF(管理者入力シート!$B$14=1,CX9*管理者用人口入力シート!AS$3,IF(管理者入力シート!$B$14=2,CX9*管理者用人口入力シート!AS$7))+将来予測シート②!$G24</f>
        <v>101.70661819534223</v>
      </c>
      <c r="CZ12" s="9">
        <f>IF(管理者入力シート!$B$14=1,CY9*管理者用人口入力シート!AT$3,IF(管理者入力シート!$B$14=2,CY9*管理者用人口入力シート!AT$7))+将来予測シート②!$G25</f>
        <v>117.10216235491525</v>
      </c>
      <c r="DA12" s="9">
        <f>IF(管理者入力シート!$B$14=1,CZ9*管理者用人口入力シート!AU$3,IF(管理者入力シート!$B$14=2,CZ9*管理者用人口入力シート!AU$7))+将来予測シート②!$G26</f>
        <v>125.25604837376385</v>
      </c>
      <c r="DB12" s="9">
        <f>IF(管理者入力シート!$B$14=1,DA9*管理者用人口入力シート!AV$3,IF(管理者入力シート!$B$14=2,DA9*管理者用人口入力シート!AV$7))+将来予測シート②!$G27</f>
        <v>152.70589522274651</v>
      </c>
      <c r="DC12" s="9">
        <f>IF(管理者入力シート!$B$14=1,DB9*管理者用人口入力シート!AW$3,IF(管理者入力シート!$B$14=2,DB9*管理者用人口入力シート!AW$7))+将来予測シート②!$G28</f>
        <v>175.0275278451316</v>
      </c>
      <c r="DD12" s="9">
        <f>IF(管理者入力シート!$B$14=1,DC9*管理者用人口入力シート!AX$3,IF(管理者入力シート!$B$14=2,DC9*管理者用人口入力シート!AX$7))+将来予測シート②!$G29</f>
        <v>191.87397203367732</v>
      </c>
      <c r="DE12" s="9">
        <f>IF(管理者入力シート!$B$14=1,DD9*管理者用人口入力シート!AY$3,IF(管理者入力シート!$B$14=2,DD9*管理者用人口入力シート!AY$7))</f>
        <v>202.4116333621815</v>
      </c>
      <c r="DF12" s="9">
        <f>IF(管理者入力シート!$B$14=1,DE9*管理者用人口入力シート!AZ$3,IF(管理者入力シート!$B$14=2,DE9*管理者用人口入力シート!AZ$7))</f>
        <v>169.997516601645</v>
      </c>
      <c r="DG12" s="9">
        <f>IF(管理者入力シート!$B$14=1,DF9*管理者用人口入力シート!BA$3,IF(管理者入力シート!$B$14=2,DF9*管理者用人口入力シート!BA$7))</f>
        <v>166.62378535378537</v>
      </c>
      <c r="DH12" s="9">
        <f>IF(管理者入力シート!$B$14=1,DG9*管理者用人口入力シート!BB$3,IF(管理者入力シート!$B$14=2,DG9*管理者用人口入力シート!BB$7))</f>
        <v>187.65448801182211</v>
      </c>
      <c r="DI12" s="9">
        <f>IF(管理者入力シート!$B$14=1,DH9*管理者用人口入力シート!BC$3,IF(管理者入力シート!$B$14=2,DH9*管理者用人口入力シート!BC$7))</f>
        <v>145.81620112846772</v>
      </c>
      <c r="DJ12" s="9">
        <f>IF(管理者入力シート!$B$14=1,DI9*管理者用人口入力シート!BD$3,IF(管理者入力シート!$B$14=2,DI9*管理者用人口入力シート!BD$7))</f>
        <v>69.671150623411506</v>
      </c>
      <c r="DK12" s="9">
        <f>IF(管理者入力シート!$B$14=1,DJ9*管理者用人口入力シート!BE$3,IF(管理者入力シート!$B$14=2,DJ9*管理者用人口入力シート!BE$7))</f>
        <v>19.370932352032316</v>
      </c>
      <c r="DL12" s="9">
        <f>IF(管理者入力シート!$B$14=1,DK9*管理者用人口入力シート!BF$3,IF(管理者入力シート!$B$14=2,DK9*管理者用人口入力シート!BF$7))</f>
        <v>1.8801061006317111E-2</v>
      </c>
      <c r="DM12" s="9">
        <f t="shared" si="69"/>
        <v>2392.8108912998337</v>
      </c>
      <c r="DN12" s="9">
        <f t="shared" si="34"/>
        <v>107.01493814321586</v>
      </c>
      <c r="DO12" s="9">
        <f t="shared" si="35"/>
        <v>55.077083907426299</v>
      </c>
      <c r="DP12" s="9">
        <f t="shared" si="6"/>
        <v>961.5645084943518</v>
      </c>
      <c r="DQ12" s="9">
        <f t="shared" si="36"/>
        <v>589.1553585305254</v>
      </c>
      <c r="DR12" s="13">
        <f t="shared" si="37"/>
        <v>0.40185562176708678</v>
      </c>
      <c r="DS12" s="13">
        <f t="shared" si="38"/>
        <v>0.24621893885248983</v>
      </c>
      <c r="DT12" s="9">
        <f t="shared" si="70"/>
        <v>323.15658737442538</v>
      </c>
      <c r="DV12" s="212"/>
      <c r="DX12" s="28">
        <f>管理者入力シート!B11</f>
        <v>2040</v>
      </c>
      <c r="DY12" s="3" t="s">
        <v>21</v>
      </c>
      <c r="DZ12" s="9">
        <f>FB13*$AK$13</f>
        <v>195.14219632941717</v>
      </c>
      <c r="EA12" s="129">
        <f>IF(管理者入力シート!$B$14=1,DZ9*管理者用人口入力シート!AM$3,IF(管理者入力シート!$B$14=2,DZ9*管理者用人口入力シート!AM$7))</f>
        <v>206.43524942736693</v>
      </c>
      <c r="EB12" s="9">
        <f>IF(管理者入力シート!$B$14=1,EA9*管理者用人口入力シート!AN$3,IF(管理者入力シート!$B$14=2,EA9*管理者用人口入力シート!AN$7))</f>
        <v>186.053781313532</v>
      </c>
      <c r="EC12" s="9">
        <f>IF(管理者入力シート!$B$14=1,EB9*管理者用人口入力シート!AO$3,IF(管理者入力シート!$B$14=2,EB9*管理者用人口入力シート!AO$7))</f>
        <v>89.794892812205802</v>
      </c>
      <c r="ED12" s="9">
        <f>IF(管理者入力シート!$B$14=1,EC9*管理者用人口入力シート!AP$3,IF(管理者入力シート!$B$14=2,EC9*管理者用人口入力シート!AP$7))</f>
        <v>69.267857991226364</v>
      </c>
      <c r="EE12" s="9">
        <f>IF(管理者入力シート!$B$14=1,ED9*管理者用人口入力シート!AQ$3,IF(管理者入力シート!$B$14=2,ED9*管理者用人口入力シート!AQ$7))+DX1</f>
        <v>161.13958348871344</v>
      </c>
      <c r="EF12" s="9">
        <f>IF(管理者入力シート!$B$14=1,EE9*管理者用人口入力シート!AR$3,IF(管理者入力シート!$B$14=2,EE9*管理者用人口入力シート!AR$7))+DX1</f>
        <v>253.80920096579968</v>
      </c>
      <c r="EG12" s="9">
        <f>IF(管理者入力シート!$B$14=1,EF9*管理者用人口入力シート!AS$3,IF(管理者入力シート!$B$14=2,EF9*管理者用人口入力シート!AS$7))+DX1</f>
        <v>366.22573336067268</v>
      </c>
      <c r="EH12" s="9">
        <f>IF(管理者入力シート!$B$14=1,EG9*管理者用人口入力シート!AT$3,IF(管理者入力シート!$B$14=2,EG9*管理者用人口入力シート!AT$7))</f>
        <v>375.83024099378986</v>
      </c>
      <c r="EI12" s="9">
        <f>IF(管理者入力シート!$B$14=1,EH9*管理者用人口入力シート!AU$3,IF(管理者入力シート!$B$14=2,EH9*管理者用人口入力シート!AU$7))</f>
        <v>294.5664678387389</v>
      </c>
      <c r="EJ12" s="9">
        <f>IF(管理者入力シート!$B$14=1,EI9*管理者用人口入力シート!AV$3,IF(管理者入力シート!$B$14=2,EI9*管理者用人口入力シート!AV$7))</f>
        <v>234.83912480989267</v>
      </c>
      <c r="EK12" s="9">
        <f>IF(管理者入力シート!$B$14=1,EJ9*管理者用人口入力シート!AW$3,IF(管理者入力シート!$B$14=2,EJ9*管理者用人口入力シート!AW$7))</f>
        <v>175.0275278451316</v>
      </c>
      <c r="EL12" s="9">
        <f>IF(管理者入力シート!$B$14=1,EK9*管理者用人口入力シート!AX$3,IF(管理者入力シート!$B$14=2,EK9*管理者用人口入力シート!AX$7))</f>
        <v>191.87397203367732</v>
      </c>
      <c r="EM12" s="9">
        <f>IF(管理者入力シート!$B$14=1,EL9*管理者用人口入力シート!AY$3,IF(管理者入力シート!$B$14=2,EL9*管理者用人口入力シート!AY$7))</f>
        <v>202.4116333621815</v>
      </c>
      <c r="EN12" s="9">
        <f>IF(管理者入力シート!$B$14=1,EM9*管理者用人口入力シート!AZ$3,IF(管理者入力シート!$B$14=2,EM9*管理者用人口入力シート!AZ$7))</f>
        <v>169.997516601645</v>
      </c>
      <c r="EO12" s="9">
        <f>IF(管理者入力シート!$B$14=1,EN9*管理者用人口入力シート!BA$3,IF(管理者入力シート!$B$14=2,EN9*管理者用人口入力シート!BA$7))</f>
        <v>166.62378535378537</v>
      </c>
      <c r="EP12" s="9">
        <f>IF(管理者入力シート!$B$14=1,EO9*管理者用人口入力シート!BB$3,IF(管理者入力シート!$B$14=2,EO9*管理者用人口入力シート!BB$7))</f>
        <v>187.65448801182211</v>
      </c>
      <c r="EQ12" s="9">
        <f>IF(管理者入力シート!$B$14=1,EP9*管理者用人口入力シート!BC$3,IF(管理者入力シート!$B$14=2,EP9*管理者用人口入力シート!BC$7))</f>
        <v>145.81620112846772</v>
      </c>
      <c r="ER12" s="9">
        <f>IF(管理者入力シート!$B$14=1,EQ9*管理者用人口入力シート!BD$3,IF(管理者入力シート!$B$14=2,EQ9*管理者用人口入力シート!BD$7))</f>
        <v>69.671150623411506</v>
      </c>
      <c r="ES12" s="9">
        <f>IF(管理者入力シート!$B$14=1,ER9*管理者用人口入力シート!BE$3,IF(管理者入力シート!$B$14=2,ER9*管理者用人口入力シート!BE$7))</f>
        <v>19.370932352032316</v>
      </c>
      <c r="ET12" s="9">
        <f>IF(管理者入力シート!$B$14=1,ES9*管理者用人口入力シート!BF$3,IF(管理者入力シート!$B$14=2,ES9*管理者用人口入力シート!BF$7))</f>
        <v>1.8801061006317111E-2</v>
      </c>
      <c r="EU12" s="9">
        <f t="shared" si="71"/>
        <v>3761.570337704517</v>
      </c>
      <c r="EV12" s="9">
        <f t="shared" si="41"/>
        <v>235.49341844453937</v>
      </c>
      <c r="EW12" s="9">
        <f t="shared" si="42"/>
        <v>92.380491087853954</v>
      </c>
      <c r="EX12" s="9">
        <f t="shared" si="10"/>
        <v>961.5645084943518</v>
      </c>
      <c r="EY12" s="9">
        <f t="shared" si="43"/>
        <v>589.1553585305254</v>
      </c>
      <c r="EZ12" s="13">
        <f t="shared" si="44"/>
        <v>0.25562848017382617</v>
      </c>
      <c r="FA12" s="13">
        <f t="shared" si="45"/>
        <v>0.15662484165856516</v>
      </c>
      <c r="FB12" s="9">
        <f t="shared" si="72"/>
        <v>850.4423758064122</v>
      </c>
    </row>
    <row r="13" spans="1:158" x14ac:dyDescent="0.15">
      <c r="A13" s="7" t="str">
        <f t="shared" si="11"/>
        <v>2020_2</v>
      </c>
      <c r="B13" s="29">
        <v>2020</v>
      </c>
      <c r="C13" s="4" t="s">
        <v>22</v>
      </c>
      <c r="D13" s="10">
        <v>125.58727091633466</v>
      </c>
      <c r="E13" s="10">
        <v>156.10930278884462</v>
      </c>
      <c r="F13" s="10">
        <v>185.46159362549801</v>
      </c>
      <c r="G13" s="10">
        <v>155.86838645418328</v>
      </c>
      <c r="H13" s="10">
        <v>116.76472111553784</v>
      </c>
      <c r="I13" s="10">
        <v>121.8356374501992</v>
      </c>
      <c r="J13" s="10">
        <v>169.54139442231076</v>
      </c>
      <c r="K13" s="10">
        <v>207.49924302788844</v>
      </c>
      <c r="L13" s="10">
        <v>231.03617529880478</v>
      </c>
      <c r="M13" s="10">
        <v>257.26474103585656</v>
      </c>
      <c r="N13" s="10">
        <v>240.87454183266931</v>
      </c>
      <c r="O13" s="10">
        <v>252.16709163346613</v>
      </c>
      <c r="P13" s="10">
        <v>329.51513944223109</v>
      </c>
      <c r="Q13" s="10">
        <v>323.12069721115535</v>
      </c>
      <c r="R13" s="10">
        <v>353.62370517928287</v>
      </c>
      <c r="S13" s="10">
        <v>240.56245019920317</v>
      </c>
      <c r="T13" s="10">
        <v>219.66434262948206</v>
      </c>
      <c r="U13" s="10">
        <v>172.17675298804781</v>
      </c>
      <c r="V13" s="10">
        <v>93.55824701195219</v>
      </c>
      <c r="W13" s="10">
        <v>22.333924302788844</v>
      </c>
      <c r="X13" s="10">
        <v>6.4246414342629485</v>
      </c>
      <c r="Y13" s="10">
        <f t="shared" si="177"/>
        <v>3980.9900000000002</v>
      </c>
      <c r="Z13" s="10">
        <f t="shared" ref="Z13:Z14" si="179">E13*3/5+F13*3/5</f>
        <v>204.94253784860558</v>
      </c>
      <c r="AA13" s="10">
        <f t="shared" ref="AA13:AA14" si="180">F13*2/5+G13*1/5</f>
        <v>105.35831474103585</v>
      </c>
      <c r="AB13" s="10">
        <f t="shared" si="178"/>
        <v>1431.464760956175</v>
      </c>
      <c r="AC13" s="10">
        <f t="shared" ref="AC13:AC14" si="181">SUM(S13:X13)</f>
        <v>754.72035856573711</v>
      </c>
      <c r="AD13" s="14">
        <f t="shared" ref="AD13:AD14" si="182">AB13/Y13</f>
        <v>0.35957507076284417</v>
      </c>
      <c r="AE13" s="14">
        <f t="shared" ref="AE13:AE14" si="183">AC13/Y13</f>
        <v>0.1895810736941658</v>
      </c>
      <c r="AF13" s="10">
        <f t="shared" ref="AF13:AF14" si="184">SUM(H13:K13)</f>
        <v>615.64099601593625</v>
      </c>
      <c r="AI13" s="60" t="s">
        <v>47</v>
      </c>
      <c r="AJ13" s="1" t="s">
        <v>21</v>
      </c>
      <c r="AK13" s="8">
        <f>VLOOKUP(AK12&amp;"_1",A:D,4,FALSE)/VLOOKUP(AK12&amp;"_2",A:AF,32,FALSE)</f>
        <v>0.23067104204878491</v>
      </c>
      <c r="AL13" s="63"/>
      <c r="BH13" s="7" t="str">
        <f t="shared" si="19"/>
        <v>2040_2</v>
      </c>
      <c r="BI13" s="29">
        <f>BI12</f>
        <v>2040</v>
      </c>
      <c r="BJ13" s="4" t="s">
        <v>22</v>
      </c>
      <c r="BK13" s="10">
        <f>CM13*$AK$14</f>
        <v>65.227324210080909</v>
      </c>
      <c r="BL13" s="10">
        <f>IF(管理者入力シート!$B$14=1,BK10*管理者用人口入力シート!AM$4,IF(管理者入力シート!$B$14=2,BK10*管理者用人口入力シート!AM$8))</f>
        <v>77.701276797899425</v>
      </c>
      <c r="BM13" s="10">
        <f>IF(管理者入力シート!$B$14=1,BL10*管理者用人口入力シート!AN$4,IF(管理者入力シート!$B$14=2,BL10*管理者用人口入力シート!AN$8))</f>
        <v>86.804675413499496</v>
      </c>
      <c r="BN13" s="10">
        <f>IF(管理者入力シート!$B$14=1,BM10*管理者用人口入力シート!AO$4,IF(管理者入力シート!$B$14=2,BM10*管理者用人口入力シート!AO$8))</f>
        <v>91.316119582154911</v>
      </c>
      <c r="BO13" s="10">
        <f>IF(管理者入力シート!$B$14=1,BN10*管理者用人口入力シート!AP$4,IF(管理者入力シート!$B$14=2,BN10*管理者用人口入力シート!AP$8))</f>
        <v>72.438306650281334</v>
      </c>
      <c r="BP13" s="10">
        <f>IF(管理者入力シート!$B$14=1,BO10*管理者用人口入力シート!AQ$4,IF(管理者入力シート!$B$14=2,BO10*管理者用人口入力シート!AQ$8))</f>
        <v>76.250394407545301</v>
      </c>
      <c r="BQ13" s="10">
        <f>IF(管理者入力シート!$B$14=1,BP10*管理者用人口入力シート!AR$4,IF(管理者入力シート!$B$14=2,BP10*管理者用人口入力シート!AR$8))</f>
        <v>86.953539816737361</v>
      </c>
      <c r="BR13" s="10">
        <f>IF(管理者入力シート!$B$14=1,BQ10*管理者用人口入力シート!AS$4,IF(管理者入力シート!$B$14=2,BQ10*管理者用人口入力シート!AS$8))</f>
        <v>84.108435695999049</v>
      </c>
      <c r="BS13" s="10">
        <f>IF(管理者入力シート!$B$14=1,BR10*管理者用人口入力シート!AT$4,IF(管理者入力シート!$B$14=2,BR10*管理者用人口入力シート!AT$8))</f>
        <v>97.195713432046787</v>
      </c>
      <c r="BT13" s="10">
        <f>IF(管理者入力シート!$B$14=1,BS10*管理者用人口入力シート!AU$4,IF(管理者入力シート!$B$14=2,BS10*管理者用人口入力シート!AU$8))</f>
        <v>109.28919794614839</v>
      </c>
      <c r="BU13" s="10">
        <f>IF(管理者入力シート!$B$14=1,BT10*管理者用人口入力シート!AV$4,IF(管理者入力シート!$B$14=2,BT10*管理者用人口入力シート!AV$8))</f>
        <v>156.81064132800472</v>
      </c>
      <c r="BV13" s="10">
        <f>IF(管理者入力シート!$B$14=1,BU10*管理者用人口入力シート!AW$4,IF(管理者入力シート!$B$14=2,BU10*管理者用人口入力シート!AW$8))</f>
        <v>187.61397035875763</v>
      </c>
      <c r="BW13" s="10">
        <f>IF(管理者入力シート!$B$14=1,BV10*管理者用人口入力シート!AX$4,IF(管理者入力シート!$B$14=2,BV10*管理者用人口入力シート!AX$8))</f>
        <v>212.52466152043152</v>
      </c>
      <c r="BX13" s="10">
        <f>IF(管理者入力シート!$B$14=1,BW10*管理者用人口入力シート!AY$4,IF(管理者入力シート!$B$14=2,BW10*管理者用人口入力シート!AY$8))</f>
        <v>237.19089428791571</v>
      </c>
      <c r="BY13" s="10">
        <f>IF(管理者入力シート!$B$14=1,BX10*管理者用人口入力シート!AZ$4,IF(管理者入力シート!$B$14=2,BX10*管理者用人口入力シート!AZ$8))</f>
        <v>223.71194812883192</v>
      </c>
      <c r="BZ13" s="10">
        <f>IF(管理者入力シート!$B$14=1,BY10*管理者用人口入力シート!BA$4,IF(管理者入力シート!$B$14=2,BY10*管理者用人口入力シート!BA$8))</f>
        <v>224.37234689419265</v>
      </c>
      <c r="CA13" s="10">
        <f>IF(管理者入力シート!$B$14=1,BZ10*管理者用人口入力シート!BB$4,IF(管理者入力シート!$B$14=2,BZ10*管理者用人口入力シート!BB$8))</f>
        <v>268.68513090196939</v>
      </c>
      <c r="CB13" s="10">
        <f>IF(管理者入力シート!$B$14=1,CA10*管理者用人口入力シート!BC$4,IF(管理者入力シート!$B$14=2,CA10*管理者用人口入力シート!BC$8))</f>
        <v>219.63930740060079</v>
      </c>
      <c r="CC13" s="10">
        <f>IF(管理者入力シート!$B$14=1,CB10*管理者用人口入力シート!BD$4,IF(管理者入力シート!$B$14=2,CB10*管理者用人口入力シート!BD$8))</f>
        <v>134.25043888039488</v>
      </c>
      <c r="CD13" s="10">
        <f>IF(管理者入力シート!$B$14=1,CC10*管理者用人口入力シート!BE$4,IF(管理者入力シート!$B$14=2,CC10*管理者用人口入力シート!BE$8))</f>
        <v>37.266956976574185</v>
      </c>
      <c r="CE13" s="10">
        <f>IF(管理者入力シート!$B$14=1,CD10*管理者用人口入力シート!BF$4,IF(管理者入力シート!$B$14=2,CD10*管理者用人口入力シート!BF$8))</f>
        <v>6.3134730955665059</v>
      </c>
      <c r="CF13" s="10">
        <f t="shared" si="2"/>
        <v>2755.6647537256331</v>
      </c>
      <c r="CG13" s="10">
        <f t="shared" si="20"/>
        <v>98.703571326839352</v>
      </c>
      <c r="CH13" s="10">
        <f t="shared" si="21"/>
        <v>52.985094081830781</v>
      </c>
      <c r="CI13" s="10">
        <f t="shared" si="3"/>
        <v>1351.4304965660458</v>
      </c>
      <c r="CJ13" s="10">
        <f t="shared" si="22"/>
        <v>890.52765414929843</v>
      </c>
      <c r="CK13" s="14">
        <f t="shared" si="23"/>
        <v>0.49041905215027493</v>
      </c>
      <c r="CL13" s="14">
        <f t="shared" si="24"/>
        <v>0.32316255195604376</v>
      </c>
      <c r="CM13" s="10">
        <f t="shared" si="25"/>
        <v>319.75067657056303</v>
      </c>
      <c r="CO13" s="7" t="str">
        <f t="shared" si="26"/>
        <v>2040_2</v>
      </c>
      <c r="CP13" s="29">
        <f>CP12</f>
        <v>2040</v>
      </c>
      <c r="CQ13" s="4" t="s">
        <v>22</v>
      </c>
      <c r="CR13" s="10">
        <f>DT13*$AK$14+将来予測シート②!$H17</f>
        <v>67.626386458331751</v>
      </c>
      <c r="CS13" s="10">
        <f>IF(管理者入力シート!$B$14=1,CR10*管理者用人口入力シート!AM$4,IF(管理者入力シート!$B$14=2,CR10*管理者用人口入力シート!AM$8))+将来予測シート②!$H18</f>
        <v>80.131816637979526</v>
      </c>
      <c r="CT13" s="10">
        <f>IF(管理者入力シート!$B$14=1,CS10*管理者用人口入力シート!AN$4,IF(管理者入力シート!$B$14=2,CS10*管理者用人口入力シート!AN$8))+将来予測シート②!$H19</f>
        <v>89.687194160139384</v>
      </c>
      <c r="CU13" s="10">
        <f>IF(管理者入力シート!$B$14=1,CT10*管理者用人口入力シート!AO$4,IF(管理者入力シート!$B$14=2,CT10*管理者用人口入力シート!AO$8))+将来予測シート②!$H20</f>
        <v>93.10459858648224</v>
      </c>
      <c r="CV13" s="10">
        <f>IF(管理者入力シート!$B$14=1,CU10*管理者用人口入力シート!AP$4,IF(管理者入力シート!$B$14=2,CU10*管理者用人口入力シート!AP$8))+将来予測シート②!$H21</f>
        <v>72.988640327333215</v>
      </c>
      <c r="CW13" s="10">
        <f>IF(管理者入力シート!$B$14=1,CV10*管理者用人口入力シート!AQ$4,IF(管理者入力シート!$B$14=2,CV10*管理者用人口入力シート!AQ$8))+将来予測シート②!$H22</f>
        <v>78.743191887208866</v>
      </c>
      <c r="CX13" s="10">
        <f>IF(管理者入力シート!$B$14=1,CW10*管理者用人口入力シート!AR$4,IF(管理者入力シート!$B$14=2,CW10*管理者用人口入力シート!AR$8))+将来予測シート②!$H23</f>
        <v>88.856347064202794</v>
      </c>
      <c r="CY13" s="10">
        <f>IF(管理者入力シート!$B$14=1,CX10*管理者用人口入力シート!AS$4,IF(管理者入力シート!$B$14=2,CX10*管理者用人口入力シート!AS$8))+将来予測シート②!$H24</f>
        <v>86.020836275673091</v>
      </c>
      <c r="CZ13" s="10">
        <f>IF(管理者入力シート!$B$14=1,CY10*管理者用人口入力シート!AT$4,IF(管理者入力シート!$B$14=2,CY10*管理者用人口入力シート!AT$8))+将来予測シート②!$H25</f>
        <v>100.05490042752439</v>
      </c>
      <c r="DA13" s="10">
        <f>IF(管理者入力シート!$B$14=1,CZ10*管理者用人口入力シート!AU$4,IF(管理者入力シート!$B$14=2,CZ10*管理者用人口入力シート!AU$8))+将来予測シート②!$H26</f>
        <v>110.25415908035083</v>
      </c>
      <c r="DB13" s="10">
        <f>IF(管理者入力シート!$B$14=1,DA10*管理者用人口入力シート!AV$4,IF(管理者入力シート!$B$14=2,DA10*管理者用人口入力シート!AV$8))+将来予測シート②!$H27</f>
        <v>157.7572522350743</v>
      </c>
      <c r="DC13" s="10">
        <f>IF(管理者入力シート!$B$14=1,DB10*管理者用人口入力シート!AW$4,IF(管理者入力シート!$B$14=2,DB10*管理者用人口入力シート!AW$8))+将来予測シート②!$H28</f>
        <v>188.54401640588196</v>
      </c>
      <c r="DD13" s="10">
        <f>IF(管理者入力シート!$B$14=1,DC10*管理者用人口入力シート!AX$4,IF(管理者入力シート!$B$14=2,DC10*管理者用人口入力シート!AX$8))+将来予測シート②!$H29</f>
        <v>212.52466152043152</v>
      </c>
      <c r="DE13" s="10">
        <f>IF(管理者入力シート!$B$14=1,DD10*管理者用人口入力シート!AY$4,IF(管理者入力シート!$B$14=2,DD10*管理者用人口入力シート!AY$8))</f>
        <v>237.19089428791571</v>
      </c>
      <c r="DF13" s="10">
        <f>IF(管理者入力シート!$B$14=1,DE10*管理者用人口入力シート!AZ$4,IF(管理者入力シート!$B$14=2,DE10*管理者用人口入力シート!AZ$8))</f>
        <v>223.71194812883192</v>
      </c>
      <c r="DG13" s="10">
        <f>IF(管理者入力シート!$B$14=1,DF10*管理者用人口入力シート!BA$4,IF(管理者入力シート!$B$14=2,DF10*管理者用人口入力シート!BA$8))</f>
        <v>224.37234689419265</v>
      </c>
      <c r="DH13" s="10">
        <f>IF(管理者入力シート!$B$14=1,DG10*管理者用人口入力シート!BB$4,IF(管理者入力シート!$B$14=2,DG10*管理者用人口入力シート!BB$8))</f>
        <v>268.68513090196939</v>
      </c>
      <c r="DI13" s="10">
        <f>IF(管理者入力シート!$B$14=1,DH10*管理者用人口入力シート!BC$4,IF(管理者入力シート!$B$14=2,DH10*管理者用人口入力シート!BC$8))</f>
        <v>219.63930740060079</v>
      </c>
      <c r="DJ13" s="10">
        <f>IF(管理者入力シート!$B$14=1,DI10*管理者用人口入力シート!BD$4,IF(管理者入力シート!$B$14=2,DI10*管理者用人口入力シート!BD$8))</f>
        <v>134.25043888039488</v>
      </c>
      <c r="DK13" s="10">
        <f>IF(管理者入力シート!$B$14=1,DJ10*管理者用人口入力シート!BE$4,IF(管理者入力シート!$B$14=2,DJ10*管理者用人口入力シート!BE$8))</f>
        <v>37.266956976574185</v>
      </c>
      <c r="DL13" s="10">
        <f>IF(管理者入力シート!$B$14=1,DK10*管理者用人口入力シート!BF$4,IF(管理者入力シート!$B$14=2,DK10*管理者用人口入力シート!BF$8))</f>
        <v>6.3134730955665059</v>
      </c>
      <c r="DM13" s="10">
        <f t="shared" si="69"/>
        <v>2777.7244976326601</v>
      </c>
      <c r="DN13" s="10">
        <f t="shared" si="34"/>
        <v>101.89140647887135</v>
      </c>
      <c r="DO13" s="10">
        <f t="shared" si="35"/>
        <v>54.495797381352205</v>
      </c>
      <c r="DP13" s="10">
        <f t="shared" si="6"/>
        <v>1351.4304965660458</v>
      </c>
      <c r="DQ13" s="10">
        <f t="shared" si="36"/>
        <v>890.52765414929843</v>
      </c>
      <c r="DR13" s="14">
        <f t="shared" si="37"/>
        <v>0.4865243107146926</v>
      </c>
      <c r="DS13" s="14">
        <f t="shared" si="38"/>
        <v>0.32059610480026307</v>
      </c>
      <c r="DT13" s="10">
        <f t="shared" si="70"/>
        <v>326.60901555441797</v>
      </c>
      <c r="DV13" s="62"/>
      <c r="DX13" s="29">
        <f>DX12</f>
        <v>2040</v>
      </c>
      <c r="DY13" s="4" t="s">
        <v>22</v>
      </c>
      <c r="DZ13" s="10">
        <f>FB13*$AK$14</f>
        <v>172.57433242816612</v>
      </c>
      <c r="EA13" s="10">
        <f>IF(管理者入力シート!$B$14=1,DZ10*管理者用人口入力シート!AM$4,IF(管理者入力シート!$B$14=2,DZ10*管理者用人口入力シート!AM$8))</f>
        <v>191.21325424497971</v>
      </c>
      <c r="EB13" s="10">
        <f>IF(管理者入力シート!$B$14=1,EA10*管理者用人口入力シート!AN$4,IF(管理者入力シート!$B$14=2,EA10*管理者用人口入力シート!AN$8))</f>
        <v>181.11842072787371</v>
      </c>
      <c r="EC13" s="10">
        <f>IF(管理者入力シート!$B$14=1,EB10*管理者用人口入力シート!AO$4,IF(管理者入力シート!$B$14=2,EB10*管理者用人口入力シート!AO$8))</f>
        <v>91.316119582154911</v>
      </c>
      <c r="ED13" s="10">
        <f>IF(管理者入力シート!$B$14=1,EC10*管理者用人口入力シート!AP$4,IF(管理者入力シート!$B$14=2,EC10*管理者用人口入力シート!AP$8))</f>
        <v>72.438306650281334</v>
      </c>
      <c r="EE13" s="10">
        <f>IF(管理者入力シート!$B$14=1,ED10*管理者用人口入力シート!AQ$4,IF(管理者入力シート!$B$14=2,ED10*管理者用人口入力シート!AQ$8))+DX1</f>
        <v>165.25039440754529</v>
      </c>
      <c r="EF13" s="10">
        <f>IF(管理者入力シート!$B$14=1,EE10*管理者用人口入力シート!AR$4,IF(管理者入力シート!$B$14=2,EE10*管理者用人口入力シート!AR$8))+DX1</f>
        <v>260.62846232894935</v>
      </c>
      <c r="EG13" s="10">
        <f>IF(管理者入力シート!$B$14=1,EF10*管理者用人口入力シート!AS$4,IF(管理者入力シート!$B$14=2,EF10*管理者用人口入力シート!AS$8))+DX1</f>
        <v>347.65897040181767</v>
      </c>
      <c r="EH13" s="10">
        <f>IF(管理者入力シート!$B$14=1,EG10*管理者用人口入力シート!AT$4,IF(管理者入力シート!$B$14=2,EG10*管理者用人口入力シート!AT$8))</f>
        <v>353.41281145224531</v>
      </c>
      <c r="EI13" s="10">
        <f>IF(管理者入力シート!$B$14=1,EH10*管理者用人口入力シート!AU$4,IF(管理者入力シート!$B$14=2,EH10*管理者用人口入力シート!AU$8))</f>
        <v>276.69381741642991</v>
      </c>
      <c r="EJ13" s="10">
        <f>IF(管理者入力シート!$B$14=1,EI10*管理者用人口入力シート!AV$4,IF(管理者入力シート!$B$14=2,EI10*管理者用人口入力シート!AV$8))</f>
        <v>238.71475541093542</v>
      </c>
      <c r="EK13" s="10">
        <f>IF(管理者入力シート!$B$14=1,EJ10*管理者用人口入力シート!AW$4,IF(管理者入力シート!$B$14=2,EJ10*管理者用人口入力シート!AW$8))</f>
        <v>187.61397035875763</v>
      </c>
      <c r="EL13" s="10">
        <f>IF(管理者入力シート!$B$14=1,EK10*管理者用人口入力シート!AX$4,IF(管理者入力シート!$B$14=2,EK10*管理者用人口入力シート!AX$8))</f>
        <v>212.52466152043152</v>
      </c>
      <c r="EM13" s="10">
        <f>IF(管理者入力シート!$B$14=1,EL10*管理者用人口入力シート!AY$4,IF(管理者入力シート!$B$14=2,EL10*管理者用人口入力シート!AY$8))</f>
        <v>237.19089428791571</v>
      </c>
      <c r="EN13" s="10">
        <f>IF(管理者入力シート!$B$14=1,EM10*管理者用人口入力シート!AZ$4,IF(管理者入力シート!$B$14=2,EM10*管理者用人口入力シート!AZ$8))</f>
        <v>223.71194812883192</v>
      </c>
      <c r="EO13" s="10">
        <f>IF(管理者入力シート!$B$14=1,EN10*管理者用人口入力シート!BA$4,IF(管理者入力シート!$B$14=2,EN10*管理者用人口入力シート!BA$8))</f>
        <v>224.37234689419265</v>
      </c>
      <c r="EP13" s="10">
        <f>IF(管理者入力シート!$B$14=1,EO10*管理者用人口入力シート!BB$4,IF(管理者入力シート!$B$14=2,EO10*管理者用人口入力シート!BB$8))</f>
        <v>268.68513090196939</v>
      </c>
      <c r="EQ13" s="10">
        <f>IF(管理者入力シート!$B$14=1,EP10*管理者用人口入力シート!BC$4,IF(管理者入力シート!$B$14=2,EP10*管理者用人口入力シート!BC$8))</f>
        <v>219.63930740060079</v>
      </c>
      <c r="ER13" s="10">
        <f>IF(管理者入力シート!$B$14=1,EQ10*管理者用人口入力シート!BD$4,IF(管理者入力シート!$B$14=2,EQ10*管理者用人口入力シート!BD$8))</f>
        <v>134.25043888039488</v>
      </c>
      <c r="ES13" s="10">
        <f>IF(管理者入力シート!$B$14=1,ER10*管理者用人口入力シート!BE$4,IF(管理者入力シート!$B$14=2,ER10*管理者用人口入力シート!BE$8))</f>
        <v>37.266956976574185</v>
      </c>
      <c r="ET13" s="10">
        <f>IF(管理者入力シート!$B$14=1,ES10*管理者用人口入力シート!BF$4,IF(管理者入力シート!$B$14=2,ES10*管理者用人口入力シート!BF$8))</f>
        <v>6.3134730955665059</v>
      </c>
      <c r="EU13" s="10">
        <f t="shared" si="71"/>
        <v>4102.5887734966136</v>
      </c>
      <c r="EV13" s="10">
        <f t="shared" si="41"/>
        <v>223.39900498371208</v>
      </c>
      <c r="EW13" s="10">
        <f t="shared" si="42"/>
        <v>90.710592207580476</v>
      </c>
      <c r="EX13" s="10">
        <f t="shared" si="10"/>
        <v>1351.4304965660458</v>
      </c>
      <c r="EY13" s="10">
        <f t="shared" si="43"/>
        <v>890.52765414929843</v>
      </c>
      <c r="EZ13" s="14">
        <f t="shared" si="44"/>
        <v>0.32940920262262335</v>
      </c>
      <c r="FA13" s="14">
        <f t="shared" si="45"/>
        <v>0.21706481037101524</v>
      </c>
      <c r="FB13" s="10">
        <f t="shared" si="72"/>
        <v>845.97613378859364</v>
      </c>
    </row>
    <row r="14" spans="1:158" x14ac:dyDescent="0.15">
      <c r="A14" s="7" t="str">
        <f t="shared" si="11"/>
        <v>2020_3</v>
      </c>
      <c r="B14" s="30">
        <v>2020</v>
      </c>
      <c r="C14" s="5" t="s">
        <v>23</v>
      </c>
      <c r="D14" s="11">
        <v>267.59782099528252</v>
      </c>
      <c r="E14" s="11">
        <v>308.36583523913168</v>
      </c>
      <c r="F14" s="11">
        <v>333.43805571087057</v>
      </c>
      <c r="G14" s="11">
        <v>321.467808418321</v>
      </c>
      <c r="H14" s="11">
        <v>236.59012263793059</v>
      </c>
      <c r="I14" s="11">
        <v>252.81739375997722</v>
      </c>
      <c r="J14" s="11">
        <v>336.20429731343529</v>
      </c>
      <c r="K14" s="11">
        <v>408.06378999278235</v>
      </c>
      <c r="L14" s="11">
        <v>449.50116800898451</v>
      </c>
      <c r="M14" s="11">
        <v>496.25915798635231</v>
      </c>
      <c r="N14" s="11">
        <v>449.77939381302008</v>
      </c>
      <c r="O14" s="11">
        <v>470.35340014864164</v>
      </c>
      <c r="P14" s="11">
        <v>620.22532751808149</v>
      </c>
      <c r="Q14" s="11">
        <v>635.19992145782351</v>
      </c>
      <c r="R14" s="11">
        <v>644.82863033763226</v>
      </c>
      <c r="S14" s="11">
        <v>431.53349283255244</v>
      </c>
      <c r="T14" s="11">
        <v>373.89015859025619</v>
      </c>
      <c r="U14" s="11">
        <v>279.44267555866224</v>
      </c>
      <c r="V14" s="11">
        <v>140.61432315276369</v>
      </c>
      <c r="W14" s="11">
        <v>30.239002494429446</v>
      </c>
      <c r="X14" s="11">
        <v>7.2682240330687486</v>
      </c>
      <c r="Y14" s="11">
        <f t="shared" si="177"/>
        <v>7493.68</v>
      </c>
      <c r="Z14" s="11">
        <f t="shared" si="179"/>
        <v>385.08233457000131</v>
      </c>
      <c r="AA14" s="11">
        <f t="shared" si="180"/>
        <v>197.66878396801243</v>
      </c>
      <c r="AB14" s="11">
        <f t="shared" si="178"/>
        <v>2543.0164284571883</v>
      </c>
      <c r="AC14" s="11">
        <f t="shared" si="181"/>
        <v>1262.987876661733</v>
      </c>
      <c r="AD14" s="15">
        <f t="shared" si="182"/>
        <v>0.33935482012271517</v>
      </c>
      <c r="AE14" s="15">
        <f t="shared" si="183"/>
        <v>0.16854040693781067</v>
      </c>
      <c r="AF14" s="11">
        <f t="shared" si="184"/>
        <v>1233.6756037041255</v>
      </c>
      <c r="AI14" s="43"/>
      <c r="AJ14" s="1" t="s">
        <v>22</v>
      </c>
      <c r="AK14" s="8">
        <f>VLOOKUP(AK12&amp;"_2",A:D,4,FALSE)/VLOOKUP(AK12&amp;"_2",A:AF,32,FALSE)</f>
        <v>0.20399432742306159</v>
      </c>
      <c r="AL14" s="63"/>
      <c r="BH14" s="7" t="str">
        <f t="shared" si="19"/>
        <v>2040_3</v>
      </c>
      <c r="BI14" s="30">
        <f>BI13</f>
        <v>2040</v>
      </c>
      <c r="BJ14" s="5" t="s">
        <v>23</v>
      </c>
      <c r="BK14" s="16">
        <f>BK12+BK13</f>
        <v>138.98454597041666</v>
      </c>
      <c r="BL14" s="16">
        <f t="shared" ref="BL14" si="185">BL12+BL13</f>
        <v>161.58815231777663</v>
      </c>
      <c r="BM14" s="16">
        <f t="shared" ref="BM14" si="186">BM12+BM13</f>
        <v>175.97472245493697</v>
      </c>
      <c r="BN14" s="16">
        <f t="shared" ref="BN14" si="187">BN12+BN13</f>
        <v>181.11101239436073</v>
      </c>
      <c r="BO14" s="16">
        <f t="shared" ref="BO14" si="188">BO12+BO13</f>
        <v>141.70616464150771</v>
      </c>
      <c r="BP14" s="16">
        <f t="shared" ref="BP14" si="189">BP12+BP13</f>
        <v>148.38997789625876</v>
      </c>
      <c r="BQ14" s="16">
        <f t="shared" ref="BQ14" si="190">BQ12+BQ13</f>
        <v>161.96342582075275</v>
      </c>
      <c r="BR14" s="16">
        <f t="shared" ref="BR14" si="191">BR12+BR13</f>
        <v>183.81150022164505</v>
      </c>
      <c r="BS14" s="16">
        <f t="shared" ref="BS14" si="192">BS12+BS13</f>
        <v>212.33818530831223</v>
      </c>
      <c r="BT14" s="16">
        <f t="shared" ref="BT14" si="193">BT12+BT13</f>
        <v>234.54524631991222</v>
      </c>
      <c r="BU14" s="16">
        <f t="shared" ref="BU14" si="194">BU12+BU13</f>
        <v>309.5165365507512</v>
      </c>
      <c r="BV14" s="16">
        <f t="shared" ref="BV14" si="195">BV12+BV13</f>
        <v>362.64149820388923</v>
      </c>
      <c r="BW14" s="16">
        <f t="shared" ref="BW14" si="196">BW12+BW13</f>
        <v>404.39863355410887</v>
      </c>
      <c r="BX14" s="16">
        <f t="shared" ref="BX14" si="197">BX12+BX13</f>
        <v>439.60252765009722</v>
      </c>
      <c r="BY14" s="16">
        <f t="shared" ref="BY14" si="198">BY12+BY13</f>
        <v>393.70946473047695</v>
      </c>
      <c r="BZ14" s="16">
        <f t="shared" ref="BZ14" si="199">BZ12+BZ13</f>
        <v>390.99613224797804</v>
      </c>
      <c r="CA14" s="16">
        <f t="shared" ref="CA14" si="200">CA12+CA13</f>
        <v>456.33961891379147</v>
      </c>
      <c r="CB14" s="16">
        <f t="shared" ref="CB14" si="201">CB12+CB13</f>
        <v>365.45550852906854</v>
      </c>
      <c r="CC14" s="16">
        <f t="shared" ref="CC14" si="202">CC12+CC13</f>
        <v>203.92158950380639</v>
      </c>
      <c r="CD14" s="16">
        <f t="shared" ref="CD14" si="203">CD12+CD13</f>
        <v>56.637889328606505</v>
      </c>
      <c r="CE14" s="16">
        <f t="shared" ref="CE14" si="204">CE12+CE13</f>
        <v>6.3322741565728231</v>
      </c>
      <c r="CF14" s="11">
        <f t="shared" si="2"/>
        <v>5129.9646067150261</v>
      </c>
      <c r="CG14" s="11">
        <f t="shared" si="20"/>
        <v>202.53772486362817</v>
      </c>
      <c r="CH14" s="11">
        <f t="shared" si="21"/>
        <v>106.61209146084694</v>
      </c>
      <c r="CI14" s="11">
        <f t="shared" si="3"/>
        <v>2312.9950050603979</v>
      </c>
      <c r="CJ14" s="11">
        <f t="shared" si="22"/>
        <v>1479.6830126798238</v>
      </c>
      <c r="CK14" s="15">
        <f t="shared" si="23"/>
        <v>0.45087933005088016</v>
      </c>
      <c r="CL14" s="15">
        <f t="shared" si="24"/>
        <v>0.28843922446227932</v>
      </c>
      <c r="CM14" s="11">
        <f t="shared" si="25"/>
        <v>635.87106858016421</v>
      </c>
      <c r="CO14" s="7" t="str">
        <f t="shared" si="26"/>
        <v>2040_3</v>
      </c>
      <c r="CP14" s="30">
        <f>CP13</f>
        <v>2040</v>
      </c>
      <c r="CQ14" s="5" t="s">
        <v>23</v>
      </c>
      <c r="CR14" s="16">
        <f>CR12+CR13</f>
        <v>143.96562841879714</v>
      </c>
      <c r="CS14" s="16">
        <f t="shared" ref="CS14" si="205">CS12+CS13</f>
        <v>166.51069580893869</v>
      </c>
      <c r="CT14" s="16">
        <f t="shared" ref="CT14" si="206">CT12+CT13</f>
        <v>181.66654522787337</v>
      </c>
      <c r="CU14" s="16">
        <f t="shared" ref="CU14" si="207">CU12+CU13</f>
        <v>184.53131598814582</v>
      </c>
      <c r="CV14" s="16">
        <f t="shared" ref="CV14" si="208">CV12+CV13</f>
        <v>142.76878572520559</v>
      </c>
      <c r="CW14" s="16">
        <f t="shared" ref="CW14" si="209">CW12+CW13</f>
        <v>153.38516753043157</v>
      </c>
      <c r="CX14" s="16">
        <f t="shared" ref="CX14" si="210">CX12+CX13</f>
        <v>165.88419520219088</v>
      </c>
      <c r="CY14" s="16">
        <f t="shared" ref="CY14" si="211">CY12+CY13</f>
        <v>187.72745447101534</v>
      </c>
      <c r="CZ14" s="16">
        <f t="shared" ref="CZ14" si="212">CZ12+CZ13</f>
        <v>217.15706278243965</v>
      </c>
      <c r="DA14" s="16">
        <f t="shared" ref="DA14" si="213">DA12+DA13</f>
        <v>235.51020745411466</v>
      </c>
      <c r="DB14" s="16">
        <f t="shared" ref="DB14" si="214">DB12+DB13</f>
        <v>310.46314745782081</v>
      </c>
      <c r="DC14" s="16">
        <f t="shared" ref="DC14" si="215">DC12+DC13</f>
        <v>363.57154425101356</v>
      </c>
      <c r="DD14" s="16">
        <f t="shared" ref="DD14" si="216">DD12+DD13</f>
        <v>404.39863355410887</v>
      </c>
      <c r="DE14" s="16">
        <f t="shared" ref="DE14" si="217">DE12+DE13</f>
        <v>439.60252765009722</v>
      </c>
      <c r="DF14" s="16">
        <f t="shared" ref="DF14" si="218">DF12+DF13</f>
        <v>393.70946473047695</v>
      </c>
      <c r="DG14" s="16">
        <f t="shared" ref="DG14" si="219">DG12+DG13</f>
        <v>390.99613224797804</v>
      </c>
      <c r="DH14" s="16">
        <f t="shared" ref="DH14" si="220">DH12+DH13</f>
        <v>456.33961891379147</v>
      </c>
      <c r="DI14" s="16">
        <f t="shared" ref="DI14" si="221">DI12+DI13</f>
        <v>365.45550852906854</v>
      </c>
      <c r="DJ14" s="16">
        <f t="shared" ref="DJ14" si="222">DJ12+DJ13</f>
        <v>203.92158950380639</v>
      </c>
      <c r="DK14" s="16">
        <f t="shared" ref="DK14" si="223">DK12+DK13</f>
        <v>56.637889328606505</v>
      </c>
      <c r="DL14" s="16">
        <f t="shared" ref="DL14" si="224">DL12+DL13</f>
        <v>6.3322741565728231</v>
      </c>
      <c r="DM14" s="11">
        <f t="shared" si="69"/>
        <v>5170.5353889324933</v>
      </c>
      <c r="DN14" s="11">
        <f t="shared" si="34"/>
        <v>208.90634462208726</v>
      </c>
      <c r="DO14" s="11">
        <f t="shared" si="35"/>
        <v>109.57288128877852</v>
      </c>
      <c r="DP14" s="11">
        <f t="shared" si="6"/>
        <v>2312.9950050603979</v>
      </c>
      <c r="DQ14" s="11">
        <f t="shared" si="36"/>
        <v>1479.6830126798238</v>
      </c>
      <c r="DR14" s="15">
        <f t="shared" si="37"/>
        <v>0.44734149001500945</v>
      </c>
      <c r="DS14" s="15">
        <f t="shared" si="38"/>
        <v>0.28617597625326741</v>
      </c>
      <c r="DT14" s="11">
        <f t="shared" si="70"/>
        <v>649.76560292884335</v>
      </c>
      <c r="DX14" s="30">
        <f>DX13</f>
        <v>2040</v>
      </c>
      <c r="DY14" s="5" t="s">
        <v>23</v>
      </c>
      <c r="DZ14" s="16">
        <f>DZ12+DZ13</f>
        <v>367.71652875758332</v>
      </c>
      <c r="EA14" s="16">
        <f t="shared" ref="EA14" si="225">EA12+EA13</f>
        <v>397.64850367234664</v>
      </c>
      <c r="EB14" s="16">
        <f t="shared" ref="EB14" si="226">EB12+EB13</f>
        <v>367.17220204140574</v>
      </c>
      <c r="EC14" s="16">
        <f t="shared" ref="EC14" si="227">EC12+EC13</f>
        <v>181.11101239436073</v>
      </c>
      <c r="ED14" s="16">
        <f t="shared" ref="ED14" si="228">ED12+ED13</f>
        <v>141.70616464150771</v>
      </c>
      <c r="EE14" s="16">
        <f t="shared" ref="EE14" si="229">EE12+EE13</f>
        <v>326.38997789625876</v>
      </c>
      <c r="EF14" s="16">
        <f t="shared" ref="EF14" si="230">EF12+EF13</f>
        <v>514.43766329474897</v>
      </c>
      <c r="EG14" s="16">
        <f t="shared" ref="EG14" si="231">EG12+EG13</f>
        <v>713.88470376249029</v>
      </c>
      <c r="EH14" s="16">
        <f t="shared" ref="EH14" si="232">EH12+EH13</f>
        <v>729.24305244603511</v>
      </c>
      <c r="EI14" s="16">
        <f t="shared" ref="EI14" si="233">EI12+EI13</f>
        <v>571.26028525516881</v>
      </c>
      <c r="EJ14" s="16">
        <f t="shared" ref="EJ14" si="234">EJ12+EJ13</f>
        <v>473.55388022082809</v>
      </c>
      <c r="EK14" s="16">
        <f t="shared" ref="EK14" si="235">EK12+EK13</f>
        <v>362.64149820388923</v>
      </c>
      <c r="EL14" s="16">
        <f t="shared" ref="EL14" si="236">EL12+EL13</f>
        <v>404.39863355410887</v>
      </c>
      <c r="EM14" s="16">
        <f t="shared" ref="EM14" si="237">EM12+EM13</f>
        <v>439.60252765009722</v>
      </c>
      <c r="EN14" s="16">
        <f t="shared" ref="EN14" si="238">EN12+EN13</f>
        <v>393.70946473047695</v>
      </c>
      <c r="EO14" s="16">
        <f t="shared" ref="EO14" si="239">EO12+EO13</f>
        <v>390.99613224797804</v>
      </c>
      <c r="EP14" s="16">
        <f t="shared" ref="EP14" si="240">EP12+EP13</f>
        <v>456.33961891379147</v>
      </c>
      <c r="EQ14" s="16">
        <f t="shared" ref="EQ14" si="241">EQ12+EQ13</f>
        <v>365.45550852906854</v>
      </c>
      <c r="ER14" s="16">
        <f t="shared" ref="ER14" si="242">ER12+ER13</f>
        <v>203.92158950380639</v>
      </c>
      <c r="ES14" s="16">
        <f t="shared" ref="ES14" si="243">ES12+ES13</f>
        <v>56.637889328606505</v>
      </c>
      <c r="ET14" s="16">
        <f t="shared" ref="ET14" si="244">ET12+ET13</f>
        <v>6.3322741565728231</v>
      </c>
      <c r="EU14" s="11">
        <f t="shared" si="71"/>
        <v>7864.1591112011292</v>
      </c>
      <c r="EV14" s="11">
        <f t="shared" si="41"/>
        <v>458.89242342825139</v>
      </c>
      <c r="EW14" s="11">
        <f t="shared" si="42"/>
        <v>183.09108329543443</v>
      </c>
      <c r="EX14" s="11">
        <f t="shared" si="10"/>
        <v>2312.9950050603979</v>
      </c>
      <c r="EY14" s="11">
        <f t="shared" si="43"/>
        <v>1479.6830126798238</v>
      </c>
      <c r="EZ14" s="15">
        <f t="shared" si="44"/>
        <v>0.2941185411375945</v>
      </c>
      <c r="FA14" s="15">
        <f t="shared" si="45"/>
        <v>0.18815527404223958</v>
      </c>
      <c r="FB14" s="11">
        <f t="shared" si="72"/>
        <v>1696.4185095950056</v>
      </c>
    </row>
    <row r="15" spans="1:158" x14ac:dyDescent="0.15">
      <c r="A15" s="7" t="str">
        <f t="shared" ref="A15:A17" si="245">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6">SUM(D15:X15)</f>
        <v>0</v>
      </c>
      <c r="Z15" s="9">
        <f t="shared" ref="Z15:Z17" si="247">E15*3/5+F15*3/5</f>
        <v>0</v>
      </c>
      <c r="AA15" s="9">
        <f t="shared" ref="AA15:AA17" si="248">F15*2/5+G15*1/5</f>
        <v>0</v>
      </c>
      <c r="AB15" s="9">
        <f t="shared" si="0"/>
        <v>0</v>
      </c>
      <c r="AC15" s="9">
        <f t="shared" ref="AC15:AC17" si="249">SUM(S15:X15)</f>
        <v>0</v>
      </c>
      <c r="AD15" s="13" t="e">
        <f t="shared" ref="AD15:AD17" si="250">AB15/Y15</f>
        <v>#DIV/0!</v>
      </c>
      <c r="AE15" s="13" t="e">
        <f t="shared" ref="AE15:AE17" si="251">AC15/Y15</f>
        <v>#DIV/0!</v>
      </c>
      <c r="AF15" s="9">
        <f t="shared" si="17"/>
        <v>0</v>
      </c>
      <c r="BH15" s="7" t="str">
        <f t="shared" si="19"/>
        <v>2045_1</v>
      </c>
      <c r="BI15" s="28">
        <f>管理者入力シート!B12</f>
        <v>2045</v>
      </c>
      <c r="BJ15" s="3" t="s">
        <v>21</v>
      </c>
      <c r="BK15" s="9">
        <f>CM16*$AK$13</f>
        <v>65.130167259883777</v>
      </c>
      <c r="BL15" s="9">
        <f>IF(管理者入力シート!$B$14=1,BK12*管理者用人口入力シート!AM$3,IF(管理者入力シート!$B$14=2,BK12*管理者用人口入力シート!AM$7))</f>
        <v>74.464138768008524</v>
      </c>
      <c r="BM15" s="9">
        <f>IF(管理者入力シート!$B$14=1,BL12*管理者用人口入力シート!AN$3,IF(管理者入力シート!$B$14=2,BL12*管理者用人口入力シート!AN$7))</f>
        <v>79.113184415642294</v>
      </c>
      <c r="BN15" s="9">
        <f>IF(管理者入力シート!$B$14=1,BM12*管理者用人口入力シート!AO$3,IF(管理者入力シート!$B$14=2,BM12*管理者用人口入力シート!AO$7))</f>
        <v>74.538927320412441</v>
      </c>
      <c r="BO15" s="9">
        <f>IF(管理者入力シート!$B$14=1,BN12*管理者用人口入力シート!AP$3,IF(管理者入力シート!$B$14=2,BN12*管理者用人口入力シート!AP$7))</f>
        <v>55.030210422896893</v>
      </c>
      <c r="BP15" s="9">
        <f>IF(管理者入力シート!$B$14=1,BO12*管理者用人口入力シート!AQ$3,IF(管理者入力シート!$B$14=2,BO12*管理者用人口入力シート!AQ$7))</f>
        <v>67.929892406078679</v>
      </c>
      <c r="BQ15" s="9">
        <f>IF(管理者入力シート!$B$14=1,BP12*管理者用人口入力シート!AR$3,IF(管理者入力シート!$B$14=2,BP12*管理者用人口入力シート!AR$7))</f>
        <v>72.787473920392273</v>
      </c>
      <c r="BR15" s="9">
        <f>IF(管理者入力シート!$B$14=1,BQ12*管理者用人口入力シート!AS$3,IF(管理者入力シート!$B$14=2,BQ12*管理者用人口入力シート!AS$7))</f>
        <v>74.474307439544788</v>
      </c>
      <c r="BS15" s="9">
        <f>IF(管理者入力シート!$B$14=1,BR12*管理者用人口入力シート!AT$3,IF(管理者入力シート!$B$14=2,BR12*管理者用人口入力シート!AT$7))</f>
        <v>97.520295661827902</v>
      </c>
      <c r="BT15" s="9">
        <f>IF(管理者入力シート!$B$14=1,BS12*管理者用人口入力シート!AU$3,IF(管理者入力シート!$B$14=2,BS12*管理者用人口入力シート!AU$7))</f>
        <v>112.37403066043048</v>
      </c>
      <c r="BU15" s="9">
        <f>IF(管理者入力シート!$B$14=1,BT12*管理者用人口入力シート!AV$3,IF(管理者入力シート!$B$14=2,BT12*管理者用人口入力シート!AV$7))</f>
        <v>121.09067158941359</v>
      </c>
      <c r="BV15" s="9">
        <f>IF(管理者入力シート!$B$14=1,BU12*管理者用人口入力シート!AW$3,IF(管理者入力シート!$B$14=2,BU12*管理者用人口入力シート!AW$7))</f>
        <v>144.40395951093467</v>
      </c>
      <c r="BW15" s="9">
        <f>IF(管理者入力シート!$B$14=1,BV12*管理者用人口入力シート!AX$3,IF(管理者入力シート!$B$14=2,BV12*管理者用人口入力シート!AX$7))</f>
        <v>172.29587518612948</v>
      </c>
      <c r="BX15" s="9">
        <f>IF(管理者入力シート!$B$14=1,BW12*管理者用人口入力シート!AY$3,IF(管理者入力シート!$B$14=2,BW12*管理者用人口入力シート!AY$7))</f>
        <v>180.57597906629283</v>
      </c>
      <c r="BY15" s="9">
        <f>IF(管理者入力シート!$B$14=1,BX12*管理者用人口入力シート!AZ$3,IF(管理者入力シート!$B$14=2,BX12*管理者用人口入力シート!AZ$7))</f>
        <v>188.0155577615858</v>
      </c>
      <c r="BZ15" s="9">
        <f>IF(管理者入力シート!$B$14=1,BY12*管理者用人口入力シート!BA$3,IF(管理者入力シート!$B$14=2,BY12*管理者用人口入力シート!BA$7))</f>
        <v>150.8625093389129</v>
      </c>
      <c r="CA15" s="9">
        <f>IF(管理者入力シート!$B$14=1,BZ12*管理者用人口入力シート!BB$3,IF(管理者入力シート!$B$14=2,BZ12*管理者用人口入力シート!BB$7))</f>
        <v>138.64196969853415</v>
      </c>
      <c r="CB15" s="9">
        <f>IF(管理者入力シート!$B$14=1,CA12*管理者用人口入力シート!BC$3,IF(管理者入力シート!$B$14=2,CA12*管理者用人口入力シート!BC$7))</f>
        <v>127.83361959491936</v>
      </c>
      <c r="CC15" s="9">
        <f>IF(管理者入力シート!$B$14=1,CB12*管理者用人口入力シート!BD$3,IF(管理者入力シート!$B$14=2,CB12*管理者用人口入力シート!BD$7))</f>
        <v>69.354946775680574</v>
      </c>
      <c r="CD15" s="9">
        <f>IF(管理者入力シート!$B$14=1,CC12*管理者用人口入力シート!BE$3,IF(管理者入力シート!$B$14=2,CC12*管理者用人口入力シート!BE$7))</f>
        <v>26.21322596979002</v>
      </c>
      <c r="CE15" s="9">
        <f>IF(管理者入力シート!$B$14=1,CD12*管理者用人口入力シート!BF$3,IF(管理者入力シート!$B$14=2,CD12*管理者用人口入力シート!BF$7))</f>
        <v>1.9370932352032317E-2</v>
      </c>
      <c r="CF15" s="9">
        <f t="shared" ref="CF15:CF20" si="252">SUM(BK15:CE15)</f>
        <v>2092.6703136996634</v>
      </c>
      <c r="CG15" s="9">
        <f t="shared" ref="CG15:CG20" si="253">BL15*3/5+BM15*3/5</f>
        <v>92.146393910190483</v>
      </c>
      <c r="CH15" s="9">
        <f t="shared" ref="CH15:CH20" si="254">BM15*2/5+BN15*1/5</f>
        <v>46.553059230339407</v>
      </c>
      <c r="CI15" s="9">
        <f t="shared" ref="CI15:CI20" si="255">SUM(BX15:CE15)</f>
        <v>881.5171791380676</v>
      </c>
      <c r="CJ15" s="9">
        <f t="shared" ref="CJ15:CJ20" si="256">SUM(BZ15:CE15)</f>
        <v>512.92564231018901</v>
      </c>
      <c r="CK15" s="13">
        <f t="shared" ref="CK15:CK20" si="257">CI15/CF15</f>
        <v>0.42124035179703967</v>
      </c>
      <c r="CL15" s="13">
        <f t="shared" ref="CL15:CL20" si="258">CJ15/CF15</f>
        <v>0.24510580522518141</v>
      </c>
      <c r="CM15" s="9">
        <f t="shared" ref="CM15:CM20" si="259">SUM(BO15:BR15)</f>
        <v>270.22188418891267</v>
      </c>
      <c r="CO15" s="7" t="str">
        <f t="shared" si="26"/>
        <v>2045_1</v>
      </c>
      <c r="CP15" s="28">
        <f>管理者入力シート!B12</f>
        <v>2045</v>
      </c>
      <c r="CQ15" s="3" t="s">
        <v>21</v>
      </c>
      <c r="CR15" s="9">
        <f>DT16*$AK$13+将来予測シート②!$G17</f>
        <v>67.953387683460448</v>
      </c>
      <c r="CS15" s="9">
        <f>IF(管理者入力シート!$B$14=1,CR12*管理者用人口入力シート!AM$3,IF(管理者入力シート!$B$14=2,CR12*管理者用人口入力シート!AM$7))+将来予測シート②!$G18</f>
        <v>77.070906022732444</v>
      </c>
      <c r="CT15" s="9">
        <f>IF(管理者入力シート!$B$14=1,CS12*管理者用人口入力シート!AN$3,IF(管理者入力シート!$B$14=2,CS12*管理者用人口入力シート!AN$7))+将来予測シート②!$G19</f>
        <v>82.463377377183505</v>
      </c>
      <c r="CU15" s="9">
        <f>IF(管理者入力シート!$B$14=1,CT12*管理者用人口入力シート!AO$3,IF(管理者入力シート!$B$14=2,CT12*管理者用人口入力シート!AO$7))+将来予測シート②!$G20</f>
        <v>76.887277641902656</v>
      </c>
      <c r="CV15" s="9">
        <f>IF(管理者入力シート!$B$14=1,CU12*管理者用人口入力シート!AP$3,IF(管理者入力シート!$B$14=2,CU12*管理者用人口入力シート!AP$7))+将来予測シート②!$G21</f>
        <v>56.030263407189913</v>
      </c>
      <c r="CW15" s="9">
        <f>IF(管理者入力シート!$B$14=1,CV12*管理者用人口入力シート!AQ$3,IF(管理者入力シート!$B$14=2,CV12*管理者用人口入力シート!AQ$7))+将来予測シート②!$G22</f>
        <v>70.432284560587917</v>
      </c>
      <c r="CX15" s="9">
        <f>IF(管理者入力シート!$B$14=1,CW12*管理者用人口入力シート!AR$3,IF(管理者入力シート!$B$14=2,CW12*管理者用人口入力シート!AR$7))+将来予測シート②!$G23</f>
        <v>75.312340226467285</v>
      </c>
      <c r="CY15" s="9">
        <f>IF(管理者入力シート!$B$14=1,CX12*管理者用人口入力シート!AS$3,IF(管理者入力シート!$B$14=2,CX12*管理者用人口入力シート!AS$7))+将来予測シート②!$G24</f>
        <v>76.477861109241033</v>
      </c>
      <c r="CZ15" s="9">
        <f>IF(管理者入力シート!$B$14=1,CY12*管理者用人口入力シート!AT$3,IF(管理者入力シート!$B$14=2,CY12*管理者用人口入力シート!AT$7))+将来予測シート②!$G25</f>
        <v>99.47998614047772</v>
      </c>
      <c r="DA15" s="9">
        <f>IF(管理者入力シート!$B$14=1,CZ12*管理者用人口入力シート!AU$3,IF(管理者入力シート!$B$14=2,CZ12*管理者用人口入力シート!AU$7))+将来予測シート②!$G26</f>
        <v>114.28660309651121</v>
      </c>
      <c r="DB15" s="9">
        <f>IF(管理者入力シート!$B$14=1,DA12*管理者用人口入力シート!AV$3,IF(管理者入力シート!$B$14=2,DA12*管理者用人口入力シート!AV$7))+将来予測シート②!$G27</f>
        <v>121.09067158941359</v>
      </c>
      <c r="DC15" s="9">
        <f>IF(管理者入力シート!$B$14=1,DB12*管理者用人口入力シート!AW$3,IF(管理者入力シート!$B$14=2,DB12*管理者用人口入力シート!AW$7))+将来予測シート②!$G28</f>
        <v>144.40395951093467</v>
      </c>
      <c r="DD15" s="9">
        <f>IF(管理者入力シート!$B$14=1,DC12*管理者用人口入力シート!AX$3,IF(管理者入力シート!$B$14=2,DC12*管理者用人口入力シート!AX$7))+将来予測シート②!$G29</f>
        <v>172.29587518612948</v>
      </c>
      <c r="DE15" s="9">
        <f>IF(管理者入力シート!$B$14=1,DD12*管理者用人口入力シート!AY$3,IF(管理者入力シート!$B$14=2,DD12*管理者用人口入力シート!AY$7))</f>
        <v>180.57597906629283</v>
      </c>
      <c r="DF15" s="9">
        <f>IF(管理者入力シート!$B$14=1,DE12*管理者用人口入力シート!AZ$3,IF(管理者入力シート!$B$14=2,DE12*管理者用人口入力シート!AZ$7))</f>
        <v>188.0155577615858</v>
      </c>
      <c r="DG15" s="9">
        <f>IF(管理者入力シート!$B$14=1,DF12*管理者用人口入力シート!BA$3,IF(管理者入力シート!$B$14=2,DF12*管理者用人口入力シート!BA$7))</f>
        <v>150.8625093389129</v>
      </c>
      <c r="DH15" s="9">
        <f>IF(管理者入力シート!$B$14=1,DG12*管理者用人口入力シート!BB$3,IF(管理者入力シート!$B$14=2,DG12*管理者用人口入力シート!BB$7))</f>
        <v>138.64196969853415</v>
      </c>
      <c r="DI15" s="9">
        <f>IF(管理者入力シート!$B$14=1,DH12*管理者用人口入力シート!BC$3,IF(管理者入力シート!$B$14=2,DH12*管理者用人口入力シート!BC$7))</f>
        <v>127.83361959491936</v>
      </c>
      <c r="DJ15" s="9">
        <f>IF(管理者入力シート!$B$14=1,DI12*管理者用人口入力シート!BD$3,IF(管理者入力シート!$B$14=2,DI12*管理者用人口入力シート!BD$7))</f>
        <v>69.354946775680574</v>
      </c>
      <c r="DK15" s="9">
        <f>IF(管理者入力シート!$B$14=1,DJ12*管理者用人口入力シート!BE$3,IF(管理者入力シート!$B$14=2,DJ12*管理者用人口入力シート!BE$7))</f>
        <v>26.21322596979002</v>
      </c>
      <c r="DL15" s="9">
        <f>IF(管理者入力シート!$B$14=1,DK12*管理者用人口入力シート!BF$3,IF(管理者入力シート!$B$14=2,DK12*管理者用人口入力シート!BF$7))</f>
        <v>1.9370932352032317E-2</v>
      </c>
      <c r="DM15" s="9">
        <f t="shared" ref="DM15:DM20" si="260">SUM(CR15:DL15)</f>
        <v>2115.7019726903</v>
      </c>
      <c r="DN15" s="9">
        <f t="shared" ref="DN15:DN20" si="261">CS15*3/5+CT15*3/5</f>
        <v>95.720570039949564</v>
      </c>
      <c r="DO15" s="9">
        <f t="shared" ref="DO15:DO20" si="262">CT15*2/5+CU15*1/5</f>
        <v>48.362806479253933</v>
      </c>
      <c r="DP15" s="9">
        <f t="shared" ref="DP15:DP20" si="263">SUM(DE15:DL15)</f>
        <v>881.5171791380676</v>
      </c>
      <c r="DQ15" s="9">
        <f t="shared" ref="DQ15:DQ20" si="264">SUM(DG15:DL15)</f>
        <v>512.92564231018901</v>
      </c>
      <c r="DR15" s="13">
        <f t="shared" ref="DR15:DR20" si="265">DP15/DM15</f>
        <v>0.41665470397852938</v>
      </c>
      <c r="DS15" s="13">
        <f t="shared" ref="DS15:DS20" si="266">DQ15/DM15</f>
        <v>0.24243756867984539</v>
      </c>
      <c r="DT15" s="9">
        <f t="shared" ref="DT15:DT20" si="267">SUM(CV15:CY15)</f>
        <v>278.25274930348615</v>
      </c>
      <c r="DV15" s="62" t="s">
        <v>404</v>
      </c>
      <c r="DW15" s="211">
        <f>AK13+AK14</f>
        <v>0.43466536947184653</v>
      </c>
    </row>
    <row r="16" spans="1:158" ht="12.95" customHeight="1" x14ac:dyDescent="0.15">
      <c r="A16" s="7" t="str">
        <f t="shared" si="245"/>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6"/>
        <v>0</v>
      </c>
      <c r="Z16" s="10">
        <f t="shared" si="247"/>
        <v>0</v>
      </c>
      <c r="AA16" s="10">
        <f t="shared" si="248"/>
        <v>0</v>
      </c>
      <c r="AB16" s="10">
        <f t="shared" si="0"/>
        <v>0</v>
      </c>
      <c r="AC16" s="10">
        <f t="shared" si="249"/>
        <v>0</v>
      </c>
      <c r="AD16" s="14" t="e">
        <f t="shared" si="250"/>
        <v>#DIV/0!</v>
      </c>
      <c r="AE16" s="14" t="e">
        <f t="shared" si="251"/>
        <v>#DIV/0!</v>
      </c>
      <c r="AF16" s="10">
        <f t="shared" si="17"/>
        <v>0</v>
      </c>
      <c r="BH16" s="7" t="str">
        <f t="shared" si="19"/>
        <v>2045_2</v>
      </c>
      <c r="BI16" s="29">
        <f>BI15</f>
        <v>2045</v>
      </c>
      <c r="BJ16" s="4" t="s">
        <v>22</v>
      </c>
      <c r="BK16" s="10">
        <f>CM16*$AK$14</f>
        <v>57.597973924796271</v>
      </c>
      <c r="BL16" s="10">
        <f>IF(管理者入力シート!$B$14=1,BK13*管理者用人口入力シート!AM$4,IF(管理者入力シート!$B$14=2,BK13*管理者用人口入力シート!AM$8))</f>
        <v>68.973348000775488</v>
      </c>
      <c r="BM16" s="10">
        <f>IF(管理者入力シート!$B$14=1,BL13*管理者用人口入力シート!AN$4,IF(管理者入力シート!$B$14=2,BL13*管理者用人口入力シート!AN$8))</f>
        <v>77.01458642201753</v>
      </c>
      <c r="BN16" s="10">
        <f>IF(管理者入力シート!$B$14=1,BM13*管理者用人口入力シート!AO$4,IF(管理者入力シート!$B$14=2,BM13*管理者用人口入力シート!AO$8))</f>
        <v>75.801700826699104</v>
      </c>
      <c r="BO16" s="10">
        <f>IF(管理者入力シート!$B$14=1,BN13*管理者用人口入力シート!AP$4,IF(管理者入力シート!$B$14=2,BN13*管理者用人口入力シート!AP$8))</f>
        <v>57.548989866962941</v>
      </c>
      <c r="BP16" s="10">
        <f>IF(管理者入力シート!$B$14=1,BO13*管理者用人口入力シート!AQ$4,IF(管理者入力シート!$B$14=2,BO13*管理者用人口入力シート!AQ$8))</f>
        <v>64.865038133932586</v>
      </c>
      <c r="BQ16" s="10">
        <f>IF(管理者入力シート!$B$14=1,BP13*管理者用人口入力シート!AR$4,IF(管理者入力シート!$B$14=2,BP13*管理者用人口入力シート!AR$8))</f>
        <v>72.54490155038765</v>
      </c>
      <c r="BR16" s="10">
        <f>IF(管理者入力シート!$B$14=1,BQ13*管理者用人口入力シート!AS$4,IF(管理者入力シート!$B$14=2,BQ13*管理者用人口入力シート!AS$8))</f>
        <v>87.391931143703076</v>
      </c>
      <c r="BS16" s="10">
        <f>IF(管理者入力シート!$B$14=1,BR13*管理者用人口入力シート!AT$4,IF(管理者入力シート!$B$14=2,BR13*管理者用人口入力シート!AT$8))</f>
        <v>81.768072817996725</v>
      </c>
      <c r="BT16" s="10">
        <f>IF(管理者入力シート!$B$14=1,BS13*管理者用人口入力シート!AU$4,IF(管理者入力シート!$B$14=2,BS13*管理者用人口入力シート!AU$8))</f>
        <v>93.790085873003463</v>
      </c>
      <c r="BU16" s="10">
        <f>IF(管理者入力シート!$B$14=1,BT13*管理者用人口入力シート!AV$4,IF(管理者入力シート!$B$14=2,BT13*管理者用人口入力シート!AV$8))</f>
        <v>107.2108949612912</v>
      </c>
      <c r="BV16" s="10">
        <f>IF(管理者入力シート!$B$14=1,BU13*管理者用人口入力シート!AW$4,IF(管理者入力シート!$B$14=2,BU13*管理者用人口入力シート!AW$8))</f>
        <v>154.066592752064</v>
      </c>
      <c r="BW16" s="10">
        <f>IF(管理者入力シート!$B$14=1,BV13*管理者用人口入力シート!AX$4,IF(管理者入力シート!$B$14=2,BV13*管理者用人口入力シート!AX$8))</f>
        <v>185.56243797035742</v>
      </c>
      <c r="BX16" s="10">
        <f>IF(管理者入力シート!$B$14=1,BW13*管理者用人口入力シート!AY$4,IF(管理者入力シート!$B$14=2,BW13*管理者用人口入力シート!AY$8))</f>
        <v>205.54530049393699</v>
      </c>
      <c r="BY16" s="10">
        <f>IF(管理者入力シート!$B$14=1,BX13*管理者用人口入力シート!AZ$4,IF(管理者入力シート!$B$14=2,BX13*管理者用人口入力シート!AZ$8))</f>
        <v>234.39062096475789</v>
      </c>
      <c r="BZ16" s="10">
        <f>IF(管理者入力シート!$B$14=1,BY13*管理者用人口入力シート!BA$4,IF(管理者入力シート!$B$14=2,BY13*管理者用人口入力シート!BA$8))</f>
        <v>210.57401104728092</v>
      </c>
      <c r="CA16" s="10">
        <f>IF(管理者入力シート!$B$14=1,BZ13*管理者用人口入力シート!BB$4,IF(管理者入力シート!$B$14=2,BZ13*管理者用人口入力シート!BB$8))</f>
        <v>203.36750722973701</v>
      </c>
      <c r="CB16" s="10">
        <f>IF(管理者入力シート!$B$14=1,CA13*管理者用人口入力シート!BC$4,IF(管理者入力シート!$B$14=2,CA13*管理者用人口入力シート!BC$8))</f>
        <v>216.63013966029439</v>
      </c>
      <c r="CC16" s="10">
        <f>IF(管理者入力シート!$B$14=1,CB13*管理者用人口入力シート!BD$4,IF(管理者入力シート!$B$14=2,CB13*管理者用人口入力シート!BD$8))</f>
        <v>121.22197018463764</v>
      </c>
      <c r="CD16" s="10">
        <f>IF(管理者入力シート!$B$14=1,CC13*管理者用人口入力シート!BE$4,IF(管理者入力シート!$B$14=2,CC13*管理者用人口入力シート!BE$8))</f>
        <v>51.564766289164119</v>
      </c>
      <c r="CE16" s="10">
        <f>IF(管理者入力シート!$B$14=1,CD13*管理者用人口入力シート!BF$4,IF(管理者入力シート!$B$14=2,CD13*管理者用人口入力シート!BF$8))</f>
        <v>6.2668433977053635</v>
      </c>
      <c r="CF16" s="10">
        <f t="shared" si="252"/>
        <v>2433.6977135115021</v>
      </c>
      <c r="CG16" s="10">
        <f t="shared" si="253"/>
        <v>87.592760653675811</v>
      </c>
      <c r="CH16" s="10">
        <f t="shared" si="254"/>
        <v>45.966174734146833</v>
      </c>
      <c r="CI16" s="10">
        <f t="shared" si="255"/>
        <v>1249.5611592675143</v>
      </c>
      <c r="CJ16" s="10">
        <f t="shared" si="256"/>
        <v>809.62523780881941</v>
      </c>
      <c r="CK16" s="14">
        <f t="shared" si="257"/>
        <v>0.51344139920506549</v>
      </c>
      <c r="CL16" s="14">
        <f t="shared" si="258"/>
        <v>0.33267288427560621</v>
      </c>
      <c r="CM16" s="10">
        <f t="shared" si="259"/>
        <v>282.35086069498624</v>
      </c>
      <c r="CO16" s="7" t="str">
        <f t="shared" si="26"/>
        <v>2045_2</v>
      </c>
      <c r="CP16" s="29">
        <f>CP15</f>
        <v>2045</v>
      </c>
      <c r="CQ16" s="4" t="s">
        <v>22</v>
      </c>
      <c r="CR16" s="10">
        <f>DT16*$AK$14+将来予測シート②!$H17</f>
        <v>60.210341999904948</v>
      </c>
      <c r="CS16" s="10">
        <f>IF(管理者入力シート!$B$14=1,CR13*管理者用人口入力シート!AM$4,IF(管理者入力シート!$B$14=2,CR13*管理者用人口入力シート!AM$8))+将来予測シート②!$H18</f>
        <v>71.510189076628706</v>
      </c>
      <c r="CT16" s="10">
        <f>IF(管理者入力シート!$B$14=1,CS13*管理者用人口入力シート!AN$4,IF(管理者入力シート!$B$14=2,CS13*管理者用人口入力シート!AN$8))+将来予測シート②!$H19</f>
        <v>80.423646199154504</v>
      </c>
      <c r="CU16" s="10">
        <f>IF(管理者入力シート!$B$14=1,CT13*管理者用人口入力シート!AO$4,IF(管理者入力シート!$B$14=2,CT13*管理者用人口入力シート!AO$8))+将来予測シート②!$H20</f>
        <v>78.318844317177124</v>
      </c>
      <c r="CV16" s="10">
        <f>IF(管理者入力シート!$B$14=1,CU13*管理者用人口入力シート!AP$4,IF(管理者入力シート!$B$14=2,CU13*管理者用人口入力シート!AP$8))+将来予測シート②!$H21</f>
        <v>58.676120110432279</v>
      </c>
      <c r="CW16" s="10">
        <f>IF(管理者入力シート!$B$14=1,CV13*管理者用人口入力シート!AQ$4,IF(管理者入力シート!$B$14=2,CV13*管理者用人口入力シート!AQ$8))+将来予測シート②!$H22</f>
        <v>67.357835613596194</v>
      </c>
      <c r="CX16" s="10">
        <f>IF(管理者入力シート!$B$14=1,CW13*管理者用人口入力シート!AR$4,IF(管理者入力シート!$B$14=2,CW13*管理者用人口入力シート!AR$8))+将来予測シート②!$H23</f>
        <v>74.916558105771344</v>
      </c>
      <c r="CY16" s="10">
        <f>IF(管理者入力シート!$B$14=1,CX13*管理者用人口入力シート!AS$4,IF(管理者入力シート!$B$14=2,CX13*管理者用人口入力シート!AS$8))+将来予測シート②!$H24</f>
        <v>89.304331723377103</v>
      </c>
      <c r="CZ16" s="10">
        <f>IF(管理者入力シート!$B$14=1,CY13*管理者用人口入力シート!AT$4,IF(管理者入力シート!$B$14=2,CY13*管理者用人口入力シート!AT$8))+将来予測シート②!$H25</f>
        <v>84.627259813474325</v>
      </c>
      <c r="DA16" s="10">
        <f>IF(管理者入力シート!$B$14=1,CZ13*管理者用人口入力シート!AU$4,IF(管理者入力シート!$B$14=2,CZ13*管理者用人口入力シート!AU$8))+将来予測シート②!$H26</f>
        <v>96.549090199056394</v>
      </c>
      <c r="DB16" s="10">
        <f>IF(管理者入力シート!$B$14=1,DA13*管理者用人口入力シート!AV$4,IF(管理者入力シート!$B$14=2,DA13*管理者用人口入力シート!AV$8))+将来予測シート②!$H27</f>
        <v>108.15750586836074</v>
      </c>
      <c r="DC16" s="10">
        <f>IF(管理者入力シート!$B$14=1,DB13*管理者用人口入力シート!AW$4,IF(管理者入力シート!$B$14=2,DB13*管理者用人口入力シート!AW$8))+将来予測シート②!$H28</f>
        <v>154.99663879918839</v>
      </c>
      <c r="DD16" s="10">
        <f>IF(管理者入力シート!$B$14=1,DC13*管理者用人口入力シート!AX$4,IF(管理者入力シート!$B$14=2,DC13*管理者用人口入力シート!AX$8))+将来予測シート②!$H29</f>
        <v>186.48231409471572</v>
      </c>
      <c r="DE16" s="10">
        <f>IF(管理者入力シート!$B$14=1,DD13*管理者用人口入力シート!AY$4,IF(管理者入力シート!$B$14=2,DD13*管理者用人口入力シート!AY$8))</f>
        <v>205.54530049393699</v>
      </c>
      <c r="DF16" s="10">
        <f>IF(管理者入力シート!$B$14=1,DE13*管理者用人口入力シート!AZ$4,IF(管理者入力シート!$B$14=2,DE13*管理者用人口入力シート!AZ$8))</f>
        <v>234.39062096475789</v>
      </c>
      <c r="DG16" s="10">
        <f>IF(管理者入力シート!$B$14=1,DF13*管理者用人口入力シート!BA$4,IF(管理者入力シート!$B$14=2,DF13*管理者用人口入力シート!BA$8))</f>
        <v>210.57401104728092</v>
      </c>
      <c r="DH16" s="10">
        <f>IF(管理者入力シート!$B$14=1,DG13*管理者用人口入力シート!BB$4,IF(管理者入力シート!$B$14=2,DG13*管理者用人口入力シート!BB$8))</f>
        <v>203.36750722973701</v>
      </c>
      <c r="DI16" s="10">
        <f>IF(管理者入力シート!$B$14=1,DH13*管理者用人口入力シート!BC$4,IF(管理者入力シート!$B$14=2,DH13*管理者用人口入力シート!BC$8))</f>
        <v>216.63013966029439</v>
      </c>
      <c r="DJ16" s="10">
        <f>IF(管理者入力シート!$B$14=1,DI13*管理者用人口入力シート!BD$4,IF(管理者入力シート!$B$14=2,DI13*管理者用人口入力シート!BD$8))</f>
        <v>121.22197018463764</v>
      </c>
      <c r="DK16" s="10">
        <f>IF(管理者入力シート!$B$14=1,DJ13*管理者用人口入力シート!BE$4,IF(管理者入力シート!$B$14=2,DJ13*管理者用人口入力シート!BE$8))</f>
        <v>51.564766289164119</v>
      </c>
      <c r="DL16" s="10">
        <f>IF(管理者入力シート!$B$14=1,DK13*管理者用人口入力シート!BF$4,IF(管理者入力シート!$B$14=2,DK13*管理者用人口入力シート!BF$8))</f>
        <v>6.2668433977053635</v>
      </c>
      <c r="DM16" s="10">
        <f t="shared" si="260"/>
        <v>2461.0918351883524</v>
      </c>
      <c r="DN16" s="10">
        <f t="shared" si="261"/>
        <v>91.160301165469917</v>
      </c>
      <c r="DO16" s="10">
        <f t="shared" si="262"/>
        <v>47.833227343097221</v>
      </c>
      <c r="DP16" s="10">
        <f t="shared" si="263"/>
        <v>1249.5611592675143</v>
      </c>
      <c r="DQ16" s="10">
        <f t="shared" si="264"/>
        <v>809.62523780881941</v>
      </c>
      <c r="DR16" s="14">
        <f t="shared" si="265"/>
        <v>0.50772634381271786</v>
      </c>
      <c r="DS16" s="14">
        <f t="shared" si="266"/>
        <v>0.32896994180912276</v>
      </c>
      <c r="DT16" s="10">
        <f t="shared" si="267"/>
        <v>290.25484555317695</v>
      </c>
      <c r="DV16" s="212" t="s">
        <v>406</v>
      </c>
      <c r="DW16" s="7">
        <f>IF(DW10&lt;0,ABS(DW10)/DW15,0)</f>
        <v>157.36318178854825</v>
      </c>
    </row>
    <row r="17" spans="1:158" ht="12.95" customHeight="1" x14ac:dyDescent="0.15">
      <c r="A17" s="7" t="str">
        <f t="shared" si="245"/>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6"/>
        <v>0</v>
      </c>
      <c r="Z17" s="11">
        <f t="shared" si="247"/>
        <v>0</v>
      </c>
      <c r="AA17" s="11">
        <f t="shared" si="248"/>
        <v>0</v>
      </c>
      <c r="AB17" s="11">
        <f t="shared" si="0"/>
        <v>0</v>
      </c>
      <c r="AC17" s="11">
        <f t="shared" si="249"/>
        <v>0</v>
      </c>
      <c r="AD17" s="15" t="e">
        <f t="shared" si="250"/>
        <v>#DIV/0!</v>
      </c>
      <c r="AE17" s="15" t="e">
        <f t="shared" si="251"/>
        <v>#DIV/0!</v>
      </c>
      <c r="AF17" s="11">
        <f t="shared" si="17"/>
        <v>0</v>
      </c>
      <c r="BH17" s="7" t="str">
        <f t="shared" si="19"/>
        <v>2045_3</v>
      </c>
      <c r="BI17" s="30">
        <f>BI16</f>
        <v>2045</v>
      </c>
      <c r="BJ17" s="5" t="s">
        <v>23</v>
      </c>
      <c r="BK17" s="16">
        <f>BK15+BK16</f>
        <v>122.72814118468006</v>
      </c>
      <c r="BL17" s="16">
        <f t="shared" ref="BL17:CE17" si="268">BL15+BL16</f>
        <v>143.43748676878403</v>
      </c>
      <c r="BM17" s="16">
        <f t="shared" si="268"/>
        <v>156.12777083765982</v>
      </c>
      <c r="BN17" s="16">
        <f t="shared" si="268"/>
        <v>150.34062814711154</v>
      </c>
      <c r="BO17" s="16">
        <f t="shared" si="268"/>
        <v>112.57920028985984</v>
      </c>
      <c r="BP17" s="16">
        <f t="shared" si="268"/>
        <v>132.79493054001125</v>
      </c>
      <c r="BQ17" s="16">
        <f t="shared" si="268"/>
        <v>145.33237547077994</v>
      </c>
      <c r="BR17" s="16">
        <f t="shared" si="268"/>
        <v>161.86623858324788</v>
      </c>
      <c r="BS17" s="16">
        <f t="shared" si="268"/>
        <v>179.28836847982461</v>
      </c>
      <c r="BT17" s="16">
        <f t="shared" si="268"/>
        <v>206.16411653343394</v>
      </c>
      <c r="BU17" s="16">
        <f t="shared" si="268"/>
        <v>228.30156655070479</v>
      </c>
      <c r="BV17" s="16">
        <f t="shared" si="268"/>
        <v>298.47055226299869</v>
      </c>
      <c r="BW17" s="16">
        <f t="shared" si="268"/>
        <v>357.85831315648693</v>
      </c>
      <c r="BX17" s="16">
        <f t="shared" si="268"/>
        <v>386.12127956022982</v>
      </c>
      <c r="BY17" s="16">
        <f t="shared" si="268"/>
        <v>422.40617872634368</v>
      </c>
      <c r="BZ17" s="16">
        <f t="shared" si="268"/>
        <v>361.43652038619382</v>
      </c>
      <c r="CA17" s="16">
        <f t="shared" si="268"/>
        <v>342.00947692827117</v>
      </c>
      <c r="CB17" s="16">
        <f t="shared" si="268"/>
        <v>344.46375925521374</v>
      </c>
      <c r="CC17" s="16">
        <f t="shared" si="268"/>
        <v>190.57691696031821</v>
      </c>
      <c r="CD17" s="16">
        <f t="shared" si="268"/>
        <v>77.777992258954143</v>
      </c>
      <c r="CE17" s="16">
        <f t="shared" si="268"/>
        <v>6.2862143300573958</v>
      </c>
      <c r="CF17" s="11">
        <f t="shared" si="252"/>
        <v>4526.3680272111651</v>
      </c>
      <c r="CG17" s="11">
        <f t="shared" si="253"/>
        <v>179.73915456386632</v>
      </c>
      <c r="CH17" s="11">
        <f t="shared" si="254"/>
        <v>92.519233964486233</v>
      </c>
      <c r="CI17" s="11">
        <f t="shared" si="255"/>
        <v>2131.0783384055817</v>
      </c>
      <c r="CJ17" s="11">
        <f t="shared" si="256"/>
        <v>1322.5508801190085</v>
      </c>
      <c r="CK17" s="15">
        <f t="shared" si="257"/>
        <v>0.47081419928608959</v>
      </c>
      <c r="CL17" s="15">
        <f t="shared" si="258"/>
        <v>0.29218810140232299</v>
      </c>
      <c r="CM17" s="11">
        <f t="shared" si="259"/>
        <v>552.57274488389885</v>
      </c>
      <c r="CO17" s="7" t="str">
        <f t="shared" si="26"/>
        <v>2045_3</v>
      </c>
      <c r="CP17" s="30">
        <f>CP16</f>
        <v>2045</v>
      </c>
      <c r="CQ17" s="5" t="s">
        <v>23</v>
      </c>
      <c r="CR17" s="16">
        <f>CR15+CR16</f>
        <v>128.1637296833654</v>
      </c>
      <c r="CS17" s="16">
        <f>CS15+CS16</f>
        <v>148.58109509936116</v>
      </c>
      <c r="CT17" s="16">
        <f t="shared" ref="CT17:DL17" si="269">CT15+CT16</f>
        <v>162.88702357633801</v>
      </c>
      <c r="CU17" s="16">
        <f t="shared" si="269"/>
        <v>155.20612195907978</v>
      </c>
      <c r="CV17" s="16">
        <f t="shared" si="269"/>
        <v>114.70638351762219</v>
      </c>
      <c r="CW17" s="16">
        <f t="shared" si="269"/>
        <v>137.7901201741841</v>
      </c>
      <c r="CX17" s="16">
        <f t="shared" si="269"/>
        <v>150.22889833223863</v>
      </c>
      <c r="CY17" s="16">
        <f t="shared" si="269"/>
        <v>165.78219283261814</v>
      </c>
      <c r="CZ17" s="16">
        <f t="shared" si="269"/>
        <v>184.10724595395203</v>
      </c>
      <c r="DA17" s="16">
        <f t="shared" si="269"/>
        <v>210.83569329556761</v>
      </c>
      <c r="DB17" s="16">
        <f t="shared" si="269"/>
        <v>229.24817745777432</v>
      </c>
      <c r="DC17" s="16">
        <f t="shared" si="269"/>
        <v>299.40059831012309</v>
      </c>
      <c r="DD17" s="16">
        <f t="shared" si="269"/>
        <v>358.7781892808452</v>
      </c>
      <c r="DE17" s="16">
        <f t="shared" si="269"/>
        <v>386.12127956022982</v>
      </c>
      <c r="DF17" s="16">
        <f t="shared" si="269"/>
        <v>422.40617872634368</v>
      </c>
      <c r="DG17" s="16">
        <f t="shared" si="269"/>
        <v>361.43652038619382</v>
      </c>
      <c r="DH17" s="16">
        <f t="shared" si="269"/>
        <v>342.00947692827117</v>
      </c>
      <c r="DI17" s="16">
        <f t="shared" si="269"/>
        <v>344.46375925521374</v>
      </c>
      <c r="DJ17" s="16">
        <f t="shared" si="269"/>
        <v>190.57691696031821</v>
      </c>
      <c r="DK17" s="16">
        <f t="shared" si="269"/>
        <v>77.777992258954143</v>
      </c>
      <c r="DL17" s="16">
        <f t="shared" si="269"/>
        <v>6.2862143300573958</v>
      </c>
      <c r="DM17" s="11">
        <f t="shared" si="260"/>
        <v>4576.793807878651</v>
      </c>
      <c r="DN17" s="11">
        <f t="shared" si="261"/>
        <v>186.88087120541951</v>
      </c>
      <c r="DO17" s="11">
        <f t="shared" si="262"/>
        <v>96.196033822351168</v>
      </c>
      <c r="DP17" s="11">
        <f t="shared" si="263"/>
        <v>2131.0783384055817</v>
      </c>
      <c r="DQ17" s="11">
        <f t="shared" si="264"/>
        <v>1322.5508801190085</v>
      </c>
      <c r="DR17" s="15">
        <f t="shared" si="265"/>
        <v>0.4656269056161258</v>
      </c>
      <c r="DS17" s="15">
        <f t="shared" si="266"/>
        <v>0.28896885803383227</v>
      </c>
      <c r="DT17" s="11">
        <f t="shared" si="267"/>
        <v>568.50759485666299</v>
      </c>
      <c r="DV17" s="62" t="s">
        <v>407</v>
      </c>
      <c r="DW17" s="7">
        <f>IF(DW9&gt;=0,0,IF(AND(DW10&lt;=0,DW9&lt;=0,DW16*2&gt;=ABS(DW9)),ROUND(DW16/3,0),ROUND(ABS(DW9)/6,0)))</f>
        <v>89</v>
      </c>
      <c r="DX17" s="2" t="s">
        <v>360</v>
      </c>
    </row>
    <row r="18" spans="1:158" x14ac:dyDescent="0.15">
      <c r="A18" s="7" t="str">
        <f t="shared" ref="A18:A20" si="270">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1">E18*3/5+F18*3/5</f>
        <v>0</v>
      </c>
      <c r="AA18" s="9">
        <f t="shared" ref="AA18:AA20" si="272">F18*2/5+G18*1/5</f>
        <v>0</v>
      </c>
      <c r="AB18" s="9">
        <f t="shared" si="0"/>
        <v>0</v>
      </c>
      <c r="AC18" s="9">
        <f t="shared" ref="AC18:AC20" si="273">SUM(S18:X18)</f>
        <v>0</v>
      </c>
      <c r="AD18" s="13" t="e">
        <f t="shared" ref="AD18:AD20" si="274">AB18/Y18</f>
        <v>#DIV/0!</v>
      </c>
      <c r="AE18" s="13" t="e">
        <f t="shared" ref="AE18:AE20" si="275">AC18/Y18</f>
        <v>#DIV/0!</v>
      </c>
      <c r="AF18" s="9">
        <f t="shared" si="17"/>
        <v>0</v>
      </c>
      <c r="BH18" s="7" t="str">
        <f t="shared" si="19"/>
        <v>2050_1</v>
      </c>
      <c r="BI18" s="28">
        <f>管理者入力シート!B13</f>
        <v>2050</v>
      </c>
      <c r="BJ18" s="3" t="s">
        <v>21</v>
      </c>
      <c r="BK18" s="9">
        <f>CM19*$AK$13</f>
        <v>53.960273670127094</v>
      </c>
      <c r="BL18" s="9">
        <f>IF(管理者入力シート!$B$14=1,BK15*管理者用人口入力シート!AM$3,IF(管理者入力シート!$B$14=2,BK15*管理者用人口入力シート!AM$7))</f>
        <v>65.754399326245903</v>
      </c>
      <c r="BM18" s="9">
        <f>IF(管理者入力シート!$B$14=1,BL15*管理者用人口入力シート!AN$3,IF(管理者入力シート!$B$14=2,BL15*管理者用人口入力シート!AN$7))</f>
        <v>70.22666068078226</v>
      </c>
      <c r="BN18" s="9">
        <f>IF(管理者入力シート!$B$14=1,BM15*管理者用人口入力シート!AO$3,IF(管理者入力シート!$B$14=2,BM15*管理者用人口入力シート!AO$7))</f>
        <v>66.132205812379979</v>
      </c>
      <c r="BO18" s="9">
        <f>IF(管理者入力シート!$B$14=1,BN15*管理者用人口入力シート!AP$3,IF(管理者入力シート!$B$14=2,BN15*管理者用人口入力シート!AP$7))</f>
        <v>45.680692149361811</v>
      </c>
      <c r="BP18" s="9">
        <f>IF(管理者入力シート!$B$14=1,BO15*管理者用人口入力シート!AQ$3,IF(管理者入力シート!$B$14=2,BO15*管理者用人口入力シート!AQ$7))</f>
        <v>53.967256697684292</v>
      </c>
      <c r="BQ18" s="9">
        <f>IF(管理者入力シート!$B$14=1,BP15*管理者用人口入力シート!AR$3,IF(管理者入力シート!$B$14=2,BP15*管理者用人口入力シート!AR$7))</f>
        <v>68.539975320152564</v>
      </c>
      <c r="BR18" s="9">
        <f>IF(管理者入力シート!$B$14=1,BQ15*管理者用人口入力シート!AS$3,IF(管理者入力シート!$B$14=2,BQ15*管理者用人口入力シート!AS$7))</f>
        <v>72.267763614584879</v>
      </c>
      <c r="BS18" s="9">
        <f>IF(管理者入力シート!$B$14=1,BR15*管理者用人口入力シート!AT$3,IF(管理者入力シート!$B$14=2,BR15*管理者用人口入力シート!AT$7))</f>
        <v>72.843864080487947</v>
      </c>
      <c r="BT18" s="9">
        <f>IF(管理者入力シート!$B$14=1,BS15*管理者用人口入力シート!AU$3,IF(管理者入力シート!$B$14=2,BS15*管理者用人口入力シート!AU$7))</f>
        <v>95.175555258992517</v>
      </c>
      <c r="BU18" s="9">
        <f>IF(管理者入力シート!$B$14=1,BT15*管理者用人口入力シート!AV$3,IF(管理者入力シート!$B$14=2,BT15*管理者用人口入力シート!AV$7))</f>
        <v>108.63704402741719</v>
      </c>
      <c r="BV18" s="9">
        <f>IF(管理者入力シート!$B$14=1,BU15*管理者用人口入力シート!AW$3,IF(管理者入力シート!$B$14=2,BU15*管理者用人口入力シート!AW$7))</f>
        <v>114.50751401472365</v>
      </c>
      <c r="BW18" s="9">
        <f>IF(管理者入力シート!$B$14=1,BV15*管理者用人口入力シート!AX$3,IF(管理者入力シート!$B$14=2,BV15*管理者用人口入力シート!AX$7))</f>
        <v>142.15024853858117</v>
      </c>
      <c r="BX18" s="9">
        <f>IF(管理者入力シート!$B$14=1,BW15*管理者用人口入力シート!AY$3,IF(管理者入力シート!$B$14=2,BW15*管理者用人口入力シート!AY$7))</f>
        <v>162.15068683395117</v>
      </c>
      <c r="BY18" s="9">
        <f>IF(管理者入力シート!$B$14=1,BX15*管理者用人口入力シート!AZ$3,IF(管理者入力シート!$B$14=2,BX15*管理者用人口入力シート!AZ$7))</f>
        <v>167.73291563604809</v>
      </c>
      <c r="BZ18" s="9">
        <f>IF(管理者入力シート!$B$14=1,BY15*管理者用人口入力シート!BA$3,IF(管理者入力シート!$B$14=2,BY15*管理者用人口入力シート!BA$7))</f>
        <v>166.85243058658705</v>
      </c>
      <c r="CA18" s="9">
        <f>IF(管理者入力シート!$B$14=1,BZ15*管理者用人口入力シート!BB$3,IF(管理者入力シート!$B$14=2,BZ15*管理者用人口入力シート!BB$7))</f>
        <v>125.52754940719043</v>
      </c>
      <c r="CB18" s="9">
        <f>IF(管理者入力シート!$B$14=1,CA15*管理者用人口入力シート!BC$3,IF(管理者入力シート!$B$14=2,CA15*管理者用人口入力シート!BC$7))</f>
        <v>94.445408698225265</v>
      </c>
      <c r="CC18" s="9">
        <f>IF(管理者入力シート!$B$14=1,CB15*管理者用人口入力シート!BD$3,IF(管理者入力シート!$B$14=2,CB15*管理者用人口入力シート!BD$7))</f>
        <v>60.801843790575468</v>
      </c>
      <c r="CD18" s="9">
        <f>IF(管理者入力シート!$B$14=1,CC15*管理者用人口入力シート!BE$3,IF(管理者入力シート!$B$14=2,CC15*管理者用人口入力シート!BE$7))</f>
        <v>26.094256743088273</v>
      </c>
      <c r="CE18" s="9">
        <f>IF(管理者入力シート!$B$14=1,CD15*管理者用人口入力シート!BF$3,IF(管理者入力シート!$B$14=2,CD15*管理者用人口入力シート!BF$7))</f>
        <v>2.6213225969790022E-2</v>
      </c>
      <c r="CF18" s="9">
        <f t="shared" si="252"/>
        <v>1833.4747581131567</v>
      </c>
      <c r="CG18" s="9">
        <f t="shared" si="253"/>
        <v>81.588636004216895</v>
      </c>
      <c r="CH18" s="9">
        <f t="shared" si="254"/>
        <v>41.3171054347889</v>
      </c>
      <c r="CI18" s="9">
        <f t="shared" si="255"/>
        <v>803.63130492163555</v>
      </c>
      <c r="CJ18" s="9">
        <f t="shared" si="256"/>
        <v>473.74770245163631</v>
      </c>
      <c r="CK18" s="13">
        <f t="shared" si="257"/>
        <v>0.4383105365184623</v>
      </c>
      <c r="CL18" s="13">
        <f t="shared" si="258"/>
        <v>0.25838790545399914</v>
      </c>
      <c r="CM18" s="9">
        <f t="shared" si="259"/>
        <v>240.45568778178355</v>
      </c>
      <c r="CO18" s="7" t="str">
        <f t="shared" si="26"/>
        <v>2050_1</v>
      </c>
      <c r="CP18" s="28">
        <f>管理者入力シート!B13</f>
        <v>2050</v>
      </c>
      <c r="CQ18" s="3" t="s">
        <v>21</v>
      </c>
      <c r="CR18" s="9">
        <f>DT19*$AK$13+将来予測シート②!$G17</f>
        <v>57.117257496312519</v>
      </c>
      <c r="CS18" s="9">
        <f>IF(管理者入力シート!$B$14=1,CR15*管理者用人口入力シート!AM$3,IF(管理者入力シート!$B$14=2,CR15*管理者用人口入力シート!AM$7))+将来予測シート②!$G18</f>
        <v>68.604678558251123</v>
      </c>
      <c r="CT18" s="9">
        <f>IF(管理者入力シート!$B$14=1,CS15*管理者用人口入力シート!AN$3,IF(管理者入力シート!$B$14=2,CS15*管理者用人口入力シート!AN$7))+将来予測シート②!$G19</f>
        <v>73.685086474728593</v>
      </c>
      <c r="CU18" s="9">
        <f>IF(管理者入力シート!$B$14=1,CT15*管理者用人口入力シート!AO$3,IF(管理者入力シート!$B$14=2,CT15*管理者用人口入力シート!AO$7))+将来予測シート②!$G20</f>
        <v>68.932695415728872</v>
      </c>
      <c r="CV18" s="9">
        <f>IF(管理者入力シート!$B$14=1,CU15*管理者用人口入力シート!AP$3,IF(管理者入力シート!$B$14=2,CU15*管理者用人口入力シート!AP$7))+将来予測シート②!$G21</f>
        <v>47.119863223473473</v>
      </c>
      <c r="CW18" s="9">
        <f>IF(管理者入力シート!$B$14=1,CV15*管理者用人口入力シート!AQ$3,IF(管理者入力シート!$B$14=2,CV15*管理者用人口入力シート!AQ$7))+将来予測シート②!$G22</f>
        <v>56.947992836977171</v>
      </c>
      <c r="CX18" s="9">
        <f>IF(管理者入力シート!$B$14=1,CW15*管理者用人口入力シート!AR$3,IF(管理者入力シート!$B$14=2,CW15*管理者用人口入力シート!AR$7))+将来予測シート②!$G23</f>
        <v>71.064841626227548</v>
      </c>
      <c r="CY18" s="9">
        <f>IF(管理者入力シート!$B$14=1,CX15*管理者用人口入力シート!AS$3,IF(管理者入力シート!$B$14=2,CX15*管理者用人口入力シート!AS$7))+将来予測シート②!$G24</f>
        <v>74.774602106677932</v>
      </c>
      <c r="CZ18" s="9">
        <f>IF(管理者入力シート!$B$14=1,CY15*管理者用人口入力シート!AT$3,IF(管理者入力シート!$B$14=2,CY15*管理者用人口入力シート!AT$7))+将来予測シート②!$G25</f>
        <v>74.80355455913778</v>
      </c>
      <c r="DA18" s="9">
        <f>IF(管理者入力シート!$B$14=1,CZ15*管理者用人口入力シート!AU$3,IF(管理者入力シート!$B$14=2,CZ15*管理者用人口入力シート!AU$7))+将来予測シート②!$G26</f>
        <v>97.088127695073268</v>
      </c>
      <c r="DB18" s="9">
        <f>IF(管理者入力シート!$B$14=1,DA15*管理者用人口入力シート!AV$3,IF(管理者入力シート!$B$14=2,DA15*管理者用人口入力シート!AV$7))+将来予測シート②!$G27</f>
        <v>110.48601406722987</v>
      </c>
      <c r="DC18" s="9">
        <f>IF(管理者入力シート!$B$14=1,DB15*管理者用人口入力シート!AW$3,IF(管理者入力シート!$B$14=2,DB15*管理者用人口入力シート!AW$7))+将来予測シート②!$G28</f>
        <v>114.50751401472365</v>
      </c>
      <c r="DD18" s="9">
        <f>IF(管理者入力シート!$B$14=1,DC15*管理者用人口入力シート!AX$3,IF(管理者入力シート!$B$14=2,DC15*管理者用人口入力シート!AX$7))+将来予測シート②!$G29</f>
        <v>142.15024853858117</v>
      </c>
      <c r="DE18" s="9">
        <f>IF(管理者入力シート!$B$14=1,DD15*管理者用人口入力シート!AY$3,IF(管理者入力シート!$B$14=2,DD15*管理者用人口入力シート!AY$7))</f>
        <v>162.15068683395117</v>
      </c>
      <c r="DF18" s="9">
        <f>IF(管理者入力シート!$B$14=1,DE15*管理者用人口入力シート!AZ$3,IF(管理者入力シート!$B$14=2,DE15*管理者用人口入力シート!AZ$7))</f>
        <v>167.73291563604809</v>
      </c>
      <c r="DG18" s="9">
        <f>IF(管理者入力シート!$B$14=1,DF15*管理者用人口入力シート!BA$3,IF(管理者入力シート!$B$14=2,DF15*管理者用人口入力シート!BA$7))</f>
        <v>166.85243058658705</v>
      </c>
      <c r="DH18" s="9">
        <f>IF(管理者入力シート!$B$14=1,DG15*管理者用人口入力シート!BB$3,IF(管理者入力シート!$B$14=2,DG15*管理者用人口入力シート!BB$7))</f>
        <v>125.52754940719043</v>
      </c>
      <c r="DI18" s="9">
        <f>IF(管理者入力シート!$B$14=1,DH15*管理者用人口入力シート!BC$3,IF(管理者入力シート!$B$14=2,DH15*管理者用人口入力シート!BC$7))</f>
        <v>94.445408698225265</v>
      </c>
      <c r="DJ18" s="9">
        <f>IF(管理者入力シート!$B$14=1,DI15*管理者用人口入力シート!BD$3,IF(管理者入力シート!$B$14=2,DI15*管理者用人口入力シート!BD$7))</f>
        <v>60.801843790575468</v>
      </c>
      <c r="DK18" s="9">
        <f>IF(管理者入力シート!$B$14=1,DJ15*管理者用人口入力シート!BE$3,IF(管理者入力シート!$B$14=2,DJ15*管理者用人口入力シート!BE$7))</f>
        <v>26.094256743088273</v>
      </c>
      <c r="DL18" s="9">
        <f>IF(管理者入力シート!$B$14=1,DK15*管理者用人口入力シート!BF$3,IF(管理者入力シート!$B$14=2,DK15*管理者用人口入力シート!BF$7))</f>
        <v>2.6213225969790022E-2</v>
      </c>
      <c r="DM18" s="9">
        <f t="shared" si="260"/>
        <v>1860.9137815347583</v>
      </c>
      <c r="DN18" s="9">
        <f t="shared" si="261"/>
        <v>85.37385901978783</v>
      </c>
      <c r="DO18" s="9">
        <f t="shared" si="262"/>
        <v>43.260573673037214</v>
      </c>
      <c r="DP18" s="9">
        <f t="shared" si="263"/>
        <v>803.63130492163555</v>
      </c>
      <c r="DQ18" s="9">
        <f t="shared" si="264"/>
        <v>473.74770245163631</v>
      </c>
      <c r="DR18" s="13">
        <f t="shared" si="265"/>
        <v>0.43184768305539323</v>
      </c>
      <c r="DS18" s="13">
        <f t="shared" si="266"/>
        <v>0.25457799665544989</v>
      </c>
      <c r="DT18" s="9">
        <f t="shared" si="267"/>
        <v>249.90729979335612</v>
      </c>
      <c r="DX18" s="307">
        <f>DX1</f>
        <v>89</v>
      </c>
      <c r="DY18" s="308"/>
      <c r="DZ18" s="311" t="s">
        <v>0</v>
      </c>
      <c r="EA18" s="311" t="s">
        <v>1</v>
      </c>
      <c r="EB18" s="311" t="s">
        <v>2</v>
      </c>
      <c r="EC18" s="311" t="s">
        <v>3</v>
      </c>
      <c r="ED18" s="311" t="s">
        <v>4</v>
      </c>
      <c r="EE18" s="311" t="s">
        <v>5</v>
      </c>
      <c r="EF18" s="311" t="s">
        <v>6</v>
      </c>
      <c r="EG18" s="311" t="s">
        <v>7</v>
      </c>
      <c r="EH18" s="311" t="s">
        <v>8</v>
      </c>
      <c r="EI18" s="311" t="s">
        <v>9</v>
      </c>
      <c r="EJ18" s="311" t="s">
        <v>10</v>
      </c>
      <c r="EK18" s="311" t="s">
        <v>11</v>
      </c>
      <c r="EL18" s="311" t="s">
        <v>12</v>
      </c>
      <c r="EM18" s="311" t="s">
        <v>13</v>
      </c>
      <c r="EN18" s="311" t="s">
        <v>14</v>
      </c>
      <c r="EO18" s="311" t="s">
        <v>15</v>
      </c>
      <c r="EP18" s="311" t="s">
        <v>16</v>
      </c>
      <c r="EQ18" s="311" t="s">
        <v>17</v>
      </c>
      <c r="ER18" s="311" t="s">
        <v>18</v>
      </c>
      <c r="ES18" s="311" t="s">
        <v>19</v>
      </c>
      <c r="ET18" s="311" t="s">
        <v>20</v>
      </c>
      <c r="EU18" s="311" t="s">
        <v>23</v>
      </c>
      <c r="EV18" s="312" t="s">
        <v>50</v>
      </c>
      <c r="EW18" s="312" t="s">
        <v>51</v>
      </c>
      <c r="EX18" s="313" t="s">
        <v>79</v>
      </c>
      <c r="EY18" s="313" t="s">
        <v>80</v>
      </c>
      <c r="EZ18" s="312" t="s">
        <v>48</v>
      </c>
      <c r="FA18" s="312" t="s">
        <v>49</v>
      </c>
      <c r="FB18" s="312" t="s">
        <v>97</v>
      </c>
    </row>
    <row r="19" spans="1:158" x14ac:dyDescent="0.15">
      <c r="A19" s="7" t="str">
        <f t="shared" si="270"/>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BH19" s="7" t="str">
        <f t="shared" si="19"/>
        <v>2050_2</v>
      </c>
      <c r="BI19" s="29">
        <f>BI18</f>
        <v>2050</v>
      </c>
      <c r="BJ19" s="4" t="s">
        <v>22</v>
      </c>
      <c r="BK19" s="10">
        <f>CM19*$AK$14</f>
        <v>47.719859576365494</v>
      </c>
      <c r="BL19" s="10">
        <f>IF(管理者入力シート!$B$14=1,BK16*管理者用人口入力シート!AM$4,IF(管理者入力シート!$B$14=2,BK16*管理者用人口入力シート!AM$8))</f>
        <v>60.905841957573038</v>
      </c>
      <c r="BM19" s="10">
        <f>IF(管理者入力シート!$B$14=1,BL16*管理者用人口入力シート!AN$4,IF(管理者入力シート!$B$14=2,BL16*管理者用人口入力シート!AN$8))</f>
        <v>68.363791295707728</v>
      </c>
      <c r="BN19" s="10">
        <f>IF(管理者入力シート!$B$14=1,BM16*管理者用人口入力シート!AO$4,IF(管理者入力シート!$B$14=2,BM16*管理者用人口入力シート!AO$8))</f>
        <v>67.252559973812879</v>
      </c>
      <c r="BO19" s="10">
        <f>IF(管理者入力シート!$B$14=1,BN16*管理者用人口入力シート!AP$4,IF(管理者入力シート!$B$14=2,BN16*管理者用人口入力シート!AP$8))</f>
        <v>47.771536205604932</v>
      </c>
      <c r="BP19" s="10">
        <f>IF(管理者入力シート!$B$14=1,BO16*管理者用人口入力シート!AQ$4,IF(管理者入力シート!$B$14=2,BO16*管理者用人口入力シート!AQ$8))</f>
        <v>51.532367264073173</v>
      </c>
      <c r="BQ19" s="10">
        <f>IF(管理者入力シート!$B$14=1,BP16*管理者用人口入力シート!AR$4,IF(管理者入力シート!$B$14=2,BP16*管理者用人口入力シート!AR$8))</f>
        <v>61.712832334184462</v>
      </c>
      <c r="BR19" s="10">
        <f>IF(管理者入力シート!$B$14=1,BQ16*管理者用人口入力シート!AS$4,IF(管理者入力シート!$B$14=2,BQ16*管理者用人口入力シート!AS$8))</f>
        <v>72.910649232682118</v>
      </c>
      <c r="BS19" s="10">
        <f>IF(管理者入力シート!$B$14=1,BR16*管理者用人口入力シート!AT$4,IF(管理者入力シート!$B$14=2,BR16*管理者用人口入力シート!AT$8))</f>
        <v>84.960203222559642</v>
      </c>
      <c r="BT19" s="10">
        <f>IF(管理者入力シート!$B$14=1,BS16*管理者用人口入力シート!AU$4,IF(管理者入力シート!$B$14=2,BS16*管理者用人口入力シート!AU$8))</f>
        <v>78.903012288002046</v>
      </c>
      <c r="BU19" s="10">
        <f>IF(管理者入力シート!$B$14=1,BT16*管理者用人口入力シート!AV$4,IF(管理者入力シート!$B$14=2,BT16*管理者用人口入力シート!AV$8))</f>
        <v>92.006522455181297</v>
      </c>
      <c r="BV19" s="10">
        <f>IF(管理者入力シート!$B$14=1,BU16*管理者用人口入力シート!AW$4,IF(管理者入力シート!$B$14=2,BU16*管理者用人口入力シート!AW$8))</f>
        <v>105.33479840845271</v>
      </c>
      <c r="BW19" s="10">
        <f>IF(管理者入力シート!$B$14=1,BV16*管理者用人口入力シート!AX$4,IF(管理者入力シート!$B$14=2,BV16*管理者用人口入力シート!AX$8))</f>
        <v>152.38189622121971</v>
      </c>
      <c r="BX19" s="10">
        <f>IF(管理者入力シート!$B$14=1,BW16*管理者用人口入力シート!AY$4,IF(管理者入力シート!$B$14=2,BW16*管理者用人口入力シート!AY$8))</f>
        <v>179.46852285346586</v>
      </c>
      <c r="BY19" s="10">
        <f>IF(管理者入力シート!$B$14=1,BX16*管理者用人口入力シート!AZ$4,IF(管理者入力シート!$B$14=2,BX16*管理者用人口入力シート!AZ$8))</f>
        <v>203.11863473426851</v>
      </c>
      <c r="BZ19" s="10">
        <f>IF(管理者入力シート!$B$14=1,BY16*管理者用人口入力シート!BA$4,IF(管理者入力シート!$B$14=2,BY16*管理者用人口入力シート!BA$8))</f>
        <v>220.62555720085342</v>
      </c>
      <c r="CA19" s="10">
        <f>IF(管理者入力シート!$B$14=1,BZ16*管理者用人口入力シート!BB$4,IF(管理者入力シート!$B$14=2,BZ16*管理者用人口入力シート!BB$8))</f>
        <v>190.86091627078767</v>
      </c>
      <c r="CB19" s="10">
        <f>IF(管理者入力シート!$B$14=1,CA16*管理者用人口入力シート!BC$4,IF(管理者入力シート!$B$14=2,CA16*管理者用人口入力シート!BC$8))</f>
        <v>163.96713634896923</v>
      </c>
      <c r="CC19" s="10">
        <f>IF(管理者入力シート!$B$14=1,CB16*管理者用人口入力シート!BD$4,IF(管理者入力シート!$B$14=2,CB16*管理者用人口入力シート!BD$8))</f>
        <v>119.56116890815812</v>
      </c>
      <c r="CD19" s="10">
        <f>IF(管理者入力シート!$B$14=1,CC16*管理者用人口入力シート!BE$4,IF(管理者入力シート!$B$14=2,CC16*管理者用人口入力シート!BE$8))</f>
        <v>46.560611747807755</v>
      </c>
      <c r="CE19" s="10">
        <f>IF(管理者入力シート!$B$14=1,CD16*管理者用人口入力シート!BF$4,IF(管理者入力シート!$B$14=2,CD16*管理者用人口入力シート!BF$8))</f>
        <v>8.6711752552428045</v>
      </c>
      <c r="CF19" s="10">
        <f t="shared" si="252"/>
        <v>2124.5895937549722</v>
      </c>
      <c r="CG19" s="10">
        <f t="shared" si="253"/>
        <v>77.561779951968461</v>
      </c>
      <c r="CH19" s="10">
        <f t="shared" si="254"/>
        <v>40.79602851304567</v>
      </c>
      <c r="CI19" s="10">
        <f t="shared" si="255"/>
        <v>1132.8337233195534</v>
      </c>
      <c r="CJ19" s="10">
        <f t="shared" si="256"/>
        <v>750.24656573181915</v>
      </c>
      <c r="CK19" s="14">
        <f t="shared" si="257"/>
        <v>0.53320120113993297</v>
      </c>
      <c r="CL19" s="14">
        <f t="shared" si="258"/>
        <v>0.35312540734318626</v>
      </c>
      <c r="CM19" s="10">
        <f t="shared" si="259"/>
        <v>233.92738503654468</v>
      </c>
      <c r="CO19" s="7" t="str">
        <f t="shared" si="26"/>
        <v>2050_2</v>
      </c>
      <c r="CP19" s="29">
        <f>CP18</f>
        <v>2050</v>
      </c>
      <c r="CQ19" s="4" t="s">
        <v>22</v>
      </c>
      <c r="CR19" s="10">
        <f>DT19*$AK$14+将来予測シート②!$H17</f>
        <v>50.627391882878669</v>
      </c>
      <c r="CS19" s="10">
        <f>IF(管理者入力シート!$B$14=1,CR16*管理者用人口入力シート!AM$4,IF(管理者入力シート!$B$14=2,CR16*管理者用人口入力シート!AM$8))+将来予測シート②!$H18</f>
        <v>63.668239074619571</v>
      </c>
      <c r="CT19" s="10">
        <f>IF(管理者入力シート!$B$14=1,CS16*管理者用人口入力シート!AN$4,IF(管理者入力シート!$B$14=2,CS16*管理者用人口入力シート!AN$8))+将来予測シート②!$H19</f>
        <v>71.878212864138163</v>
      </c>
      <c r="CU19" s="10">
        <f>IF(管理者入力シート!$B$14=1,CT16*管理者用人口入力シート!AO$4,IF(管理者入力シート!$B$14=2,CT16*管理者用人口入力シート!AO$8))+将来予測シート②!$H20</f>
        <v>70.229502495582665</v>
      </c>
      <c r="CV19" s="10">
        <f>IF(管理者入力シート!$B$14=1,CU16*管理者用人口入力シート!AP$4,IF(管理者入力シート!$B$14=2,CU16*管理者用人口入力シート!AP$8))+将来予測シート②!$H21</f>
        <v>49.357883346614194</v>
      </c>
      <c r="CW19" s="10">
        <f>IF(管理者入力シート!$B$14=1,CV16*管理者用人口入力シート!AQ$4,IF(管理者入力シート!$B$14=2,CV16*管理者用人口入力シート!AQ$8))+将来予測シート②!$H22</f>
        <v>54.541658474834286</v>
      </c>
      <c r="CX19" s="10">
        <f>IF(管理者入力シート!$B$14=1,CW16*管理者用人口入力シート!AR$4,IF(管理者入力シート!$B$14=2,CW16*管理者用人口入力シート!AR$8))+将来予測シート②!$H23</f>
        <v>64.084488889568206</v>
      </c>
      <c r="CY19" s="10">
        <f>IF(管理者入力シート!$B$14=1,CX16*管理者用人口入力シート!AS$4,IF(管理者入力シート!$B$14=2,CX16*管理者用人口入力シート!AS$8))+将来予測シート②!$H24</f>
        <v>75.294262905241411</v>
      </c>
      <c r="CZ19" s="10">
        <f>IF(管理者入力シート!$B$14=1,CY16*管理者用人口入力シート!AT$4,IF(管理者入力シート!$B$14=2,CY16*管理者用人口入力シート!AT$8))+将来予測シート②!$H25</f>
        <v>87.819390218037228</v>
      </c>
      <c r="DA19" s="10">
        <f>IF(管理者入力シート!$B$14=1,CZ16*管理者用人口入力シート!AU$4,IF(管理者入力シート!$B$14=2,CZ16*管理者用人口入力シート!AU$8))+将来予測シート②!$H26</f>
        <v>81.662016614054977</v>
      </c>
      <c r="DB19" s="10">
        <f>IF(管理者入力シート!$B$14=1,DA16*管理者用人口入力シート!AV$4,IF(管理者入力シート!$B$14=2,DA16*管理者用人口入力シート!AV$8))+将来予測シート②!$H27</f>
        <v>94.713060050451787</v>
      </c>
      <c r="DC19" s="10">
        <f>IF(管理者入力シート!$B$14=1,DB16*管理者用人口入力シート!AW$4,IF(管理者入力シート!$B$14=2,DB16*管理者用人口入力シート!AW$8))+将来予測シート②!$H28</f>
        <v>106.26484445557706</v>
      </c>
      <c r="DD19" s="10">
        <f>IF(管理者入力シート!$B$14=1,DC16*管理者用人口入力シート!AX$4,IF(管理者入力シート!$B$14=2,DC16*管理者用人口入力シート!AX$8))+将来予測シート②!$H29</f>
        <v>153.30177234557806</v>
      </c>
      <c r="DE19" s="10">
        <f>IF(管理者入力シート!$B$14=1,DD16*管理者用人口入力シート!AY$4,IF(管理者入力シート!$B$14=2,DD16*管理者用人口入力シート!AY$8))</f>
        <v>180.35819002454025</v>
      </c>
      <c r="DF19" s="10">
        <f>IF(管理者入力シート!$B$14=1,DE16*管理者用人口入力シート!AZ$4,IF(管理者入力シート!$B$14=2,DE16*管理者用人口入力シート!AZ$8))</f>
        <v>203.11863473426851</v>
      </c>
      <c r="DG19" s="10">
        <f>IF(管理者入力シート!$B$14=1,DF16*管理者用人口入力シート!BA$4,IF(管理者入力シート!$B$14=2,DF16*管理者用人口入力シート!BA$8))</f>
        <v>220.62555720085342</v>
      </c>
      <c r="DH19" s="10">
        <f>IF(管理者入力シート!$B$14=1,DG16*管理者用人口入力シート!BB$4,IF(管理者入力シート!$B$14=2,DG16*管理者用人口入力シート!BB$8))</f>
        <v>190.86091627078767</v>
      </c>
      <c r="DI19" s="10">
        <f>IF(管理者入力シート!$B$14=1,DH16*管理者用人口入力シート!BC$4,IF(管理者入力シート!$B$14=2,DH16*管理者用人口入力シート!BC$8))</f>
        <v>163.96713634896923</v>
      </c>
      <c r="DJ19" s="10">
        <f>IF(管理者入力シート!$B$14=1,DI16*管理者用人口入力シート!BD$4,IF(管理者入力シート!$B$14=2,DI16*管理者用人口入力シート!BD$8))</f>
        <v>119.56116890815812</v>
      </c>
      <c r="DK19" s="10">
        <f>IF(管理者入力シート!$B$14=1,DJ16*管理者用人口入力シート!BE$4,IF(管理者入力シート!$B$14=2,DJ16*管理者用人口入力シート!BE$8))</f>
        <v>46.560611747807755</v>
      </c>
      <c r="DL19" s="10">
        <f>IF(管理者入力シート!$B$14=1,DK16*管理者用人口入力シート!BF$4,IF(管理者入力シート!$B$14=2,DK16*管理者用人口入力シート!BF$8))</f>
        <v>8.6711752552428045</v>
      </c>
      <c r="DM19" s="10">
        <f t="shared" si="260"/>
        <v>2157.1661141078034</v>
      </c>
      <c r="DN19" s="10">
        <f t="shared" si="261"/>
        <v>81.327871163254628</v>
      </c>
      <c r="DO19" s="10">
        <f t="shared" si="262"/>
        <v>42.797185644771801</v>
      </c>
      <c r="DP19" s="10">
        <f t="shared" si="263"/>
        <v>1133.7233904906279</v>
      </c>
      <c r="DQ19" s="10">
        <f t="shared" si="264"/>
        <v>750.24656573181915</v>
      </c>
      <c r="DR19" s="14">
        <f t="shared" si="265"/>
        <v>0.52556146838952733</v>
      </c>
      <c r="DS19" s="14">
        <f t="shared" si="266"/>
        <v>0.3477926715171486</v>
      </c>
      <c r="DT19" s="10">
        <f t="shared" si="267"/>
        <v>243.27829361625811</v>
      </c>
      <c r="DX19" s="309"/>
      <c r="DY19" s="310"/>
      <c r="DZ19" s="311"/>
      <c r="EA19" s="311"/>
      <c r="EB19" s="311"/>
      <c r="EC19" s="311"/>
      <c r="ED19" s="311"/>
      <c r="EE19" s="311"/>
      <c r="EF19" s="311"/>
      <c r="EG19" s="311"/>
      <c r="EH19" s="311"/>
      <c r="EI19" s="311"/>
      <c r="EJ19" s="311"/>
      <c r="EK19" s="311"/>
      <c r="EL19" s="311"/>
      <c r="EM19" s="311"/>
      <c r="EN19" s="311"/>
      <c r="EO19" s="311"/>
      <c r="EP19" s="311"/>
      <c r="EQ19" s="311"/>
      <c r="ER19" s="311"/>
      <c r="ES19" s="311"/>
      <c r="ET19" s="311"/>
      <c r="EU19" s="311"/>
      <c r="EV19" s="312"/>
      <c r="EW19" s="312"/>
      <c r="EX19" s="314"/>
      <c r="EY19" s="314"/>
      <c r="EZ19" s="312"/>
      <c r="FA19" s="312"/>
      <c r="FB19" s="312"/>
    </row>
    <row r="20" spans="1:158" x14ac:dyDescent="0.15">
      <c r="A20" s="7" t="str">
        <f t="shared" si="270"/>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1"/>
        <v>0</v>
      </c>
      <c r="AA20" s="11">
        <f t="shared" si="272"/>
        <v>0</v>
      </c>
      <c r="AB20" s="11">
        <f t="shared" si="0"/>
        <v>0</v>
      </c>
      <c r="AC20" s="11">
        <f t="shared" si="273"/>
        <v>0</v>
      </c>
      <c r="AD20" s="15" t="e">
        <f t="shared" si="274"/>
        <v>#DIV/0!</v>
      </c>
      <c r="AE20" s="15" t="e">
        <f t="shared" si="275"/>
        <v>#DIV/0!</v>
      </c>
      <c r="AF20" s="11">
        <f t="shared" si="17"/>
        <v>0</v>
      </c>
      <c r="BH20" s="7" t="str">
        <f t="shared" si="19"/>
        <v>2050_3</v>
      </c>
      <c r="BI20" s="30">
        <f>BI19</f>
        <v>2050</v>
      </c>
      <c r="BJ20" s="5" t="s">
        <v>23</v>
      </c>
      <c r="BK20" s="16">
        <f>BK18+BK19</f>
        <v>101.68013324649259</v>
      </c>
      <c r="BL20" s="16">
        <f t="shared" ref="BL20:CE20" si="276">BL18+BL19</f>
        <v>126.66024128381895</v>
      </c>
      <c r="BM20" s="16">
        <f t="shared" si="276"/>
        <v>138.59045197648999</v>
      </c>
      <c r="BN20" s="16">
        <f t="shared" si="276"/>
        <v>133.38476578619287</v>
      </c>
      <c r="BO20" s="16">
        <f t="shared" si="276"/>
        <v>93.452228354966735</v>
      </c>
      <c r="BP20" s="16">
        <f t="shared" si="276"/>
        <v>105.49962396175746</v>
      </c>
      <c r="BQ20" s="16">
        <f t="shared" si="276"/>
        <v>130.25280765433703</v>
      </c>
      <c r="BR20" s="16">
        <f t="shared" si="276"/>
        <v>145.178412847267</v>
      </c>
      <c r="BS20" s="16">
        <f t="shared" si="276"/>
        <v>157.80406730304759</v>
      </c>
      <c r="BT20" s="16">
        <f t="shared" si="276"/>
        <v>174.07856754699458</v>
      </c>
      <c r="BU20" s="16">
        <f t="shared" si="276"/>
        <v>200.64356648259849</v>
      </c>
      <c r="BV20" s="16">
        <f t="shared" si="276"/>
        <v>219.84231242317637</v>
      </c>
      <c r="BW20" s="16">
        <f t="shared" si="276"/>
        <v>294.53214475980087</v>
      </c>
      <c r="BX20" s="16">
        <f t="shared" si="276"/>
        <v>341.61920968741703</v>
      </c>
      <c r="BY20" s="16">
        <f t="shared" si="276"/>
        <v>370.8515503703166</v>
      </c>
      <c r="BZ20" s="16">
        <f t="shared" si="276"/>
        <v>387.4779877874405</v>
      </c>
      <c r="CA20" s="16">
        <f t="shared" si="276"/>
        <v>316.3884656779781</v>
      </c>
      <c r="CB20" s="16">
        <f t="shared" si="276"/>
        <v>258.4125450471945</v>
      </c>
      <c r="CC20" s="16">
        <f t="shared" si="276"/>
        <v>180.3630126987336</v>
      </c>
      <c r="CD20" s="16">
        <f t="shared" si="276"/>
        <v>72.654868490896035</v>
      </c>
      <c r="CE20" s="16">
        <f t="shared" si="276"/>
        <v>8.6973884812125952</v>
      </c>
      <c r="CF20" s="11">
        <f t="shared" si="252"/>
        <v>3958.06435186813</v>
      </c>
      <c r="CG20" s="11">
        <f t="shared" si="253"/>
        <v>159.15041595618536</v>
      </c>
      <c r="CH20" s="11">
        <f t="shared" si="254"/>
        <v>82.113133947834569</v>
      </c>
      <c r="CI20" s="11">
        <f t="shared" si="255"/>
        <v>1936.465028241189</v>
      </c>
      <c r="CJ20" s="11">
        <f t="shared" si="256"/>
        <v>1223.9942681834552</v>
      </c>
      <c r="CK20" s="15">
        <f t="shared" si="257"/>
        <v>0.48924546346175873</v>
      </c>
      <c r="CL20" s="15">
        <f t="shared" si="258"/>
        <v>0.30924061848710305</v>
      </c>
      <c r="CM20" s="11">
        <f t="shared" si="259"/>
        <v>474.38307281832823</v>
      </c>
      <c r="CO20" s="7" t="str">
        <f t="shared" si="26"/>
        <v>2050_3</v>
      </c>
      <c r="CP20" s="30">
        <f>CP19</f>
        <v>2050</v>
      </c>
      <c r="CQ20" s="5" t="s">
        <v>23</v>
      </c>
      <c r="CR20" s="16">
        <f>CR18+CR19</f>
        <v>107.74464937919119</v>
      </c>
      <c r="CS20" s="16">
        <f t="shared" ref="CS20:DL20" si="277">CS18+CS19</f>
        <v>132.2729176328707</v>
      </c>
      <c r="CT20" s="16">
        <f t="shared" si="277"/>
        <v>145.56329933886676</v>
      </c>
      <c r="CU20" s="16">
        <f t="shared" si="277"/>
        <v>139.16219791131152</v>
      </c>
      <c r="CV20" s="16">
        <f t="shared" si="277"/>
        <v>96.477746570087675</v>
      </c>
      <c r="CW20" s="16">
        <f t="shared" si="277"/>
        <v>111.48965131181146</v>
      </c>
      <c r="CX20" s="16">
        <f t="shared" si="277"/>
        <v>135.14933051579575</v>
      </c>
      <c r="CY20" s="16">
        <f t="shared" si="277"/>
        <v>150.06886501191934</v>
      </c>
      <c r="CZ20" s="16">
        <f t="shared" si="277"/>
        <v>162.62294477717501</v>
      </c>
      <c r="DA20" s="16">
        <f t="shared" si="277"/>
        <v>178.75014430912825</v>
      </c>
      <c r="DB20" s="16">
        <f t="shared" si="277"/>
        <v>205.19907411768168</v>
      </c>
      <c r="DC20" s="16">
        <f t="shared" si="277"/>
        <v>220.77235847030073</v>
      </c>
      <c r="DD20" s="16">
        <f t="shared" si="277"/>
        <v>295.4520208841592</v>
      </c>
      <c r="DE20" s="16">
        <f t="shared" si="277"/>
        <v>342.50887685849142</v>
      </c>
      <c r="DF20" s="16">
        <f t="shared" si="277"/>
        <v>370.8515503703166</v>
      </c>
      <c r="DG20" s="16">
        <f t="shared" si="277"/>
        <v>387.4779877874405</v>
      </c>
      <c r="DH20" s="16">
        <f t="shared" si="277"/>
        <v>316.3884656779781</v>
      </c>
      <c r="DI20" s="16">
        <f t="shared" si="277"/>
        <v>258.4125450471945</v>
      </c>
      <c r="DJ20" s="16">
        <f t="shared" si="277"/>
        <v>180.3630126987336</v>
      </c>
      <c r="DK20" s="16">
        <f t="shared" si="277"/>
        <v>72.654868490896035</v>
      </c>
      <c r="DL20" s="16">
        <f t="shared" si="277"/>
        <v>8.6973884812125952</v>
      </c>
      <c r="DM20" s="11">
        <f t="shared" si="260"/>
        <v>4018.0798956425633</v>
      </c>
      <c r="DN20" s="11">
        <f t="shared" si="261"/>
        <v>166.70173018304249</v>
      </c>
      <c r="DO20" s="11">
        <f t="shared" si="262"/>
        <v>86.057759317809001</v>
      </c>
      <c r="DP20" s="11">
        <f t="shared" si="263"/>
        <v>1937.3546954122633</v>
      </c>
      <c r="DQ20" s="11">
        <f t="shared" si="264"/>
        <v>1223.9942681834552</v>
      </c>
      <c r="DR20" s="15">
        <f t="shared" si="265"/>
        <v>0.48215932627751928</v>
      </c>
      <c r="DS20" s="15">
        <f t="shared" si="266"/>
        <v>0.30462168497715164</v>
      </c>
      <c r="DT20" s="11">
        <f t="shared" si="267"/>
        <v>493.18559340961423</v>
      </c>
      <c r="DX20" s="28">
        <f>DX3</f>
        <v>2025</v>
      </c>
      <c r="DY20" s="3" t="s">
        <v>21</v>
      </c>
      <c r="DZ20" s="9">
        <f t="shared" ref="DZ20:ET20" si="278">ROUND(DZ3,0)</f>
        <v>113</v>
      </c>
      <c r="EA20" s="9">
        <f t="shared" si="278"/>
        <v>143</v>
      </c>
      <c r="EB20" s="9">
        <f t="shared" si="278"/>
        <v>144</v>
      </c>
      <c r="EC20" s="9">
        <f t="shared" si="278"/>
        <v>124</v>
      </c>
      <c r="ED20" s="9">
        <f t="shared" si="278"/>
        <v>101</v>
      </c>
      <c r="EE20" s="9">
        <f t="shared" si="278"/>
        <v>207</v>
      </c>
      <c r="EF20" s="9">
        <f t="shared" si="278"/>
        <v>221</v>
      </c>
      <c r="EG20" s="9">
        <f t="shared" si="278"/>
        <v>254</v>
      </c>
      <c r="EH20" s="9">
        <f t="shared" si="278"/>
        <v>196</v>
      </c>
      <c r="EI20" s="9">
        <f t="shared" si="278"/>
        <v>213</v>
      </c>
      <c r="EJ20" s="9">
        <f t="shared" si="278"/>
        <v>231</v>
      </c>
      <c r="EK20" s="9">
        <f t="shared" si="278"/>
        <v>198</v>
      </c>
      <c r="EL20" s="9">
        <f t="shared" si="278"/>
        <v>215</v>
      </c>
      <c r="EM20" s="9">
        <f t="shared" si="278"/>
        <v>274</v>
      </c>
      <c r="EN20" s="9">
        <f t="shared" si="278"/>
        <v>290</v>
      </c>
      <c r="EO20" s="9">
        <f t="shared" si="278"/>
        <v>258</v>
      </c>
      <c r="EP20" s="9">
        <f t="shared" si="278"/>
        <v>159</v>
      </c>
      <c r="EQ20" s="9">
        <f t="shared" si="278"/>
        <v>105</v>
      </c>
      <c r="ER20" s="9">
        <f t="shared" si="278"/>
        <v>51</v>
      </c>
      <c r="ES20" s="9">
        <f t="shared" si="278"/>
        <v>18</v>
      </c>
      <c r="ET20" s="9">
        <f t="shared" si="278"/>
        <v>0</v>
      </c>
      <c r="EU20" s="9">
        <f t="shared" ref="EU20:EU21" si="279">SUM(DZ20:ET20)</f>
        <v>3515</v>
      </c>
      <c r="EV20" s="9">
        <f>EA20*3/5+EB20*3/5</f>
        <v>172.2</v>
      </c>
      <c r="EW20" s="9">
        <f>EB20*2/5+EC20*1/5</f>
        <v>82.4</v>
      </c>
      <c r="EX20" s="9">
        <f t="shared" ref="EX20:EX31" si="280">SUM(EM20:ET20)</f>
        <v>1155</v>
      </c>
      <c r="EY20" s="9">
        <f>SUM(EO20:ET20)</f>
        <v>591</v>
      </c>
      <c r="EZ20" s="13">
        <f>EX20/EU20</f>
        <v>0.3285917496443812</v>
      </c>
      <c r="FA20" s="13">
        <f>EY20/EU20</f>
        <v>0.16813655761024182</v>
      </c>
      <c r="FB20" s="9">
        <f>SUM(ED20:EG20)</f>
        <v>783</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1">ROUND(DZ4,0)</f>
        <v>100</v>
      </c>
      <c r="EA21" s="10">
        <f t="shared" si="281"/>
        <v>133</v>
      </c>
      <c r="EB21" s="10">
        <f t="shared" si="281"/>
        <v>155</v>
      </c>
      <c r="EC21" s="10">
        <f t="shared" si="281"/>
        <v>162</v>
      </c>
      <c r="ED21" s="10">
        <f t="shared" si="281"/>
        <v>98</v>
      </c>
      <c r="EE21" s="10">
        <f t="shared" si="281"/>
        <v>194</v>
      </c>
      <c r="EF21" s="10">
        <f t="shared" si="281"/>
        <v>205</v>
      </c>
      <c r="EG21" s="10">
        <f t="shared" si="281"/>
        <v>259</v>
      </c>
      <c r="EH21" s="10">
        <f t="shared" si="281"/>
        <v>202</v>
      </c>
      <c r="EI21" s="10">
        <f t="shared" si="281"/>
        <v>223</v>
      </c>
      <c r="EJ21" s="10">
        <f t="shared" si="281"/>
        <v>252</v>
      </c>
      <c r="EK21" s="10">
        <f t="shared" si="281"/>
        <v>237</v>
      </c>
      <c r="EL21" s="10">
        <f t="shared" si="281"/>
        <v>249</v>
      </c>
      <c r="EM21" s="10">
        <f t="shared" si="281"/>
        <v>319</v>
      </c>
      <c r="EN21" s="10">
        <f t="shared" si="281"/>
        <v>319</v>
      </c>
      <c r="EO21" s="10">
        <f t="shared" si="281"/>
        <v>333</v>
      </c>
      <c r="EP21" s="10">
        <f t="shared" si="281"/>
        <v>218</v>
      </c>
      <c r="EQ21" s="10">
        <f t="shared" si="281"/>
        <v>177</v>
      </c>
      <c r="ER21" s="10">
        <f t="shared" si="281"/>
        <v>95</v>
      </c>
      <c r="ES21" s="10">
        <f t="shared" si="281"/>
        <v>36</v>
      </c>
      <c r="ET21" s="10">
        <f t="shared" si="281"/>
        <v>4</v>
      </c>
      <c r="EU21" s="10">
        <f t="shared" si="279"/>
        <v>3970</v>
      </c>
      <c r="EV21" s="10">
        <f t="shared" ref="EV21:EV31" si="282">EA21*3/5+EB21*3/5</f>
        <v>172.8</v>
      </c>
      <c r="EW21" s="10">
        <f t="shared" ref="EW21:EW31" si="283">EB21*2/5+EC21*1/5</f>
        <v>94.4</v>
      </c>
      <c r="EX21" s="10">
        <f t="shared" si="280"/>
        <v>1501</v>
      </c>
      <c r="EY21" s="10">
        <f t="shared" ref="EY21:EY31" si="284">SUM(EO21:ET21)</f>
        <v>863</v>
      </c>
      <c r="EZ21" s="14">
        <f t="shared" ref="EZ21:EZ31" si="285">EX21/EU21</f>
        <v>0.37808564231738034</v>
      </c>
      <c r="FA21" s="14">
        <f t="shared" ref="FA21:FA31" si="286">EY21/EU21</f>
        <v>0.21738035264483627</v>
      </c>
      <c r="FB21" s="10">
        <f>SUM(ED21:EG21)</f>
        <v>756</v>
      </c>
    </row>
    <row r="22" spans="1:158" x14ac:dyDescent="0.15">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213</v>
      </c>
      <c r="EA22" s="16">
        <f t="shared" ref="EA22:ET22" si="287">EA20+EA21</f>
        <v>276</v>
      </c>
      <c r="EB22" s="16">
        <f t="shared" si="287"/>
        <v>299</v>
      </c>
      <c r="EC22" s="16">
        <f t="shared" si="287"/>
        <v>286</v>
      </c>
      <c r="ED22" s="16">
        <f t="shared" si="287"/>
        <v>199</v>
      </c>
      <c r="EE22" s="16">
        <f t="shared" si="287"/>
        <v>401</v>
      </c>
      <c r="EF22" s="16">
        <f t="shared" si="287"/>
        <v>426</v>
      </c>
      <c r="EG22" s="16">
        <f t="shared" si="287"/>
        <v>513</v>
      </c>
      <c r="EH22" s="16">
        <f t="shared" si="287"/>
        <v>398</v>
      </c>
      <c r="EI22" s="16">
        <f t="shared" si="287"/>
        <v>436</v>
      </c>
      <c r="EJ22" s="16">
        <f t="shared" si="287"/>
        <v>483</v>
      </c>
      <c r="EK22" s="16">
        <f t="shared" si="287"/>
        <v>435</v>
      </c>
      <c r="EL22" s="16">
        <f t="shared" si="287"/>
        <v>464</v>
      </c>
      <c r="EM22" s="16">
        <f t="shared" si="287"/>
        <v>593</v>
      </c>
      <c r="EN22" s="16">
        <f t="shared" si="287"/>
        <v>609</v>
      </c>
      <c r="EO22" s="16">
        <f t="shared" si="287"/>
        <v>591</v>
      </c>
      <c r="EP22" s="16">
        <f t="shared" si="287"/>
        <v>377</v>
      </c>
      <c r="EQ22" s="16">
        <f t="shared" si="287"/>
        <v>282</v>
      </c>
      <c r="ER22" s="16">
        <f t="shared" si="287"/>
        <v>146</v>
      </c>
      <c r="ES22" s="16">
        <f t="shared" si="287"/>
        <v>54</v>
      </c>
      <c r="ET22" s="16">
        <f t="shared" si="287"/>
        <v>4</v>
      </c>
      <c r="EU22" s="11">
        <f>SUM(DZ22:ET22)</f>
        <v>7485</v>
      </c>
      <c r="EV22" s="11">
        <f t="shared" si="282"/>
        <v>345</v>
      </c>
      <c r="EW22" s="11">
        <f t="shared" si="283"/>
        <v>176.8</v>
      </c>
      <c r="EX22" s="11">
        <f t="shared" si="280"/>
        <v>2656</v>
      </c>
      <c r="EY22" s="11">
        <f t="shared" si="284"/>
        <v>1454</v>
      </c>
      <c r="EZ22" s="15">
        <f t="shared" si="285"/>
        <v>0.35484301937207746</v>
      </c>
      <c r="FA22" s="15">
        <f t="shared" si="286"/>
        <v>0.19425517702070808</v>
      </c>
      <c r="FB22" s="11">
        <f>SUM(ED22:EG22)</f>
        <v>1539</v>
      </c>
    </row>
    <row r="23" spans="1:158" x14ac:dyDescent="0.15">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88">ROUND(DZ6,0)</f>
        <v>195</v>
      </c>
      <c r="EA23" s="9">
        <f t="shared" si="288"/>
        <v>114</v>
      </c>
      <c r="EB23" s="9">
        <f t="shared" si="288"/>
        <v>135</v>
      </c>
      <c r="EC23" s="9">
        <f t="shared" si="288"/>
        <v>120</v>
      </c>
      <c r="ED23" s="9">
        <f t="shared" si="288"/>
        <v>76</v>
      </c>
      <c r="EE23" s="9">
        <f t="shared" si="288"/>
        <v>189</v>
      </c>
      <c r="EF23" s="9">
        <f t="shared" si="288"/>
        <v>297</v>
      </c>
      <c r="EG23" s="9">
        <f t="shared" si="288"/>
        <v>309</v>
      </c>
      <c r="EH23" s="9">
        <f t="shared" si="288"/>
        <v>249</v>
      </c>
      <c r="EI23" s="9">
        <f t="shared" si="288"/>
        <v>191</v>
      </c>
      <c r="EJ23" s="9">
        <f t="shared" si="288"/>
        <v>206</v>
      </c>
      <c r="EK23" s="9">
        <f t="shared" si="288"/>
        <v>218</v>
      </c>
      <c r="EL23" s="9">
        <f t="shared" si="288"/>
        <v>194</v>
      </c>
      <c r="EM23" s="9">
        <f t="shared" si="288"/>
        <v>202</v>
      </c>
      <c r="EN23" s="9">
        <f t="shared" si="288"/>
        <v>254</v>
      </c>
      <c r="EO23" s="9">
        <f t="shared" si="288"/>
        <v>257</v>
      </c>
      <c r="EP23" s="9">
        <f t="shared" si="288"/>
        <v>215</v>
      </c>
      <c r="EQ23" s="9">
        <f t="shared" si="288"/>
        <v>108</v>
      </c>
      <c r="ER23" s="9">
        <f t="shared" si="288"/>
        <v>50</v>
      </c>
      <c r="ES23" s="9">
        <f t="shared" si="288"/>
        <v>19</v>
      </c>
      <c r="ET23" s="9">
        <f t="shared" si="288"/>
        <v>0</v>
      </c>
      <c r="EU23" s="9">
        <f t="shared" ref="EU23:EU31" si="289">SUM(DZ23:ET23)</f>
        <v>3598</v>
      </c>
      <c r="EV23" s="9">
        <f t="shared" si="282"/>
        <v>149.4</v>
      </c>
      <c r="EW23" s="9">
        <f t="shared" si="283"/>
        <v>78</v>
      </c>
      <c r="EX23" s="9">
        <f t="shared" si="280"/>
        <v>1105</v>
      </c>
      <c r="EY23" s="9">
        <f t="shared" si="284"/>
        <v>649</v>
      </c>
      <c r="EZ23" s="13">
        <f t="shared" si="285"/>
        <v>0.30711506392440246</v>
      </c>
      <c r="FA23" s="13">
        <f t="shared" si="286"/>
        <v>0.18037798777098388</v>
      </c>
      <c r="FB23" s="9">
        <f t="shared" ref="FB23:FB31" si="290">SUM(ED23:EG23)</f>
        <v>871</v>
      </c>
    </row>
    <row r="24" spans="1:158" x14ac:dyDescent="0.15">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1">ROUND(DZ7,0)</f>
        <v>173</v>
      </c>
      <c r="EA24" s="10">
        <f t="shared" si="291"/>
        <v>106</v>
      </c>
      <c r="EB24" s="10">
        <f t="shared" si="291"/>
        <v>132</v>
      </c>
      <c r="EC24" s="10">
        <f t="shared" si="291"/>
        <v>135</v>
      </c>
      <c r="ED24" s="10">
        <f t="shared" si="291"/>
        <v>102</v>
      </c>
      <c r="EE24" s="10">
        <f t="shared" si="291"/>
        <v>177</v>
      </c>
      <c r="EF24" s="10">
        <f t="shared" si="291"/>
        <v>273</v>
      </c>
      <c r="EG24" s="10">
        <f t="shared" si="291"/>
        <v>295</v>
      </c>
      <c r="EH24" s="10">
        <f t="shared" si="291"/>
        <v>252</v>
      </c>
      <c r="EI24" s="10">
        <f t="shared" si="291"/>
        <v>195</v>
      </c>
      <c r="EJ24" s="10">
        <f t="shared" si="291"/>
        <v>219</v>
      </c>
      <c r="EK24" s="10">
        <f t="shared" si="291"/>
        <v>248</v>
      </c>
      <c r="EL24" s="10">
        <f t="shared" si="291"/>
        <v>234</v>
      </c>
      <c r="EM24" s="10">
        <f t="shared" si="291"/>
        <v>241</v>
      </c>
      <c r="EN24" s="10">
        <f t="shared" si="291"/>
        <v>315</v>
      </c>
      <c r="EO24" s="10">
        <f t="shared" si="291"/>
        <v>301</v>
      </c>
      <c r="EP24" s="10">
        <f t="shared" si="291"/>
        <v>302</v>
      </c>
      <c r="EQ24" s="10">
        <f t="shared" si="291"/>
        <v>176</v>
      </c>
      <c r="ER24" s="10">
        <f t="shared" si="291"/>
        <v>98</v>
      </c>
      <c r="ES24" s="10">
        <f t="shared" si="291"/>
        <v>36</v>
      </c>
      <c r="ET24" s="10">
        <f t="shared" si="291"/>
        <v>6</v>
      </c>
      <c r="EU24" s="10">
        <f t="shared" si="289"/>
        <v>4016</v>
      </c>
      <c r="EV24" s="10">
        <f t="shared" si="282"/>
        <v>142.80000000000001</v>
      </c>
      <c r="EW24" s="10">
        <f t="shared" si="283"/>
        <v>79.8</v>
      </c>
      <c r="EX24" s="10">
        <f t="shared" si="280"/>
        <v>1475</v>
      </c>
      <c r="EY24" s="10">
        <f t="shared" si="284"/>
        <v>919</v>
      </c>
      <c r="EZ24" s="14">
        <f t="shared" si="285"/>
        <v>0.36728087649402391</v>
      </c>
      <c r="FA24" s="14">
        <f t="shared" si="286"/>
        <v>0.22883466135458166</v>
      </c>
      <c r="FB24" s="10">
        <f t="shared" si="290"/>
        <v>847</v>
      </c>
    </row>
    <row r="25" spans="1:158" x14ac:dyDescent="0.15">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368</v>
      </c>
      <c r="EA25" s="16">
        <f t="shared" ref="EA25:ET25" si="292">EA23+EA24</f>
        <v>220</v>
      </c>
      <c r="EB25" s="16">
        <f t="shared" si="292"/>
        <v>267</v>
      </c>
      <c r="EC25" s="16">
        <f t="shared" si="292"/>
        <v>255</v>
      </c>
      <c r="ED25" s="16">
        <f t="shared" si="292"/>
        <v>178</v>
      </c>
      <c r="EE25" s="16">
        <f t="shared" si="292"/>
        <v>366</v>
      </c>
      <c r="EF25" s="16">
        <f t="shared" si="292"/>
        <v>570</v>
      </c>
      <c r="EG25" s="16">
        <f t="shared" si="292"/>
        <v>604</v>
      </c>
      <c r="EH25" s="16">
        <f t="shared" si="292"/>
        <v>501</v>
      </c>
      <c r="EI25" s="16">
        <f t="shared" si="292"/>
        <v>386</v>
      </c>
      <c r="EJ25" s="16">
        <f t="shared" si="292"/>
        <v>425</v>
      </c>
      <c r="EK25" s="16">
        <f t="shared" si="292"/>
        <v>466</v>
      </c>
      <c r="EL25" s="16">
        <f t="shared" si="292"/>
        <v>428</v>
      </c>
      <c r="EM25" s="16">
        <f t="shared" si="292"/>
        <v>443</v>
      </c>
      <c r="EN25" s="16">
        <f t="shared" si="292"/>
        <v>569</v>
      </c>
      <c r="EO25" s="16">
        <f t="shared" si="292"/>
        <v>558</v>
      </c>
      <c r="EP25" s="16">
        <f t="shared" si="292"/>
        <v>517</v>
      </c>
      <c r="EQ25" s="16">
        <f t="shared" si="292"/>
        <v>284</v>
      </c>
      <c r="ER25" s="16">
        <f t="shared" si="292"/>
        <v>148</v>
      </c>
      <c r="ES25" s="16">
        <f t="shared" si="292"/>
        <v>55</v>
      </c>
      <c r="ET25" s="16">
        <f t="shared" si="292"/>
        <v>6</v>
      </c>
      <c r="EU25" s="11">
        <f t="shared" si="289"/>
        <v>7614</v>
      </c>
      <c r="EV25" s="11">
        <f t="shared" si="282"/>
        <v>292.2</v>
      </c>
      <c r="EW25" s="11">
        <f t="shared" si="283"/>
        <v>157.80000000000001</v>
      </c>
      <c r="EX25" s="11">
        <f t="shared" si="280"/>
        <v>2580</v>
      </c>
      <c r="EY25" s="11">
        <f t="shared" si="284"/>
        <v>1568</v>
      </c>
      <c r="EZ25" s="15">
        <f t="shared" si="285"/>
        <v>0.33884948778565799</v>
      </c>
      <c r="FA25" s="15">
        <f t="shared" si="286"/>
        <v>0.20593643288678751</v>
      </c>
      <c r="FB25" s="11">
        <f t="shared" si="290"/>
        <v>1718</v>
      </c>
    </row>
    <row r="26" spans="1:158" x14ac:dyDescent="0.15">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293">ROUND(DZ9,0)</f>
        <v>204</v>
      </c>
      <c r="EA26" s="9">
        <f t="shared" si="293"/>
        <v>197</v>
      </c>
      <c r="EB26" s="9">
        <f t="shared" si="293"/>
        <v>107</v>
      </c>
      <c r="EC26" s="9">
        <f t="shared" si="293"/>
        <v>113</v>
      </c>
      <c r="ED26" s="9">
        <f t="shared" si="293"/>
        <v>74</v>
      </c>
      <c r="EE26" s="9">
        <f t="shared" si="293"/>
        <v>163</v>
      </c>
      <c r="EF26" s="9">
        <f t="shared" si="293"/>
        <v>279</v>
      </c>
      <c r="EG26" s="9">
        <f t="shared" si="293"/>
        <v>384</v>
      </c>
      <c r="EH26" s="9">
        <f t="shared" si="293"/>
        <v>302</v>
      </c>
      <c r="EI26" s="9">
        <f t="shared" si="293"/>
        <v>243</v>
      </c>
      <c r="EJ26" s="9">
        <f t="shared" si="293"/>
        <v>185</v>
      </c>
      <c r="EK26" s="9">
        <f t="shared" si="293"/>
        <v>195</v>
      </c>
      <c r="EL26" s="9">
        <f t="shared" si="293"/>
        <v>215</v>
      </c>
      <c r="EM26" s="9">
        <f t="shared" si="293"/>
        <v>183</v>
      </c>
      <c r="EN26" s="9">
        <f t="shared" si="293"/>
        <v>188</v>
      </c>
      <c r="EO26" s="9">
        <f t="shared" si="293"/>
        <v>226</v>
      </c>
      <c r="EP26" s="9">
        <f t="shared" si="293"/>
        <v>214</v>
      </c>
      <c r="EQ26" s="9">
        <f t="shared" si="293"/>
        <v>146</v>
      </c>
      <c r="ER26" s="9">
        <f t="shared" si="293"/>
        <v>51</v>
      </c>
      <c r="ES26" s="9">
        <f t="shared" si="293"/>
        <v>19</v>
      </c>
      <c r="ET26" s="9">
        <f t="shared" si="293"/>
        <v>0</v>
      </c>
      <c r="EU26" s="9">
        <f t="shared" si="289"/>
        <v>3688</v>
      </c>
      <c r="EV26" s="9">
        <f t="shared" si="282"/>
        <v>182.4</v>
      </c>
      <c r="EW26" s="9">
        <f t="shared" si="283"/>
        <v>65.400000000000006</v>
      </c>
      <c r="EX26" s="9">
        <f t="shared" si="280"/>
        <v>1027</v>
      </c>
      <c r="EY26" s="9">
        <f t="shared" si="284"/>
        <v>656</v>
      </c>
      <c r="EZ26" s="13">
        <f t="shared" si="285"/>
        <v>0.27847071583514099</v>
      </c>
      <c r="FA26" s="13">
        <f t="shared" si="286"/>
        <v>0.17787418655097614</v>
      </c>
      <c r="FB26" s="9">
        <f t="shared" si="290"/>
        <v>900</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294">ROUND(DZ10,0)</f>
        <v>181</v>
      </c>
      <c r="EA27" s="10">
        <f t="shared" si="294"/>
        <v>183</v>
      </c>
      <c r="EB27" s="10">
        <f t="shared" si="294"/>
        <v>105</v>
      </c>
      <c r="EC27" s="10">
        <f t="shared" si="294"/>
        <v>115</v>
      </c>
      <c r="ED27" s="10">
        <f t="shared" si="294"/>
        <v>85</v>
      </c>
      <c r="EE27" s="10">
        <f t="shared" si="294"/>
        <v>180</v>
      </c>
      <c r="EF27" s="10">
        <f t="shared" si="294"/>
        <v>257</v>
      </c>
      <c r="EG27" s="10">
        <f t="shared" si="294"/>
        <v>364</v>
      </c>
      <c r="EH27" s="10">
        <f t="shared" si="294"/>
        <v>287</v>
      </c>
      <c r="EI27" s="10">
        <f t="shared" si="294"/>
        <v>243</v>
      </c>
      <c r="EJ27" s="10">
        <f t="shared" si="294"/>
        <v>191</v>
      </c>
      <c r="EK27" s="10">
        <f t="shared" si="294"/>
        <v>215</v>
      </c>
      <c r="EL27" s="10">
        <f t="shared" si="294"/>
        <v>245</v>
      </c>
      <c r="EM27" s="10">
        <f t="shared" si="294"/>
        <v>226</v>
      </c>
      <c r="EN27" s="10">
        <f t="shared" si="294"/>
        <v>238</v>
      </c>
      <c r="EO27" s="10">
        <f t="shared" si="294"/>
        <v>296</v>
      </c>
      <c r="EP27" s="10">
        <f t="shared" si="294"/>
        <v>272</v>
      </c>
      <c r="EQ27" s="10">
        <f t="shared" si="294"/>
        <v>243</v>
      </c>
      <c r="ER27" s="10">
        <f t="shared" si="294"/>
        <v>97</v>
      </c>
      <c r="ES27" s="10">
        <f t="shared" si="294"/>
        <v>38</v>
      </c>
      <c r="ET27" s="10">
        <f t="shared" si="294"/>
        <v>6</v>
      </c>
      <c r="EU27" s="10">
        <f t="shared" si="289"/>
        <v>4067</v>
      </c>
      <c r="EV27" s="10">
        <f t="shared" si="282"/>
        <v>172.8</v>
      </c>
      <c r="EW27" s="10">
        <f t="shared" si="283"/>
        <v>65</v>
      </c>
      <c r="EX27" s="10">
        <f t="shared" si="280"/>
        <v>1416</v>
      </c>
      <c r="EY27" s="10">
        <f t="shared" si="284"/>
        <v>952</v>
      </c>
      <c r="EZ27" s="14">
        <f t="shared" si="285"/>
        <v>0.34816818293582491</v>
      </c>
      <c r="FA27" s="14">
        <f t="shared" si="286"/>
        <v>0.23407917383820998</v>
      </c>
      <c r="FB27" s="10">
        <f t="shared" si="290"/>
        <v>886</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385</v>
      </c>
      <c r="EA28" s="16">
        <f t="shared" ref="EA28:ET28" si="295">EA26+EA27</f>
        <v>380</v>
      </c>
      <c r="EB28" s="16">
        <f t="shared" si="295"/>
        <v>212</v>
      </c>
      <c r="EC28" s="16">
        <f t="shared" si="295"/>
        <v>228</v>
      </c>
      <c r="ED28" s="16">
        <f t="shared" si="295"/>
        <v>159</v>
      </c>
      <c r="EE28" s="16">
        <f t="shared" si="295"/>
        <v>343</v>
      </c>
      <c r="EF28" s="16">
        <f t="shared" si="295"/>
        <v>536</v>
      </c>
      <c r="EG28" s="16">
        <f t="shared" si="295"/>
        <v>748</v>
      </c>
      <c r="EH28" s="16">
        <f t="shared" si="295"/>
        <v>589</v>
      </c>
      <c r="EI28" s="16">
        <f t="shared" si="295"/>
        <v>486</v>
      </c>
      <c r="EJ28" s="16">
        <f t="shared" si="295"/>
        <v>376</v>
      </c>
      <c r="EK28" s="16">
        <f t="shared" si="295"/>
        <v>410</v>
      </c>
      <c r="EL28" s="16">
        <f t="shared" si="295"/>
        <v>460</v>
      </c>
      <c r="EM28" s="16">
        <f t="shared" si="295"/>
        <v>409</v>
      </c>
      <c r="EN28" s="16">
        <f t="shared" si="295"/>
        <v>426</v>
      </c>
      <c r="EO28" s="16">
        <f t="shared" si="295"/>
        <v>522</v>
      </c>
      <c r="EP28" s="16">
        <f t="shared" si="295"/>
        <v>486</v>
      </c>
      <c r="EQ28" s="16">
        <f t="shared" si="295"/>
        <v>389</v>
      </c>
      <c r="ER28" s="16">
        <f t="shared" si="295"/>
        <v>148</v>
      </c>
      <c r="ES28" s="16">
        <f t="shared" si="295"/>
        <v>57</v>
      </c>
      <c r="ET28" s="16">
        <f t="shared" si="295"/>
        <v>6</v>
      </c>
      <c r="EU28" s="11">
        <f t="shared" si="289"/>
        <v>7755</v>
      </c>
      <c r="EV28" s="11">
        <f t="shared" si="282"/>
        <v>355.2</v>
      </c>
      <c r="EW28" s="11">
        <f t="shared" si="283"/>
        <v>130.4</v>
      </c>
      <c r="EX28" s="11">
        <f t="shared" si="280"/>
        <v>2443</v>
      </c>
      <c r="EY28" s="11">
        <f t="shared" si="284"/>
        <v>1608</v>
      </c>
      <c r="EZ28" s="15">
        <f t="shared" si="285"/>
        <v>0.31502256608639589</v>
      </c>
      <c r="FA28" s="15">
        <f t="shared" si="286"/>
        <v>0.20735009671179883</v>
      </c>
      <c r="FB28" s="11">
        <f t="shared" si="290"/>
        <v>1786</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296">ROUND(DZ12,0)</f>
        <v>195</v>
      </c>
      <c r="EA29" s="9">
        <f t="shared" si="296"/>
        <v>206</v>
      </c>
      <c r="EB29" s="9">
        <f t="shared" si="296"/>
        <v>186</v>
      </c>
      <c r="EC29" s="9">
        <f t="shared" si="296"/>
        <v>90</v>
      </c>
      <c r="ED29" s="9">
        <f t="shared" si="296"/>
        <v>69</v>
      </c>
      <c r="EE29" s="9">
        <f t="shared" si="296"/>
        <v>161</v>
      </c>
      <c r="EF29" s="9">
        <f t="shared" si="296"/>
        <v>254</v>
      </c>
      <c r="EG29" s="9">
        <f t="shared" si="296"/>
        <v>366</v>
      </c>
      <c r="EH29" s="9">
        <f t="shared" si="296"/>
        <v>376</v>
      </c>
      <c r="EI29" s="9">
        <f t="shared" si="296"/>
        <v>295</v>
      </c>
      <c r="EJ29" s="9">
        <f t="shared" si="296"/>
        <v>235</v>
      </c>
      <c r="EK29" s="9">
        <f t="shared" si="296"/>
        <v>175</v>
      </c>
      <c r="EL29" s="9">
        <f t="shared" si="296"/>
        <v>192</v>
      </c>
      <c r="EM29" s="9">
        <f t="shared" si="296"/>
        <v>202</v>
      </c>
      <c r="EN29" s="9">
        <f t="shared" si="296"/>
        <v>170</v>
      </c>
      <c r="EO29" s="9">
        <f t="shared" si="296"/>
        <v>167</v>
      </c>
      <c r="EP29" s="9">
        <f t="shared" si="296"/>
        <v>188</v>
      </c>
      <c r="EQ29" s="9">
        <f t="shared" si="296"/>
        <v>146</v>
      </c>
      <c r="ER29" s="9">
        <f t="shared" si="296"/>
        <v>70</v>
      </c>
      <c r="ES29" s="9">
        <f t="shared" si="296"/>
        <v>19</v>
      </c>
      <c r="ET29" s="9">
        <f t="shared" si="296"/>
        <v>0</v>
      </c>
      <c r="EU29" s="9">
        <f t="shared" si="289"/>
        <v>3762</v>
      </c>
      <c r="EV29" s="9">
        <f t="shared" si="282"/>
        <v>235.2</v>
      </c>
      <c r="EW29" s="9">
        <f t="shared" si="283"/>
        <v>92.4</v>
      </c>
      <c r="EX29" s="9">
        <f t="shared" si="280"/>
        <v>962</v>
      </c>
      <c r="EY29" s="9">
        <f t="shared" si="284"/>
        <v>590</v>
      </c>
      <c r="EZ29" s="13">
        <f t="shared" si="285"/>
        <v>0.2557150451887294</v>
      </c>
      <c r="FA29" s="13">
        <f t="shared" si="286"/>
        <v>0.15683147262094629</v>
      </c>
      <c r="FB29" s="9">
        <f t="shared" si="290"/>
        <v>850</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297">ROUND(DZ13,0)</f>
        <v>173</v>
      </c>
      <c r="EA30" s="10">
        <f t="shared" si="297"/>
        <v>191</v>
      </c>
      <c r="EB30" s="10">
        <f t="shared" si="297"/>
        <v>181</v>
      </c>
      <c r="EC30" s="10">
        <f t="shared" si="297"/>
        <v>91</v>
      </c>
      <c r="ED30" s="10">
        <f t="shared" si="297"/>
        <v>72</v>
      </c>
      <c r="EE30" s="10">
        <f t="shared" si="297"/>
        <v>165</v>
      </c>
      <c r="EF30" s="10">
        <f t="shared" si="297"/>
        <v>261</v>
      </c>
      <c r="EG30" s="10">
        <f t="shared" si="297"/>
        <v>348</v>
      </c>
      <c r="EH30" s="10">
        <f t="shared" si="297"/>
        <v>353</v>
      </c>
      <c r="EI30" s="10">
        <f t="shared" si="297"/>
        <v>277</v>
      </c>
      <c r="EJ30" s="10">
        <f t="shared" si="297"/>
        <v>239</v>
      </c>
      <c r="EK30" s="10">
        <f t="shared" si="297"/>
        <v>188</v>
      </c>
      <c r="EL30" s="10">
        <f t="shared" si="297"/>
        <v>213</v>
      </c>
      <c r="EM30" s="10">
        <f t="shared" si="297"/>
        <v>237</v>
      </c>
      <c r="EN30" s="10">
        <f t="shared" si="297"/>
        <v>224</v>
      </c>
      <c r="EO30" s="10">
        <f t="shared" si="297"/>
        <v>224</v>
      </c>
      <c r="EP30" s="10">
        <f t="shared" si="297"/>
        <v>269</v>
      </c>
      <c r="EQ30" s="10">
        <f t="shared" si="297"/>
        <v>220</v>
      </c>
      <c r="ER30" s="10">
        <f t="shared" si="297"/>
        <v>134</v>
      </c>
      <c r="ES30" s="10">
        <f t="shared" si="297"/>
        <v>37</v>
      </c>
      <c r="ET30" s="10">
        <f t="shared" si="297"/>
        <v>6</v>
      </c>
      <c r="EU30" s="10">
        <f t="shared" si="289"/>
        <v>4103</v>
      </c>
      <c r="EV30" s="10">
        <f t="shared" si="282"/>
        <v>223.2</v>
      </c>
      <c r="EW30" s="10">
        <f t="shared" si="283"/>
        <v>90.600000000000009</v>
      </c>
      <c r="EX30" s="10">
        <f t="shared" si="280"/>
        <v>1351</v>
      </c>
      <c r="EY30" s="10">
        <f t="shared" si="284"/>
        <v>890</v>
      </c>
      <c r="EZ30" s="14">
        <f t="shared" si="285"/>
        <v>0.32927126492810138</v>
      </c>
      <c r="FA30" s="14">
        <f t="shared" si="286"/>
        <v>0.21691445283938582</v>
      </c>
      <c r="FB30" s="10">
        <f t="shared" si="290"/>
        <v>846</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368</v>
      </c>
      <c r="EA31" s="16">
        <f t="shared" ref="EA31:ET31" si="298">EA29+EA30</f>
        <v>397</v>
      </c>
      <c r="EB31" s="16">
        <f t="shared" si="298"/>
        <v>367</v>
      </c>
      <c r="EC31" s="16">
        <f t="shared" si="298"/>
        <v>181</v>
      </c>
      <c r="ED31" s="16">
        <f t="shared" si="298"/>
        <v>141</v>
      </c>
      <c r="EE31" s="16">
        <f t="shared" si="298"/>
        <v>326</v>
      </c>
      <c r="EF31" s="16">
        <f t="shared" si="298"/>
        <v>515</v>
      </c>
      <c r="EG31" s="16">
        <f t="shared" si="298"/>
        <v>714</v>
      </c>
      <c r="EH31" s="16">
        <f t="shared" si="298"/>
        <v>729</v>
      </c>
      <c r="EI31" s="16">
        <f t="shared" si="298"/>
        <v>572</v>
      </c>
      <c r="EJ31" s="16">
        <f t="shared" si="298"/>
        <v>474</v>
      </c>
      <c r="EK31" s="16">
        <f t="shared" si="298"/>
        <v>363</v>
      </c>
      <c r="EL31" s="16">
        <f t="shared" si="298"/>
        <v>405</v>
      </c>
      <c r="EM31" s="16">
        <f t="shared" si="298"/>
        <v>439</v>
      </c>
      <c r="EN31" s="16">
        <f t="shared" si="298"/>
        <v>394</v>
      </c>
      <c r="EO31" s="16">
        <f t="shared" si="298"/>
        <v>391</v>
      </c>
      <c r="EP31" s="16">
        <f t="shared" si="298"/>
        <v>457</v>
      </c>
      <c r="EQ31" s="16">
        <f t="shared" si="298"/>
        <v>366</v>
      </c>
      <c r="ER31" s="16">
        <f t="shared" si="298"/>
        <v>204</v>
      </c>
      <c r="ES31" s="16">
        <f t="shared" si="298"/>
        <v>56</v>
      </c>
      <c r="ET31" s="16">
        <f t="shared" si="298"/>
        <v>6</v>
      </c>
      <c r="EU31" s="11">
        <f t="shared" si="289"/>
        <v>7865</v>
      </c>
      <c r="EV31" s="11">
        <f t="shared" si="282"/>
        <v>458.4</v>
      </c>
      <c r="EW31" s="11">
        <f t="shared" si="283"/>
        <v>183</v>
      </c>
      <c r="EX31" s="11">
        <f t="shared" si="280"/>
        <v>2313</v>
      </c>
      <c r="EY31" s="11">
        <f t="shared" si="284"/>
        <v>1480</v>
      </c>
      <c r="EZ31" s="15">
        <f t="shared" si="285"/>
        <v>0.29408773045136682</v>
      </c>
      <c r="FA31" s="15">
        <f t="shared" si="286"/>
        <v>0.18817546090273363</v>
      </c>
      <c r="FB31" s="11">
        <f t="shared" si="290"/>
        <v>1696</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69">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4" t="s">
        <v>104</v>
      </c>
      <c r="G1" s="64" t="s">
        <v>105</v>
      </c>
      <c r="N1" s="64" t="s">
        <v>118</v>
      </c>
    </row>
    <row r="2" spans="1:21" x14ac:dyDescent="0.15">
      <c r="A2" s="68" t="s">
        <v>63</v>
      </c>
      <c r="G2" s="68" t="s">
        <v>63</v>
      </c>
      <c r="N2" s="68" t="s">
        <v>63</v>
      </c>
      <c r="P2" s="2" t="s">
        <v>120</v>
      </c>
      <c r="S2" s="2" t="s">
        <v>119</v>
      </c>
    </row>
    <row r="3" spans="1:21" x14ac:dyDescent="0.15">
      <c r="A3" s="68"/>
      <c r="C3" s="7" t="s">
        <v>377</v>
      </c>
      <c r="D3" s="7" t="s">
        <v>378</v>
      </c>
      <c r="E3" s="7" t="s">
        <v>379</v>
      </c>
      <c r="G3" s="68"/>
      <c r="I3" s="7" t="s">
        <v>391</v>
      </c>
      <c r="J3" s="7" t="s">
        <v>392</v>
      </c>
      <c r="K3" s="7" t="s">
        <v>393</v>
      </c>
      <c r="N3" s="68"/>
      <c r="P3" s="7" t="s">
        <v>21</v>
      </c>
      <c r="Q3" s="7" t="s">
        <v>22</v>
      </c>
      <c r="R3" s="7" t="s">
        <v>379</v>
      </c>
      <c r="S3" s="7" t="s">
        <v>21</v>
      </c>
      <c r="T3" s="7" t="s">
        <v>22</v>
      </c>
      <c r="U3" s="7" t="s">
        <v>379</v>
      </c>
    </row>
    <row r="4" spans="1:21" x14ac:dyDescent="0.15">
      <c r="A4" s="1" t="s">
        <v>58</v>
      </c>
      <c r="B4" s="1">
        <f>管理者入力シート!B7</f>
        <v>2010</v>
      </c>
      <c r="C4" s="17">
        <f>SUM(B41:B61)</f>
        <v>3952</v>
      </c>
      <c r="D4" s="17">
        <f>SUM(C41:C61)</f>
        <v>4453</v>
      </c>
      <c r="E4" s="17">
        <f>C4+D4</f>
        <v>8405</v>
      </c>
      <c r="F4" s="85"/>
      <c r="G4" s="1" t="s">
        <v>58</v>
      </c>
      <c r="H4" s="1">
        <f>B4</f>
        <v>2010</v>
      </c>
      <c r="I4" s="17">
        <f>C4</f>
        <v>3952</v>
      </c>
      <c r="J4" s="17">
        <f>D4</f>
        <v>4453</v>
      </c>
      <c r="K4" s="17">
        <f>I4+J4</f>
        <v>8405</v>
      </c>
      <c r="N4" s="1" t="s">
        <v>58</v>
      </c>
      <c r="O4" s="1">
        <f>H4</f>
        <v>2010</v>
      </c>
      <c r="P4" s="17">
        <f>I4</f>
        <v>3952</v>
      </c>
      <c r="Q4" s="17">
        <f t="shared" ref="Q4:R4" si="0">J4</f>
        <v>4453</v>
      </c>
      <c r="R4" s="17">
        <f t="shared" si="0"/>
        <v>8405</v>
      </c>
      <c r="S4" s="1"/>
      <c r="T4" s="1"/>
      <c r="U4" s="1"/>
    </row>
    <row r="5" spans="1:21" x14ac:dyDescent="0.15">
      <c r="A5" s="1" t="s">
        <v>61</v>
      </c>
      <c r="B5" s="1">
        <f>管理者入力シート!B6</f>
        <v>2015</v>
      </c>
      <c r="C5" s="17">
        <f>SUM(B65:B85)</f>
        <v>3672</v>
      </c>
      <c r="D5" s="17">
        <f>SUM(C65:C85)</f>
        <v>4225</v>
      </c>
      <c r="E5" s="17">
        <f t="shared" ref="E5" si="1">C5+D5</f>
        <v>7897</v>
      </c>
      <c r="F5" s="85"/>
      <c r="G5" s="1" t="s">
        <v>57</v>
      </c>
      <c r="H5" s="1">
        <f t="shared" ref="H5:H6" si="2">B5</f>
        <v>2015</v>
      </c>
      <c r="I5" s="17">
        <f t="shared" ref="I5" si="3">C5</f>
        <v>3672</v>
      </c>
      <c r="J5" s="17">
        <f>D5</f>
        <v>4225</v>
      </c>
      <c r="K5" s="17">
        <f t="shared" ref="K5:K10" si="4">I5+J5</f>
        <v>7897</v>
      </c>
      <c r="N5" s="1" t="s">
        <v>57</v>
      </c>
      <c r="O5" s="1">
        <f t="shared" ref="O5:O10" si="5">H5</f>
        <v>2015</v>
      </c>
      <c r="P5" s="17">
        <f t="shared" ref="P5:P10" si="6">I5</f>
        <v>3672</v>
      </c>
      <c r="Q5" s="17">
        <f t="shared" ref="Q5:Q10" si="7">J5</f>
        <v>4225</v>
      </c>
      <c r="R5" s="17">
        <f t="shared" ref="R5:R10" si="8">K5</f>
        <v>7897</v>
      </c>
      <c r="S5" s="1"/>
      <c r="T5" s="1"/>
      <c r="U5" s="1"/>
    </row>
    <row r="6" spans="1:21" x14ac:dyDescent="0.15">
      <c r="A6" s="1" t="s">
        <v>62</v>
      </c>
      <c r="B6" s="1">
        <f>管理者入力シート!B5</f>
        <v>2020</v>
      </c>
      <c r="C6" s="17">
        <f>SUM(B89:B109)</f>
        <v>3513</v>
      </c>
      <c r="D6" s="17">
        <f>SUM(C89:C109)</f>
        <v>3982</v>
      </c>
      <c r="E6" s="17">
        <f>C6+D6</f>
        <v>7495</v>
      </c>
      <c r="F6" s="85"/>
      <c r="G6" s="1" t="s">
        <v>62</v>
      </c>
      <c r="H6" s="1">
        <f t="shared" si="2"/>
        <v>2020</v>
      </c>
      <c r="I6" s="17">
        <f>C6</f>
        <v>3513</v>
      </c>
      <c r="J6" s="17">
        <f>D6</f>
        <v>3982</v>
      </c>
      <c r="K6" s="17">
        <f t="shared" si="4"/>
        <v>7495</v>
      </c>
      <c r="N6" s="1" t="s">
        <v>62</v>
      </c>
      <c r="O6" s="1">
        <f t="shared" si="5"/>
        <v>2020</v>
      </c>
      <c r="P6" s="17">
        <f t="shared" si="6"/>
        <v>3513</v>
      </c>
      <c r="Q6" s="17">
        <f t="shared" si="7"/>
        <v>3982</v>
      </c>
      <c r="R6" s="17">
        <f t="shared" si="8"/>
        <v>7495</v>
      </c>
      <c r="S6" s="1"/>
      <c r="T6" s="1"/>
      <c r="U6" s="1"/>
    </row>
    <row r="7" spans="1:21" x14ac:dyDescent="0.15">
      <c r="G7" s="1" t="s">
        <v>106</v>
      </c>
      <c r="H7" s="1">
        <f>管理者入力シート!B8</f>
        <v>2025</v>
      </c>
      <c r="I7" s="17">
        <f>SUM(H69:H89)</f>
        <v>3248</v>
      </c>
      <c r="J7" s="17">
        <f>SUM(I69:I89)</f>
        <v>3703</v>
      </c>
      <c r="K7" s="17">
        <f t="shared" si="4"/>
        <v>6951</v>
      </c>
      <c r="N7" s="1" t="s">
        <v>106</v>
      </c>
      <c r="O7" s="1">
        <f t="shared" si="5"/>
        <v>2025</v>
      </c>
      <c r="P7" s="17">
        <f t="shared" si="6"/>
        <v>3248</v>
      </c>
      <c r="Q7" s="17">
        <f t="shared" si="7"/>
        <v>3703</v>
      </c>
      <c r="R7" s="17">
        <f t="shared" si="8"/>
        <v>6951</v>
      </c>
      <c r="S7" s="236">
        <f>SUM(O69:O89)</f>
        <v>3252</v>
      </c>
      <c r="T7" s="236">
        <f>SUM(P69:P89)</f>
        <v>3708</v>
      </c>
      <c r="U7" s="236">
        <f>S7+T7</f>
        <v>6960</v>
      </c>
    </row>
    <row r="8" spans="1:21" x14ac:dyDescent="0.15">
      <c r="A8" s="69" t="s">
        <v>71</v>
      </c>
      <c r="G8" s="1" t="s">
        <v>107</v>
      </c>
      <c r="H8" s="1">
        <f>管理者入力シート!B9</f>
        <v>2030</v>
      </c>
      <c r="I8" s="17">
        <f>SUM(H93:H113)</f>
        <v>2965</v>
      </c>
      <c r="J8" s="17">
        <f>SUM(I93:I113)</f>
        <v>3398</v>
      </c>
      <c r="K8" s="17">
        <f t="shared" si="4"/>
        <v>6363</v>
      </c>
      <c r="N8" s="1" t="s">
        <v>107</v>
      </c>
      <c r="O8" s="1">
        <f t="shared" si="5"/>
        <v>2030</v>
      </c>
      <c r="P8" s="17">
        <f t="shared" si="6"/>
        <v>2965</v>
      </c>
      <c r="Q8" s="17">
        <f t="shared" si="7"/>
        <v>3398</v>
      </c>
      <c r="R8" s="17">
        <f t="shared" si="8"/>
        <v>6363</v>
      </c>
      <c r="S8" s="236">
        <f>SUM(O93:O113)</f>
        <v>2974</v>
      </c>
      <c r="T8" s="236">
        <f>SUM(P93:P113)</f>
        <v>3409</v>
      </c>
      <c r="U8" s="236">
        <f t="shared" ref="U8:U10" si="9">S8+T8</f>
        <v>6383</v>
      </c>
    </row>
    <row r="9" spans="1:21" x14ac:dyDescent="0.15">
      <c r="A9" s="2" t="s">
        <v>72</v>
      </c>
      <c r="G9" s="1" t="s">
        <v>108</v>
      </c>
      <c r="H9" s="1">
        <f>管理者入力シート!B10</f>
        <v>2035</v>
      </c>
      <c r="I9" s="17">
        <f>SUM(H117:H137)</f>
        <v>2672</v>
      </c>
      <c r="J9" s="17">
        <f>SUM(I117:I137)</f>
        <v>3081</v>
      </c>
      <c r="K9" s="17">
        <f t="shared" si="4"/>
        <v>5753</v>
      </c>
      <c r="N9" s="1" t="s">
        <v>108</v>
      </c>
      <c r="O9" s="1">
        <f t="shared" si="5"/>
        <v>2035</v>
      </c>
      <c r="P9" s="17">
        <f t="shared" si="6"/>
        <v>2672</v>
      </c>
      <c r="Q9" s="17">
        <f t="shared" si="7"/>
        <v>3081</v>
      </c>
      <c r="R9" s="17">
        <f t="shared" si="8"/>
        <v>5753</v>
      </c>
      <c r="S9" s="236">
        <f>SUM(O117:O137)</f>
        <v>2685</v>
      </c>
      <c r="T9" s="236">
        <f>SUM(P117:P137)</f>
        <v>3098</v>
      </c>
      <c r="U9" s="236">
        <f t="shared" si="9"/>
        <v>5783</v>
      </c>
    </row>
    <row r="10" spans="1:21" x14ac:dyDescent="0.15">
      <c r="A10" s="1" t="s">
        <v>58</v>
      </c>
      <c r="B10" s="1">
        <f>B4</f>
        <v>2010</v>
      </c>
      <c r="C10" s="17">
        <f>ROUND(VLOOKUP(B10&amp;"_3",管理者用人口入力シート!A:AA,26,FALSE),0)</f>
        <v>522</v>
      </c>
      <c r="D10" s="12"/>
      <c r="E10" s="12"/>
      <c r="G10" s="1" t="s">
        <v>109</v>
      </c>
      <c r="H10" s="1">
        <f>管理者入力シート!B11</f>
        <v>2040</v>
      </c>
      <c r="I10" s="17">
        <f>SUM(H141:H161)</f>
        <v>2375</v>
      </c>
      <c r="J10" s="17">
        <f>SUM(I141:I161)</f>
        <v>2755</v>
      </c>
      <c r="K10" s="17">
        <f t="shared" si="4"/>
        <v>5130</v>
      </c>
      <c r="N10" s="1" t="s">
        <v>109</v>
      </c>
      <c r="O10" s="1">
        <f t="shared" si="5"/>
        <v>2040</v>
      </c>
      <c r="P10" s="17">
        <f t="shared" si="6"/>
        <v>2375</v>
      </c>
      <c r="Q10" s="17">
        <f t="shared" si="7"/>
        <v>2755</v>
      </c>
      <c r="R10" s="17">
        <f t="shared" si="8"/>
        <v>5130</v>
      </c>
      <c r="S10" s="236">
        <f>SUM(O141:O161)</f>
        <v>2393</v>
      </c>
      <c r="T10" s="236">
        <f>SUM(P141:P161)</f>
        <v>2779</v>
      </c>
      <c r="U10" s="236">
        <f t="shared" si="9"/>
        <v>5172</v>
      </c>
    </row>
    <row r="11" spans="1:21" x14ac:dyDescent="0.15">
      <c r="A11" s="1" t="s">
        <v>61</v>
      </c>
      <c r="B11" s="1">
        <f t="shared" ref="B11:B12" si="10">B5</f>
        <v>2015</v>
      </c>
      <c r="C11" s="17">
        <f>ROUND(VLOOKUP(B11&amp;"_3",管理者用人口入力シート!A:AA,26,FALSE),0)</f>
        <v>426</v>
      </c>
      <c r="D11" s="12"/>
      <c r="E11" s="12"/>
      <c r="I11" s="12"/>
      <c r="J11" s="12"/>
      <c r="K11" s="12"/>
      <c r="P11" s="12"/>
    </row>
    <row r="12" spans="1:21" x14ac:dyDescent="0.15">
      <c r="A12" s="1" t="s">
        <v>62</v>
      </c>
      <c r="B12" s="1">
        <f t="shared" si="10"/>
        <v>2020</v>
      </c>
      <c r="C12" s="17">
        <f>ROUND(VLOOKUP(B12&amp;"_3",管理者用人口入力シート!A:AA,26,FALSE),0)</f>
        <v>385</v>
      </c>
      <c r="D12" s="12"/>
      <c r="E12" s="12"/>
      <c r="G12" s="69" t="s">
        <v>71</v>
      </c>
      <c r="N12" s="69" t="s">
        <v>71</v>
      </c>
    </row>
    <row r="13" spans="1:21" x14ac:dyDescent="0.15">
      <c r="A13" s="2" t="s">
        <v>73</v>
      </c>
      <c r="G13" s="65" t="s">
        <v>72</v>
      </c>
      <c r="H13" s="65"/>
      <c r="I13" s="66"/>
      <c r="J13" s="12"/>
      <c r="K13" s="12"/>
      <c r="N13" s="65" t="s">
        <v>72</v>
      </c>
      <c r="O13" s="65"/>
      <c r="P13" s="2" t="s">
        <v>120</v>
      </c>
      <c r="Q13" s="2" t="s">
        <v>119</v>
      </c>
    </row>
    <row r="14" spans="1:21" x14ac:dyDescent="0.15">
      <c r="A14" s="1" t="s">
        <v>58</v>
      </c>
      <c r="B14" s="1">
        <f>B4</f>
        <v>2010</v>
      </c>
      <c r="C14" s="17">
        <f>ROUND(VLOOKUP(B14&amp;"_3",管理者用人口入力シート!A:AA,27,FALSE),0)</f>
        <v>269</v>
      </c>
      <c r="D14" s="12"/>
      <c r="E14" s="12"/>
      <c r="G14" s="1" t="s">
        <v>58</v>
      </c>
      <c r="H14" s="1">
        <f>H4</f>
        <v>2010</v>
      </c>
      <c r="I14" s="17">
        <f>C10</f>
        <v>522</v>
      </c>
      <c r="J14" s="12"/>
      <c r="K14" s="12"/>
      <c r="N14" s="1" t="s">
        <v>58</v>
      </c>
      <c r="O14" s="1">
        <f>O4</f>
        <v>2010</v>
      </c>
      <c r="P14" s="17">
        <f>I14</f>
        <v>522</v>
      </c>
      <c r="Q14" s="17"/>
    </row>
    <row r="15" spans="1:21" x14ac:dyDescent="0.15">
      <c r="A15" s="1" t="s">
        <v>61</v>
      </c>
      <c r="B15" s="1">
        <f t="shared" ref="B15:B16" si="11">B5</f>
        <v>2015</v>
      </c>
      <c r="C15" s="17">
        <f>ROUND(VLOOKUP(B15&amp;"_3",管理者用人口入力シート!A:AA,27,FALSE),0)</f>
        <v>230</v>
      </c>
      <c r="D15" s="12"/>
      <c r="E15" s="12"/>
      <c r="G15" s="1" t="s">
        <v>57</v>
      </c>
      <c r="H15" s="1">
        <f t="shared" ref="H15:H20" si="12">H5</f>
        <v>2015</v>
      </c>
      <c r="I15" s="17">
        <f>C11</f>
        <v>426</v>
      </c>
      <c r="J15" s="12"/>
      <c r="K15" s="12"/>
      <c r="N15" s="1" t="s">
        <v>57</v>
      </c>
      <c r="O15" s="1">
        <f t="shared" ref="O15:O20" si="13">O5</f>
        <v>2015</v>
      </c>
      <c r="P15" s="17">
        <f t="shared" ref="P15:P20" si="14">I15</f>
        <v>426</v>
      </c>
      <c r="Q15" s="17"/>
    </row>
    <row r="16" spans="1:21" x14ac:dyDescent="0.15">
      <c r="A16" s="1" t="s">
        <v>62</v>
      </c>
      <c r="B16" s="1">
        <f t="shared" si="11"/>
        <v>2020</v>
      </c>
      <c r="C16" s="17">
        <f>ROUND(VLOOKUP(B16&amp;"_3",管理者用人口入力シート!A:AA,27,FALSE),0)</f>
        <v>198</v>
      </c>
      <c r="D16" s="12"/>
      <c r="E16" s="12"/>
      <c r="G16" s="1" t="s">
        <v>62</v>
      </c>
      <c r="H16" s="1">
        <f t="shared" si="12"/>
        <v>2020</v>
      </c>
      <c r="I16" s="17">
        <f>C12</f>
        <v>385</v>
      </c>
      <c r="J16" s="12"/>
      <c r="K16" s="12"/>
      <c r="N16" s="1" t="s">
        <v>62</v>
      </c>
      <c r="O16" s="1">
        <f t="shared" si="13"/>
        <v>2020</v>
      </c>
      <c r="P16" s="17">
        <f t="shared" si="14"/>
        <v>385</v>
      </c>
      <c r="Q16" s="17"/>
    </row>
    <row r="17" spans="1:17" x14ac:dyDescent="0.15">
      <c r="G17" s="1" t="s">
        <v>106</v>
      </c>
      <c r="H17" s="1">
        <f t="shared" si="12"/>
        <v>2025</v>
      </c>
      <c r="I17" s="17">
        <f>ROUND(VLOOKUP(H17&amp;"_3",管理者用人口入力シート!BH:CM,26,FALSE),0)</f>
        <v>345</v>
      </c>
      <c r="J17" s="12"/>
      <c r="K17" s="12"/>
      <c r="N17" s="1" t="s">
        <v>106</v>
      </c>
      <c r="O17" s="1">
        <f t="shared" si="13"/>
        <v>2025</v>
      </c>
      <c r="P17" s="17">
        <f t="shared" si="14"/>
        <v>345</v>
      </c>
      <c r="Q17" s="17">
        <f>ROUND(VLOOKUP(H17&amp;"_3",管理者用人口入力シート!CO:DT,26,FALSE),0)</f>
        <v>346</v>
      </c>
    </row>
    <row r="18" spans="1:17" x14ac:dyDescent="0.15">
      <c r="A18" s="69" t="s">
        <v>110</v>
      </c>
      <c r="G18" s="1" t="s">
        <v>107</v>
      </c>
      <c r="H18" s="1">
        <f t="shared" si="12"/>
        <v>2030</v>
      </c>
      <c r="I18" s="17">
        <f>ROUND(VLOOKUP(H18&amp;"_3",管理者用人口入力シート!BH:CM,26,FALSE),0)</f>
        <v>292</v>
      </c>
      <c r="J18" s="12"/>
      <c r="K18" s="12"/>
      <c r="N18" s="1" t="s">
        <v>107</v>
      </c>
      <c r="O18" s="1">
        <f t="shared" si="13"/>
        <v>2030</v>
      </c>
      <c r="P18" s="17">
        <f t="shared" si="14"/>
        <v>292</v>
      </c>
      <c r="Q18" s="17">
        <f>ROUND(VLOOKUP(H18&amp;"_3",管理者用人口入力シート!CO:DT,26,FALSE),0)</f>
        <v>294</v>
      </c>
    </row>
    <row r="19" spans="1:17" x14ac:dyDescent="0.15">
      <c r="A19" s="2" t="s">
        <v>84</v>
      </c>
      <c r="G19" s="1" t="s">
        <v>108</v>
      </c>
      <c r="H19" s="1">
        <f t="shared" si="12"/>
        <v>2035</v>
      </c>
      <c r="I19" s="17">
        <f>ROUND(VLOOKUP(H19&amp;"_3",管理者用人口入力シート!BH:CM,26,FALSE),0)</f>
        <v>236</v>
      </c>
      <c r="J19" s="12"/>
      <c r="K19" s="12"/>
      <c r="N19" s="1" t="s">
        <v>108</v>
      </c>
      <c r="O19" s="1">
        <f t="shared" si="13"/>
        <v>2035</v>
      </c>
      <c r="P19" s="17">
        <f t="shared" si="14"/>
        <v>236</v>
      </c>
      <c r="Q19" s="17">
        <f>ROUND(VLOOKUP(H19&amp;"_3",管理者用人口入力シート!CO:DT,26,FALSE),0)</f>
        <v>241</v>
      </c>
    </row>
    <row r="20" spans="1:17" x14ac:dyDescent="0.15">
      <c r="A20" s="1" t="s">
        <v>58</v>
      </c>
      <c r="B20" s="1">
        <f>B4</f>
        <v>2010</v>
      </c>
      <c r="C20" s="17">
        <f>SUM(B54:C61)</f>
        <v>1992</v>
      </c>
      <c r="D20" s="12"/>
      <c r="E20" s="12"/>
      <c r="G20" s="1" t="s">
        <v>109</v>
      </c>
      <c r="H20" s="1">
        <f t="shared" si="12"/>
        <v>2040</v>
      </c>
      <c r="I20" s="17">
        <f>ROUND(VLOOKUP(H20&amp;"_3",管理者用人口入力シート!BH:CM,26,FALSE),0)</f>
        <v>203</v>
      </c>
      <c r="J20" s="12"/>
      <c r="K20" s="12"/>
      <c r="N20" s="1" t="s">
        <v>109</v>
      </c>
      <c r="O20" s="1">
        <f t="shared" si="13"/>
        <v>2040</v>
      </c>
      <c r="P20" s="17">
        <f t="shared" si="14"/>
        <v>203</v>
      </c>
      <c r="Q20" s="17">
        <f>ROUND(VLOOKUP(H20&amp;"_3",管理者用人口入力シート!CO:DT,26,FALSE),0)</f>
        <v>209</v>
      </c>
    </row>
    <row r="21" spans="1:17" x14ac:dyDescent="0.15">
      <c r="A21" s="1" t="s">
        <v>61</v>
      </c>
      <c r="B21" s="1">
        <f t="shared" ref="B21:B22" si="15">B5</f>
        <v>2015</v>
      </c>
      <c r="C21" s="17">
        <f>SUM(B78:C85)</f>
        <v>2320</v>
      </c>
      <c r="D21" s="12"/>
      <c r="E21" s="12"/>
      <c r="G21" s="65" t="s">
        <v>73</v>
      </c>
      <c r="H21" s="65"/>
      <c r="I21" s="66"/>
      <c r="J21" s="12"/>
      <c r="K21" s="12"/>
      <c r="N21" s="65" t="s">
        <v>73</v>
      </c>
      <c r="O21" s="65"/>
      <c r="P21" s="2" t="s">
        <v>120</v>
      </c>
      <c r="Q21" s="2" t="s">
        <v>119</v>
      </c>
    </row>
    <row r="22" spans="1:17" x14ac:dyDescent="0.15">
      <c r="A22" s="1" t="s">
        <v>62</v>
      </c>
      <c r="B22" s="1">
        <f t="shared" si="15"/>
        <v>2020</v>
      </c>
      <c r="C22" s="17">
        <f>SUM(B102:C109)</f>
        <v>2543</v>
      </c>
      <c r="D22" s="12"/>
      <c r="E22" s="12"/>
      <c r="G22" s="1" t="s">
        <v>58</v>
      </c>
      <c r="H22" s="1">
        <f>H4</f>
        <v>2010</v>
      </c>
      <c r="I22" s="17">
        <f>C14</f>
        <v>269</v>
      </c>
      <c r="J22" s="12"/>
      <c r="K22" s="12"/>
      <c r="N22" s="1" t="s">
        <v>58</v>
      </c>
      <c r="O22" s="1">
        <f>O4</f>
        <v>2010</v>
      </c>
      <c r="P22" s="17">
        <f>I22</f>
        <v>269</v>
      </c>
      <c r="Q22" s="17"/>
    </row>
    <row r="23" spans="1:17" x14ac:dyDescent="0.15">
      <c r="A23" s="2" t="s">
        <v>86</v>
      </c>
      <c r="G23" s="1" t="s">
        <v>57</v>
      </c>
      <c r="H23" s="1">
        <f t="shared" ref="H23:H28" si="16">H5</f>
        <v>2015</v>
      </c>
      <c r="I23" s="17">
        <f t="shared" ref="I23:I24" si="17">C15</f>
        <v>230</v>
      </c>
      <c r="J23" s="12"/>
      <c r="K23" s="12"/>
      <c r="N23" s="1" t="s">
        <v>57</v>
      </c>
      <c r="O23" s="1">
        <f t="shared" ref="O23:O28" si="18">O5</f>
        <v>2015</v>
      </c>
      <c r="P23" s="17">
        <f t="shared" ref="P23:P28" si="19">I23</f>
        <v>230</v>
      </c>
      <c r="Q23" s="17"/>
    </row>
    <row r="24" spans="1:17" x14ac:dyDescent="0.15">
      <c r="A24" s="1" t="s">
        <v>58</v>
      </c>
      <c r="B24" s="1">
        <f>B4</f>
        <v>2010</v>
      </c>
      <c r="C24" s="17">
        <f>SUM(B56:C61)</f>
        <v>1043</v>
      </c>
      <c r="D24" s="12"/>
      <c r="E24" s="12"/>
      <c r="G24" s="1" t="s">
        <v>62</v>
      </c>
      <c r="H24" s="1">
        <f t="shared" si="16"/>
        <v>2020</v>
      </c>
      <c r="I24" s="17">
        <f t="shared" si="17"/>
        <v>198</v>
      </c>
      <c r="J24" s="12"/>
      <c r="K24" s="12"/>
      <c r="N24" s="1" t="s">
        <v>62</v>
      </c>
      <c r="O24" s="1">
        <f t="shared" si="18"/>
        <v>2020</v>
      </c>
      <c r="P24" s="17">
        <f t="shared" si="19"/>
        <v>198</v>
      </c>
      <c r="Q24" s="17"/>
    </row>
    <row r="25" spans="1:17" x14ac:dyDescent="0.15">
      <c r="A25" s="1" t="s">
        <v>61</v>
      </c>
      <c r="B25" s="1">
        <f t="shared" ref="B25:B26" si="20">B5</f>
        <v>2015</v>
      </c>
      <c r="C25" s="17">
        <f>SUM(B80:C85)</f>
        <v>1184</v>
      </c>
      <c r="D25" s="12"/>
      <c r="E25" s="12"/>
      <c r="G25" s="1" t="s">
        <v>106</v>
      </c>
      <c r="H25" s="1">
        <f t="shared" si="16"/>
        <v>2025</v>
      </c>
      <c r="I25" s="17">
        <f>ROUND(VLOOKUP(H25&amp;"_3",管理者用人口入力シート!BH:CM,27,FALSE),0)</f>
        <v>176</v>
      </c>
      <c r="J25" s="12"/>
      <c r="K25" s="12"/>
      <c r="N25" s="1" t="s">
        <v>106</v>
      </c>
      <c r="O25" s="1">
        <f t="shared" si="18"/>
        <v>2025</v>
      </c>
      <c r="P25" s="17">
        <f t="shared" si="19"/>
        <v>176</v>
      </c>
      <c r="Q25" s="17">
        <f>ROUND(VLOOKUP(H17&amp;"_3",管理者用人口入力シート!CO:DT,27,FALSE),0)</f>
        <v>177</v>
      </c>
    </row>
    <row r="26" spans="1:17" x14ac:dyDescent="0.15">
      <c r="A26" s="1" t="s">
        <v>62</v>
      </c>
      <c r="B26" s="1">
        <f t="shared" si="20"/>
        <v>2020</v>
      </c>
      <c r="C26" s="17">
        <f>SUM(B104:C109)</f>
        <v>1263</v>
      </c>
      <c r="D26" s="12"/>
      <c r="E26" s="12"/>
      <c r="G26" s="1" t="s">
        <v>107</v>
      </c>
      <c r="H26" s="1">
        <f t="shared" si="16"/>
        <v>2030</v>
      </c>
      <c r="I26" s="17">
        <f>ROUND(VLOOKUP(H26&amp;"_3",管理者用人口入力シート!BH:CM,27,FALSE),0)</f>
        <v>158</v>
      </c>
      <c r="J26" s="12"/>
      <c r="K26" s="12"/>
      <c r="N26" s="1" t="s">
        <v>107</v>
      </c>
      <c r="O26" s="1">
        <f t="shared" si="18"/>
        <v>2030</v>
      </c>
      <c r="P26" s="17">
        <f t="shared" si="19"/>
        <v>158</v>
      </c>
      <c r="Q26" s="17">
        <f>ROUND(VLOOKUP(H18&amp;"_3",管理者用人口入力シート!CO:DT,27,FALSE),0)</f>
        <v>159</v>
      </c>
    </row>
    <row r="27" spans="1:17" x14ac:dyDescent="0.15">
      <c r="G27" s="1" t="s">
        <v>108</v>
      </c>
      <c r="H27" s="1">
        <f t="shared" si="16"/>
        <v>2035</v>
      </c>
      <c r="I27" s="17">
        <f>ROUND(VLOOKUP(H27&amp;"_3",管理者用人口入力シート!BH:CM,27,FALSE),0)</f>
        <v>130</v>
      </c>
      <c r="J27" s="12"/>
      <c r="K27" s="12"/>
      <c r="N27" s="1" t="s">
        <v>108</v>
      </c>
      <c r="O27" s="1">
        <f t="shared" si="18"/>
        <v>2035</v>
      </c>
      <c r="P27" s="17">
        <f t="shared" si="19"/>
        <v>130</v>
      </c>
      <c r="Q27" s="17">
        <f>ROUND(VLOOKUP(H19&amp;"_3",管理者用人口入力シート!CO:DT,27,FALSE),0)</f>
        <v>132</v>
      </c>
    </row>
    <row r="28" spans="1:17" x14ac:dyDescent="0.15">
      <c r="A28" s="69" t="s">
        <v>85</v>
      </c>
      <c r="G28" s="1" t="s">
        <v>109</v>
      </c>
      <c r="H28" s="1">
        <f t="shared" si="16"/>
        <v>2040</v>
      </c>
      <c r="I28" s="17">
        <f>ROUND(VLOOKUP(H28&amp;"_3",管理者用人口入力シート!BH:CM,27,FALSE),0)</f>
        <v>107</v>
      </c>
      <c r="J28" s="12"/>
      <c r="K28" s="12"/>
      <c r="N28" s="1" t="s">
        <v>109</v>
      </c>
      <c r="O28" s="1">
        <f t="shared" si="18"/>
        <v>2040</v>
      </c>
      <c r="P28" s="17">
        <f t="shared" si="19"/>
        <v>107</v>
      </c>
      <c r="Q28" s="17">
        <f>ROUND(VLOOKUP(H20&amp;"_3",管理者用人口入力シート!CO:DT,27,FALSE),0)</f>
        <v>110</v>
      </c>
    </row>
    <row r="29" spans="1:17" x14ac:dyDescent="0.15">
      <c r="A29" s="2" t="s">
        <v>84</v>
      </c>
    </row>
    <row r="30" spans="1:17" x14ac:dyDescent="0.15">
      <c r="A30" s="1" t="s">
        <v>58</v>
      </c>
      <c r="B30" s="1">
        <f>B4</f>
        <v>2010</v>
      </c>
      <c r="C30" s="38">
        <f>ROUND((SUM(B54:C61)/SUM(B41:C61)),2)</f>
        <v>0.24</v>
      </c>
      <c r="D30" s="205"/>
      <c r="E30" s="205"/>
      <c r="G30" s="69" t="s">
        <v>110</v>
      </c>
      <c r="N30" s="69" t="s">
        <v>110</v>
      </c>
    </row>
    <row r="31" spans="1:17" x14ac:dyDescent="0.15">
      <c r="A31" s="1" t="s">
        <v>61</v>
      </c>
      <c r="B31" s="1">
        <f t="shared" ref="B31:B32" si="21">B5</f>
        <v>2015</v>
      </c>
      <c r="C31" s="38">
        <f>ROUND((SUM(B78:C85)/SUM(B65:C85)),2)</f>
        <v>0.28999999999999998</v>
      </c>
      <c r="D31" s="205"/>
      <c r="E31" s="205"/>
      <c r="G31" s="2" t="s">
        <v>84</v>
      </c>
      <c r="H31" s="65"/>
      <c r="I31" s="66"/>
      <c r="J31" s="12"/>
      <c r="K31" s="12"/>
      <c r="N31" s="2" t="s">
        <v>84</v>
      </c>
      <c r="O31" s="65"/>
      <c r="P31" s="2" t="s">
        <v>120</v>
      </c>
      <c r="Q31" s="2" t="s">
        <v>119</v>
      </c>
    </row>
    <row r="32" spans="1:17" x14ac:dyDescent="0.15">
      <c r="A32" s="1" t="s">
        <v>62</v>
      </c>
      <c r="B32" s="1">
        <f t="shared" si="21"/>
        <v>2020</v>
      </c>
      <c r="C32" s="38">
        <f>ROUND((SUM(B102:C109)/SUM(B89:C109)),2)</f>
        <v>0.34</v>
      </c>
      <c r="D32" s="205"/>
      <c r="E32" s="205"/>
      <c r="G32" s="1" t="s">
        <v>58</v>
      </c>
      <c r="H32" s="1">
        <f>H4</f>
        <v>2010</v>
      </c>
      <c r="I32" s="17">
        <f>C20</f>
        <v>1992</v>
      </c>
      <c r="J32" s="12"/>
      <c r="K32" s="12"/>
      <c r="N32" s="1" t="s">
        <v>58</v>
      </c>
      <c r="O32" s="1">
        <f>O4</f>
        <v>2010</v>
      </c>
      <c r="P32" s="17">
        <f>I32</f>
        <v>1992</v>
      </c>
      <c r="Q32" s="17"/>
    </row>
    <row r="33" spans="1:17" x14ac:dyDescent="0.15">
      <c r="A33" s="2" t="s">
        <v>86</v>
      </c>
      <c r="G33" s="1" t="s">
        <v>57</v>
      </c>
      <c r="H33" s="1">
        <f t="shared" ref="H33:H38" si="22">H5</f>
        <v>2015</v>
      </c>
      <c r="I33" s="17">
        <f>C21</f>
        <v>2320</v>
      </c>
      <c r="J33" s="12"/>
      <c r="K33" s="12"/>
      <c r="N33" s="1" t="s">
        <v>57</v>
      </c>
      <c r="O33" s="1">
        <f t="shared" ref="O33:O38" si="23">O5</f>
        <v>2015</v>
      </c>
      <c r="P33" s="17">
        <f t="shared" ref="P33:P38" si="24">I33</f>
        <v>2320</v>
      </c>
      <c r="Q33" s="17"/>
    </row>
    <row r="34" spans="1:17" x14ac:dyDescent="0.15">
      <c r="A34" s="1" t="s">
        <v>58</v>
      </c>
      <c r="B34" s="1">
        <f>B4</f>
        <v>2010</v>
      </c>
      <c r="C34" s="38">
        <f>ROUND((SUM(B56:C61)/SUM(B41:C61)),2)</f>
        <v>0.12</v>
      </c>
      <c r="D34" s="205"/>
      <c r="E34" s="205"/>
      <c r="G34" s="1" t="s">
        <v>62</v>
      </c>
      <c r="H34" s="1">
        <f t="shared" si="22"/>
        <v>2020</v>
      </c>
      <c r="I34" s="17">
        <f>C22</f>
        <v>2543</v>
      </c>
      <c r="J34" s="12"/>
      <c r="K34" s="12"/>
      <c r="N34" s="1" t="s">
        <v>62</v>
      </c>
      <c r="O34" s="1">
        <f t="shared" si="23"/>
        <v>2020</v>
      </c>
      <c r="P34" s="17">
        <f t="shared" si="24"/>
        <v>2543</v>
      </c>
      <c r="Q34" s="17"/>
    </row>
    <row r="35" spans="1:17" x14ac:dyDescent="0.15">
      <c r="A35" s="1" t="s">
        <v>61</v>
      </c>
      <c r="B35" s="1">
        <f t="shared" ref="B35:B36" si="25">B5</f>
        <v>2015</v>
      </c>
      <c r="C35" s="38">
        <f>ROUND((SUM(B80:C85)/SUM(B65:C85)),2)</f>
        <v>0.15</v>
      </c>
      <c r="D35" s="205"/>
      <c r="E35" s="205"/>
      <c r="G35" s="1" t="s">
        <v>106</v>
      </c>
      <c r="H35" s="1">
        <f t="shared" si="22"/>
        <v>2025</v>
      </c>
      <c r="I35" s="17">
        <f>SUM(H82:I89)</f>
        <v>2656</v>
      </c>
      <c r="J35" s="12"/>
      <c r="K35" s="12"/>
      <c r="N35" s="1" t="s">
        <v>106</v>
      </c>
      <c r="O35" s="1">
        <f t="shared" si="23"/>
        <v>2025</v>
      </c>
      <c r="P35" s="17">
        <f t="shared" si="24"/>
        <v>2656</v>
      </c>
      <c r="Q35" s="17">
        <f>SUM(O82:P89)</f>
        <v>2656</v>
      </c>
    </row>
    <row r="36" spans="1:17" x14ac:dyDescent="0.15">
      <c r="A36" s="1" t="s">
        <v>62</v>
      </c>
      <c r="B36" s="1">
        <f t="shared" si="25"/>
        <v>2020</v>
      </c>
      <c r="C36" s="38">
        <f>ROUND((SUM(B104:C109)/SUM(B89:C109)),2)</f>
        <v>0.17</v>
      </c>
      <c r="D36" s="205"/>
      <c r="E36" s="205"/>
      <c r="G36" s="1" t="s">
        <v>107</v>
      </c>
      <c r="H36" s="1">
        <f t="shared" si="22"/>
        <v>2030</v>
      </c>
      <c r="I36" s="17">
        <f>SUM(H106:I113)</f>
        <v>2580</v>
      </c>
      <c r="J36" s="12"/>
      <c r="K36" s="12"/>
      <c r="N36" s="1" t="s">
        <v>107</v>
      </c>
      <c r="O36" s="1">
        <f t="shared" si="23"/>
        <v>2030</v>
      </c>
      <c r="P36" s="17">
        <f t="shared" si="24"/>
        <v>2580</v>
      </c>
      <c r="Q36" s="17">
        <f>SUM(O106:P113)</f>
        <v>2580</v>
      </c>
    </row>
    <row r="37" spans="1:17" x14ac:dyDescent="0.15">
      <c r="G37" s="1" t="s">
        <v>108</v>
      </c>
      <c r="H37" s="1">
        <f t="shared" si="22"/>
        <v>2035</v>
      </c>
      <c r="I37" s="17">
        <f>SUM(H130:I137)</f>
        <v>2443</v>
      </c>
      <c r="J37" s="12"/>
      <c r="K37" s="12"/>
      <c r="N37" s="1" t="s">
        <v>108</v>
      </c>
      <c r="O37" s="1">
        <f t="shared" si="23"/>
        <v>2035</v>
      </c>
      <c r="P37" s="17">
        <f t="shared" si="24"/>
        <v>2443</v>
      </c>
      <c r="Q37" s="17">
        <f>SUM(O130:P137)</f>
        <v>2443</v>
      </c>
    </row>
    <row r="38" spans="1:17" x14ac:dyDescent="0.15">
      <c r="A38" s="69" t="s">
        <v>113</v>
      </c>
      <c r="G38" s="1" t="s">
        <v>109</v>
      </c>
      <c r="H38" s="1">
        <f t="shared" si="22"/>
        <v>2040</v>
      </c>
      <c r="I38" s="17">
        <f>SUM(H154:I161)</f>
        <v>2313</v>
      </c>
      <c r="J38" s="12"/>
      <c r="K38" s="12"/>
      <c r="N38" s="1" t="s">
        <v>109</v>
      </c>
      <c r="O38" s="1">
        <f t="shared" si="23"/>
        <v>2040</v>
      </c>
      <c r="P38" s="17">
        <f t="shared" si="24"/>
        <v>2313</v>
      </c>
      <c r="Q38" s="17">
        <f>SUM(O154:P161)</f>
        <v>2313</v>
      </c>
    </row>
    <row r="39" spans="1:17" x14ac:dyDescent="0.15">
      <c r="A39" s="2" t="s">
        <v>383</v>
      </c>
      <c r="B39" s="315">
        <f>管理者入力シート!B7</f>
        <v>2010</v>
      </c>
      <c r="C39" s="316"/>
      <c r="D39" s="2" t="s">
        <v>114</v>
      </c>
      <c r="G39" s="2" t="s">
        <v>111</v>
      </c>
      <c r="H39" s="65"/>
      <c r="I39" s="66"/>
      <c r="J39" s="12"/>
      <c r="K39" s="12"/>
      <c r="N39" s="2" t="s">
        <v>111</v>
      </c>
      <c r="O39" s="65"/>
      <c r="P39" s="2" t="s">
        <v>120</v>
      </c>
      <c r="Q39" s="2" t="s">
        <v>119</v>
      </c>
    </row>
    <row r="40" spans="1:17" x14ac:dyDescent="0.15">
      <c r="A40" s="2" t="s">
        <v>115</v>
      </c>
      <c r="B40" s="18" t="s">
        <v>243</v>
      </c>
      <c r="C40" s="18" t="s">
        <v>244</v>
      </c>
      <c r="G40" s="1" t="s">
        <v>58</v>
      </c>
      <c r="H40" s="1">
        <f>H4</f>
        <v>2010</v>
      </c>
      <c r="I40" s="17">
        <f>C24</f>
        <v>1043</v>
      </c>
      <c r="J40" s="12"/>
      <c r="K40" s="12"/>
      <c r="N40" s="1" t="s">
        <v>58</v>
      </c>
      <c r="O40" s="1">
        <f>O4</f>
        <v>2010</v>
      </c>
      <c r="P40" s="17">
        <f>I40</f>
        <v>1043</v>
      </c>
      <c r="Q40" s="17"/>
    </row>
    <row r="41" spans="1:17" x14ac:dyDescent="0.15">
      <c r="A41" s="2" t="s">
        <v>0</v>
      </c>
      <c r="B41" s="17">
        <f>ROUND(VLOOKUP(B$39&amp;"_1",管理者用人口入力シート!A:X,D41,FALSE),0)</f>
        <v>162</v>
      </c>
      <c r="C41" s="17">
        <f>ROUND(VLOOKUP(B$39&amp;"_2",管理者用人口入力シート!A:X,D41,FALSE),0)</f>
        <v>185</v>
      </c>
      <c r="D41" s="2">
        <v>4</v>
      </c>
      <c r="G41" s="1" t="s">
        <v>57</v>
      </c>
      <c r="H41" s="1">
        <f t="shared" ref="H41:H46" si="26">H5</f>
        <v>2015</v>
      </c>
      <c r="I41" s="17">
        <f>C25</f>
        <v>1184</v>
      </c>
      <c r="J41" s="12"/>
      <c r="K41" s="12"/>
      <c r="N41" s="1" t="s">
        <v>57</v>
      </c>
      <c r="O41" s="1">
        <f t="shared" ref="O41:O46" si="27">O5</f>
        <v>2015</v>
      </c>
      <c r="P41" s="17">
        <f t="shared" ref="P41:P46" si="28">I41</f>
        <v>1184</v>
      </c>
      <c r="Q41" s="17"/>
    </row>
    <row r="42" spans="1:17" x14ac:dyDescent="0.15">
      <c r="A42" s="2" t="s">
        <v>1</v>
      </c>
      <c r="B42" s="17">
        <f>ROUND(VLOOKUP(B$39&amp;"_1",管理者用人口入力シート!A:X,D42,FALSE),0)</f>
        <v>210</v>
      </c>
      <c r="C42" s="17">
        <f>ROUND(VLOOKUP(B$39&amp;"_2",管理者用人口入力シート!A:X,D42,FALSE),0)</f>
        <v>183</v>
      </c>
      <c r="D42" s="2">
        <v>5</v>
      </c>
      <c r="G42" s="1" t="s">
        <v>62</v>
      </c>
      <c r="H42" s="1">
        <f t="shared" si="26"/>
        <v>2020</v>
      </c>
      <c r="I42" s="17">
        <f>C26</f>
        <v>1263</v>
      </c>
      <c r="J42" s="12"/>
      <c r="K42" s="12"/>
      <c r="N42" s="1" t="s">
        <v>62</v>
      </c>
      <c r="O42" s="1">
        <f t="shared" si="27"/>
        <v>2020</v>
      </c>
      <c r="P42" s="17">
        <f t="shared" si="28"/>
        <v>1263</v>
      </c>
      <c r="Q42" s="17"/>
    </row>
    <row r="43" spans="1:17" x14ac:dyDescent="0.15">
      <c r="A43" s="2" t="s">
        <v>2</v>
      </c>
      <c r="B43" s="17">
        <f>ROUND(VLOOKUP(B$39&amp;"_1",管理者用人口入力シート!A:X,D43,FALSE),0)</f>
        <v>235</v>
      </c>
      <c r="C43" s="17">
        <f>ROUND(VLOOKUP(B$39&amp;"_2",管理者用人口入力シート!A:X,D43,FALSE),0)</f>
        <v>242</v>
      </c>
      <c r="D43" s="2">
        <v>6</v>
      </c>
      <c r="G43" s="1" t="s">
        <v>106</v>
      </c>
      <c r="H43" s="1">
        <f t="shared" si="26"/>
        <v>2025</v>
      </c>
      <c r="I43" s="17">
        <f>SUM(H84:I89)</f>
        <v>1454</v>
      </c>
      <c r="J43" s="12"/>
      <c r="K43" s="12"/>
      <c r="N43" s="1" t="s">
        <v>106</v>
      </c>
      <c r="O43" s="1">
        <f t="shared" si="27"/>
        <v>2025</v>
      </c>
      <c r="P43" s="17">
        <f t="shared" si="28"/>
        <v>1454</v>
      </c>
      <c r="Q43" s="17">
        <f>SUM(O84:P89)</f>
        <v>1454</v>
      </c>
    </row>
    <row r="44" spans="1:17" x14ac:dyDescent="0.15">
      <c r="A44" s="2" t="s">
        <v>3</v>
      </c>
      <c r="B44" s="17">
        <f>ROUND(VLOOKUP(B$39&amp;"_1",管理者用人口入力シート!A:X,D44,FALSE),0)</f>
        <v>208</v>
      </c>
      <c r="C44" s="17">
        <f>ROUND(VLOOKUP(B$39&amp;"_2",管理者用人口入力シート!A:X,D44,FALSE),0)</f>
        <v>183</v>
      </c>
      <c r="D44" s="2">
        <v>7</v>
      </c>
      <c r="G44" s="1" t="s">
        <v>107</v>
      </c>
      <c r="H44" s="1">
        <f t="shared" si="26"/>
        <v>2030</v>
      </c>
      <c r="I44" s="17">
        <f>SUM(H108:I113)</f>
        <v>1568</v>
      </c>
      <c r="J44" s="12"/>
      <c r="K44" s="12"/>
      <c r="N44" s="1" t="s">
        <v>107</v>
      </c>
      <c r="O44" s="1">
        <f t="shared" si="27"/>
        <v>2030</v>
      </c>
      <c r="P44" s="17">
        <f t="shared" si="28"/>
        <v>1568</v>
      </c>
      <c r="Q44" s="17">
        <f>SUM(O108:P113)</f>
        <v>1568</v>
      </c>
    </row>
    <row r="45" spans="1:17" x14ac:dyDescent="0.15">
      <c r="A45" s="2" t="s">
        <v>4</v>
      </c>
      <c r="B45" s="17">
        <f>ROUND(VLOOKUP(B$39&amp;"_1",管理者用人口入力シート!A:X,D45,FALSE),0)</f>
        <v>162</v>
      </c>
      <c r="C45" s="17">
        <f>ROUND(VLOOKUP(B$39&amp;"_2",管理者用人口入力シート!A:X,D45,FALSE),0)</f>
        <v>202</v>
      </c>
      <c r="D45" s="2">
        <v>8</v>
      </c>
      <c r="G45" s="1" t="s">
        <v>108</v>
      </c>
      <c r="H45" s="1">
        <f t="shared" si="26"/>
        <v>2035</v>
      </c>
      <c r="I45" s="17">
        <f>SUM(H132:I137)</f>
        <v>1608</v>
      </c>
      <c r="J45" s="12"/>
      <c r="K45" s="12"/>
      <c r="N45" s="1" t="s">
        <v>108</v>
      </c>
      <c r="O45" s="1">
        <f t="shared" si="27"/>
        <v>2035</v>
      </c>
      <c r="P45" s="17">
        <f t="shared" si="28"/>
        <v>1608</v>
      </c>
      <c r="Q45" s="17">
        <f>SUM(O132:P137)</f>
        <v>1608</v>
      </c>
    </row>
    <row r="46" spans="1:17" x14ac:dyDescent="0.15">
      <c r="A46" s="2" t="s">
        <v>5</v>
      </c>
      <c r="B46" s="17">
        <f>ROUND(VLOOKUP(B$39&amp;"_1",管理者用人口入力シート!A:X,D46,FALSE),0)</f>
        <v>215</v>
      </c>
      <c r="C46" s="17">
        <f>ROUND(VLOOKUP(B$39&amp;"_2",管理者用人口入力シート!A:X,D46,FALSE),0)</f>
        <v>213</v>
      </c>
      <c r="D46" s="2">
        <v>9</v>
      </c>
      <c r="G46" s="1" t="s">
        <v>109</v>
      </c>
      <c r="H46" s="1">
        <f t="shared" si="26"/>
        <v>2040</v>
      </c>
      <c r="I46" s="17">
        <f>SUM(H156:I161)</f>
        <v>1480</v>
      </c>
      <c r="J46" s="12"/>
      <c r="K46" s="12"/>
      <c r="N46" s="1" t="s">
        <v>109</v>
      </c>
      <c r="O46" s="1">
        <f t="shared" si="27"/>
        <v>2040</v>
      </c>
      <c r="P46" s="17">
        <f t="shared" si="28"/>
        <v>1480</v>
      </c>
      <c r="Q46" s="17">
        <f>SUM(O156:P161)</f>
        <v>1480</v>
      </c>
    </row>
    <row r="47" spans="1:17" x14ac:dyDescent="0.15">
      <c r="A47" s="2" t="s">
        <v>6</v>
      </c>
      <c r="B47" s="17">
        <f>ROUND(VLOOKUP(B$39&amp;"_1",管理者用人口入力シート!A:X,D47,FALSE),0)</f>
        <v>233</v>
      </c>
      <c r="C47" s="17">
        <f>ROUND(VLOOKUP(B$39&amp;"_2",管理者用人口入力シート!A:X,D47,FALSE),0)</f>
        <v>248</v>
      </c>
      <c r="D47" s="2">
        <v>10</v>
      </c>
    </row>
    <row r="48" spans="1:17" x14ac:dyDescent="0.15">
      <c r="A48" s="2" t="s">
        <v>7</v>
      </c>
      <c r="B48" s="17">
        <f>ROUND(VLOOKUP(B$39&amp;"_1",管理者用人口入力シート!A:X,D48,FALSE),0)</f>
        <v>252</v>
      </c>
      <c r="C48" s="17">
        <f>ROUND(VLOOKUP(B$39&amp;"_2",管理者用人口入力シート!A:X,D48,FALSE),0)</f>
        <v>270</v>
      </c>
      <c r="D48" s="2">
        <v>11</v>
      </c>
      <c r="G48" s="69" t="s">
        <v>85</v>
      </c>
      <c r="N48" s="69" t="s">
        <v>85</v>
      </c>
    </row>
    <row r="49" spans="1:17" x14ac:dyDescent="0.15">
      <c r="A49" s="2" t="s">
        <v>8</v>
      </c>
      <c r="B49" s="17">
        <f>ROUND(VLOOKUP(B$39&amp;"_1",管理者用人口入力シート!A:X,D49,FALSE),0)</f>
        <v>224</v>
      </c>
      <c r="C49" s="17">
        <f>ROUND(VLOOKUP(B$39&amp;"_2",管理者用人口入力シート!A:X,D49,FALSE),0)</f>
        <v>260</v>
      </c>
      <c r="D49" s="2">
        <v>12</v>
      </c>
      <c r="G49" s="2" t="s">
        <v>84</v>
      </c>
      <c r="H49" s="65"/>
      <c r="I49" s="66"/>
      <c r="J49" s="12"/>
      <c r="K49" s="12"/>
      <c r="N49" s="2" t="s">
        <v>84</v>
      </c>
      <c r="O49" s="65"/>
      <c r="P49" s="2" t="s">
        <v>120</v>
      </c>
      <c r="Q49" s="2" t="s">
        <v>119</v>
      </c>
    </row>
    <row r="50" spans="1:17" x14ac:dyDescent="0.15">
      <c r="A50" s="2" t="s">
        <v>9</v>
      </c>
      <c r="B50" s="17">
        <f>ROUND(VLOOKUP(B$39&amp;"_1",管理者用人口入力シート!A:X,D50,FALSE),0)</f>
        <v>232</v>
      </c>
      <c r="C50" s="17">
        <f>ROUND(VLOOKUP(B$39&amp;"_2",管理者用人口入力シート!A:X,D50,FALSE),0)</f>
        <v>260</v>
      </c>
      <c r="D50" s="2">
        <v>13</v>
      </c>
      <c r="G50" s="1" t="s">
        <v>58</v>
      </c>
      <c r="H50" s="1">
        <f>H4</f>
        <v>2010</v>
      </c>
      <c r="I50" s="38">
        <f>C30</f>
        <v>0.24</v>
      </c>
      <c r="J50" s="205"/>
      <c r="K50" s="205"/>
      <c r="N50" s="1" t="s">
        <v>58</v>
      </c>
      <c r="O50" s="1">
        <f>O4</f>
        <v>2010</v>
      </c>
      <c r="P50" s="38">
        <f t="shared" ref="P50:P56" si="29">I50</f>
        <v>0.24</v>
      </c>
      <c r="Q50" s="1"/>
    </row>
    <row r="51" spans="1:17" x14ac:dyDescent="0.15">
      <c r="A51" s="2" t="s">
        <v>10</v>
      </c>
      <c r="B51" s="17">
        <f>ROUND(VLOOKUP(B$39&amp;"_1",管理者用人口入力シート!A:X,D51,FALSE),0)</f>
        <v>309</v>
      </c>
      <c r="C51" s="17">
        <f>ROUND(VLOOKUP(B$39&amp;"_2",管理者用人口入力シート!A:X,D51,FALSE),0)</f>
        <v>334</v>
      </c>
      <c r="D51" s="2">
        <v>14</v>
      </c>
      <c r="G51" s="1" t="s">
        <v>57</v>
      </c>
      <c r="H51" s="1">
        <f t="shared" ref="H51:H56" si="30">H5</f>
        <v>2015</v>
      </c>
      <c r="I51" s="38">
        <f t="shared" ref="I51:I52" si="31">C31</f>
        <v>0.28999999999999998</v>
      </c>
      <c r="J51" s="205"/>
      <c r="K51" s="205"/>
      <c r="N51" s="1" t="s">
        <v>57</v>
      </c>
      <c r="O51" s="1">
        <f t="shared" ref="O51:O56" si="32">O5</f>
        <v>2015</v>
      </c>
      <c r="P51" s="38">
        <f t="shared" si="29"/>
        <v>0.28999999999999998</v>
      </c>
      <c r="Q51" s="1"/>
    </row>
    <row r="52" spans="1:17" x14ac:dyDescent="0.15">
      <c r="A52" s="2" t="s">
        <v>11</v>
      </c>
      <c r="B52" s="17">
        <f>ROUND(VLOOKUP(B$39&amp;"_1",管理者用人口入力シート!A:X,D52,FALSE),0)</f>
        <v>343</v>
      </c>
      <c r="C52" s="17">
        <f>ROUND(VLOOKUP(B$39&amp;"_2",管理者用人口入力シート!A:X,D52,FALSE),0)</f>
        <v>339</v>
      </c>
      <c r="D52" s="2">
        <v>15</v>
      </c>
      <c r="G52" s="1" t="s">
        <v>62</v>
      </c>
      <c r="H52" s="1">
        <f t="shared" si="30"/>
        <v>2020</v>
      </c>
      <c r="I52" s="38">
        <f t="shared" si="31"/>
        <v>0.34</v>
      </c>
      <c r="J52" s="205"/>
      <c r="K52" s="205"/>
      <c r="N52" s="1" t="s">
        <v>62</v>
      </c>
      <c r="O52" s="1">
        <f t="shared" si="32"/>
        <v>2020</v>
      </c>
      <c r="P52" s="38">
        <f t="shared" si="29"/>
        <v>0.34</v>
      </c>
      <c r="Q52" s="1"/>
    </row>
    <row r="53" spans="1:17" x14ac:dyDescent="0.15">
      <c r="A53" s="2" t="s">
        <v>12</v>
      </c>
      <c r="B53" s="17">
        <f>ROUND(VLOOKUP(B$39&amp;"_1",管理者用人口入力シート!A:X,D53,FALSE),0)</f>
        <v>326</v>
      </c>
      <c r="C53" s="17">
        <f>ROUND(VLOOKUP(B$39&amp;"_2",管理者用人口入力シート!A:X,D53,FALSE),0)</f>
        <v>383</v>
      </c>
      <c r="D53" s="2">
        <v>16</v>
      </c>
      <c r="G53" s="1" t="s">
        <v>106</v>
      </c>
      <c r="H53" s="1">
        <f t="shared" si="30"/>
        <v>2025</v>
      </c>
      <c r="I53" s="38">
        <f>ROUND((SUM(H82:I89)/SUM(H69:I89)),2)</f>
        <v>0.38</v>
      </c>
      <c r="J53" s="205"/>
      <c r="K53" s="205"/>
      <c r="L53" s="70"/>
      <c r="M53" s="70"/>
      <c r="N53" s="1" t="s">
        <v>106</v>
      </c>
      <c r="O53" s="1">
        <f t="shared" si="32"/>
        <v>2025</v>
      </c>
      <c r="P53" s="38">
        <f t="shared" si="29"/>
        <v>0.38</v>
      </c>
      <c r="Q53" s="38">
        <f>ROUND((SUM(O82:P89)/SUM(O69:P89)),2)</f>
        <v>0.38</v>
      </c>
    </row>
    <row r="54" spans="1:17" x14ac:dyDescent="0.15">
      <c r="A54" s="2" t="s">
        <v>13</v>
      </c>
      <c r="B54" s="17">
        <f>ROUND(VLOOKUP(B$39&amp;"_1",管理者用人口入力シート!A:X,D54,FALSE),0)</f>
        <v>227</v>
      </c>
      <c r="C54" s="17">
        <f>ROUND(VLOOKUP(B$39&amp;"_2",管理者用人口入力シート!A:X,D54,FALSE),0)</f>
        <v>253</v>
      </c>
      <c r="D54" s="2">
        <v>17</v>
      </c>
      <c r="G54" s="1" t="s">
        <v>107</v>
      </c>
      <c r="H54" s="1">
        <f t="shared" si="30"/>
        <v>2030</v>
      </c>
      <c r="I54" s="38">
        <f>ROUND((SUM(H106:I113)/SUM(H93:I113)),2)</f>
        <v>0.41</v>
      </c>
      <c r="J54" s="205"/>
      <c r="K54" s="205"/>
      <c r="N54" s="1" t="s">
        <v>107</v>
      </c>
      <c r="O54" s="1">
        <f t="shared" si="32"/>
        <v>2030</v>
      </c>
      <c r="P54" s="38">
        <f t="shared" si="29"/>
        <v>0.41</v>
      </c>
      <c r="Q54" s="38">
        <f>ROUND((SUM(O106:P113)/SUM(O93:P113)),2)</f>
        <v>0.4</v>
      </c>
    </row>
    <row r="55" spans="1:17" x14ac:dyDescent="0.15">
      <c r="A55" s="2" t="s">
        <v>14</v>
      </c>
      <c r="B55" s="17">
        <f>ROUND(VLOOKUP(B$39&amp;"_1",管理者用人口入力シート!A:X,D55,FALSE),0)</f>
        <v>216</v>
      </c>
      <c r="C55" s="17">
        <f>ROUND(VLOOKUP(B$39&amp;"_2",管理者用人口入力シート!A:X,D55,FALSE),0)</f>
        <v>253</v>
      </c>
      <c r="D55" s="2">
        <v>18</v>
      </c>
      <c r="G55" s="1" t="s">
        <v>108</v>
      </c>
      <c r="H55" s="1">
        <f t="shared" si="30"/>
        <v>2035</v>
      </c>
      <c r="I55" s="38">
        <f>ROUND((SUM(H130:I137)/SUM(H117:I137)),2)</f>
        <v>0.42</v>
      </c>
      <c r="J55" s="205"/>
      <c r="K55" s="205"/>
      <c r="N55" s="1" t="s">
        <v>108</v>
      </c>
      <c r="O55" s="1">
        <f t="shared" si="32"/>
        <v>2035</v>
      </c>
      <c r="P55" s="38">
        <f t="shared" si="29"/>
        <v>0.42</v>
      </c>
      <c r="Q55" s="38">
        <f>ROUND((SUM(O130:P137)/SUM(O117:P137)),2)</f>
        <v>0.42</v>
      </c>
    </row>
    <row r="56" spans="1:17" x14ac:dyDescent="0.15">
      <c r="A56" s="2" t="s">
        <v>15</v>
      </c>
      <c r="B56" s="17">
        <f>ROUND(VLOOKUP(B$39&amp;"_1",管理者用人口入力シート!A:X,D56,FALSE),0)</f>
        <v>199</v>
      </c>
      <c r="C56" s="17">
        <f>ROUND(VLOOKUP(B$39&amp;"_2",管理者用人口入力シート!A:X,D56,FALSE),0)</f>
        <v>241</v>
      </c>
      <c r="D56" s="2">
        <v>19</v>
      </c>
      <c r="G56" s="1" t="s">
        <v>109</v>
      </c>
      <c r="H56" s="1">
        <f t="shared" si="30"/>
        <v>2040</v>
      </c>
      <c r="I56" s="38">
        <f>ROUND((SUM(H154:I161)/SUM(H141:I161)),2)</f>
        <v>0.45</v>
      </c>
      <c r="J56" s="205"/>
      <c r="K56" s="205"/>
      <c r="N56" s="1" t="s">
        <v>109</v>
      </c>
      <c r="O56" s="1">
        <f t="shared" si="32"/>
        <v>2040</v>
      </c>
      <c r="P56" s="38">
        <f t="shared" si="29"/>
        <v>0.45</v>
      </c>
      <c r="Q56" s="38">
        <f>ROUND((SUM(O154:P161)/SUM(O141:P161)),2)</f>
        <v>0.45</v>
      </c>
    </row>
    <row r="57" spans="1:17" x14ac:dyDescent="0.15">
      <c r="A57" s="2" t="s">
        <v>16</v>
      </c>
      <c r="B57" s="17">
        <f>ROUND(VLOOKUP(B$39&amp;"_1",管理者用人口入力シート!A:X,D57,FALSE),0)</f>
        <v>133</v>
      </c>
      <c r="C57" s="17">
        <f>ROUND(VLOOKUP(B$39&amp;"_2",管理者用人口入力シート!A:X,D57,FALSE),0)</f>
        <v>207</v>
      </c>
      <c r="D57" s="2">
        <v>20</v>
      </c>
      <c r="G57" s="2" t="s">
        <v>111</v>
      </c>
      <c r="H57" s="65"/>
      <c r="I57" s="66"/>
      <c r="J57" s="12"/>
      <c r="K57" s="12"/>
      <c r="N57" s="2" t="s">
        <v>111</v>
      </c>
      <c r="O57" s="65"/>
      <c r="P57" s="2" t="s">
        <v>120</v>
      </c>
      <c r="Q57" s="2" t="s">
        <v>119</v>
      </c>
    </row>
    <row r="58" spans="1:17" x14ac:dyDescent="0.15">
      <c r="A58" s="2" t="s">
        <v>17</v>
      </c>
      <c r="B58" s="17">
        <f>ROUND(VLOOKUP(B$39&amp;"_1",管理者用人口入力シート!A:X,D58,FALSE),0)</f>
        <v>42</v>
      </c>
      <c r="C58" s="17">
        <f>ROUND(VLOOKUP(B$39&amp;"_2",管理者用人口入力シート!A:X,D58,FALSE),0)</f>
        <v>124</v>
      </c>
      <c r="D58" s="2">
        <v>21</v>
      </c>
      <c r="G58" s="1" t="s">
        <v>58</v>
      </c>
      <c r="H58" s="1">
        <f>H4</f>
        <v>2010</v>
      </c>
      <c r="I58" s="38">
        <f>C34</f>
        <v>0.12</v>
      </c>
      <c r="J58" s="205"/>
      <c r="K58" s="205"/>
      <c r="N58" s="1" t="s">
        <v>58</v>
      </c>
      <c r="O58" s="1">
        <f>O4</f>
        <v>2010</v>
      </c>
      <c r="P58" s="38">
        <f t="shared" ref="P58:P64" si="33">I58</f>
        <v>0.12</v>
      </c>
      <c r="Q58" s="1"/>
    </row>
    <row r="59" spans="1:17" x14ac:dyDescent="0.15">
      <c r="A59" s="2" t="s">
        <v>18</v>
      </c>
      <c r="B59" s="17">
        <f>ROUND(VLOOKUP(B$39&amp;"_1",管理者用人口入力シート!A:X,D59,FALSE),0)</f>
        <v>19</v>
      </c>
      <c r="C59" s="17">
        <f>ROUND(VLOOKUP(B$39&amp;"_2",管理者用人口入力シート!A:X,D59,FALSE),0)</f>
        <v>54</v>
      </c>
      <c r="D59" s="2">
        <v>22</v>
      </c>
      <c r="G59" s="1" t="s">
        <v>57</v>
      </c>
      <c r="H59" s="1">
        <f t="shared" ref="H59:H64" si="34">H5</f>
        <v>2015</v>
      </c>
      <c r="I59" s="38">
        <f t="shared" ref="I59:I60" si="35">C35</f>
        <v>0.15</v>
      </c>
      <c r="J59" s="205"/>
      <c r="K59" s="205"/>
      <c r="N59" s="1" t="s">
        <v>57</v>
      </c>
      <c r="O59" s="1">
        <f t="shared" ref="O59:O64" si="36">O5</f>
        <v>2015</v>
      </c>
      <c r="P59" s="38">
        <f t="shared" si="33"/>
        <v>0.15</v>
      </c>
      <c r="Q59" s="1"/>
    </row>
    <row r="60" spans="1:17" x14ac:dyDescent="0.15">
      <c r="A60" s="2" t="s">
        <v>19</v>
      </c>
      <c r="B60" s="17">
        <f>ROUND(VLOOKUP(B$39&amp;"_1",管理者用人口入力シート!A:X,D60,FALSE),0)</f>
        <v>3</v>
      </c>
      <c r="C60" s="17">
        <f>ROUND(VLOOKUP(B$39&amp;"_2",管理者用人口入力シート!A:X,D60,FALSE),0)</f>
        <v>16</v>
      </c>
      <c r="D60" s="2">
        <v>23</v>
      </c>
      <c r="G60" s="1" t="s">
        <v>62</v>
      </c>
      <c r="H60" s="1">
        <f t="shared" si="34"/>
        <v>2020</v>
      </c>
      <c r="I60" s="38">
        <f t="shared" si="35"/>
        <v>0.17</v>
      </c>
      <c r="J60" s="205"/>
      <c r="K60" s="205"/>
      <c r="N60" s="1" t="s">
        <v>62</v>
      </c>
      <c r="O60" s="1">
        <f t="shared" si="36"/>
        <v>2020</v>
      </c>
      <c r="P60" s="38">
        <f t="shared" si="33"/>
        <v>0.17</v>
      </c>
      <c r="Q60" s="1"/>
    </row>
    <row r="61" spans="1:17" x14ac:dyDescent="0.15">
      <c r="A61" s="2" t="s">
        <v>20</v>
      </c>
      <c r="B61" s="17">
        <f>ROUND(VLOOKUP(B$39&amp;"_1",管理者用人口入力シート!A:X,D61,FALSE),0)</f>
        <v>2</v>
      </c>
      <c r="C61" s="17">
        <f>ROUND(VLOOKUP(B$39&amp;"_2",管理者用人口入力シート!A:X,D61,FALSE),0)</f>
        <v>3</v>
      </c>
      <c r="D61" s="2">
        <v>24</v>
      </c>
      <c r="G61" s="1" t="s">
        <v>106</v>
      </c>
      <c r="H61" s="1">
        <f t="shared" si="34"/>
        <v>2025</v>
      </c>
      <c r="I61" s="38">
        <f>ROUND((SUM(H84:I89)/SUM(H69:I89)),2)</f>
        <v>0.21</v>
      </c>
      <c r="J61" s="205"/>
      <c r="K61" s="205"/>
      <c r="N61" s="1" t="s">
        <v>106</v>
      </c>
      <c r="O61" s="1">
        <f t="shared" si="36"/>
        <v>2025</v>
      </c>
      <c r="P61" s="38">
        <f t="shared" si="33"/>
        <v>0.21</v>
      </c>
      <c r="Q61" s="38">
        <f>ROUND((SUM(O84:P89)/SUM(O69:P89)),2)</f>
        <v>0.21</v>
      </c>
    </row>
    <row r="62" spans="1:17" x14ac:dyDescent="0.15">
      <c r="G62" s="1" t="s">
        <v>107</v>
      </c>
      <c r="H62" s="1">
        <f t="shared" si="34"/>
        <v>2030</v>
      </c>
      <c r="I62" s="38">
        <f>ROUND((SUM(H108:I113)/SUM(H93:I113)),2)</f>
        <v>0.25</v>
      </c>
      <c r="J62" s="205"/>
      <c r="K62" s="205"/>
      <c r="N62" s="1" t="s">
        <v>107</v>
      </c>
      <c r="O62" s="1">
        <f t="shared" si="36"/>
        <v>2030</v>
      </c>
      <c r="P62" s="38">
        <f t="shared" si="33"/>
        <v>0.25</v>
      </c>
      <c r="Q62" s="38">
        <f>ROUND((SUM(O108:P113)/SUM(O93:P113)),2)</f>
        <v>0.25</v>
      </c>
    </row>
    <row r="63" spans="1:17" x14ac:dyDescent="0.15">
      <c r="A63" s="2" t="s">
        <v>384</v>
      </c>
      <c r="B63" s="315">
        <f>管理者入力シート!B6</f>
        <v>2015</v>
      </c>
      <c r="C63" s="316"/>
      <c r="D63" s="2" t="s">
        <v>114</v>
      </c>
      <c r="G63" s="1" t="s">
        <v>108</v>
      </c>
      <c r="H63" s="1">
        <f t="shared" si="34"/>
        <v>2035</v>
      </c>
      <c r="I63" s="38">
        <f>ROUND((SUM(H132:I137)/SUM(H117:I137)),2)</f>
        <v>0.28000000000000003</v>
      </c>
      <c r="J63" s="205"/>
      <c r="K63" s="205"/>
      <c r="N63" s="1" t="s">
        <v>108</v>
      </c>
      <c r="O63" s="1">
        <f t="shared" si="36"/>
        <v>2035</v>
      </c>
      <c r="P63" s="38">
        <f t="shared" si="33"/>
        <v>0.28000000000000003</v>
      </c>
      <c r="Q63" s="38">
        <f>ROUND((SUM(O132:P137)/SUM(O117:P137)),2)</f>
        <v>0.28000000000000003</v>
      </c>
    </row>
    <row r="64" spans="1:17" x14ac:dyDescent="0.15">
      <c r="A64" s="2" t="s">
        <v>115</v>
      </c>
      <c r="B64" s="18" t="s">
        <v>21</v>
      </c>
      <c r="C64" s="18" t="s">
        <v>22</v>
      </c>
      <c r="G64" s="1" t="s">
        <v>109</v>
      </c>
      <c r="H64" s="1">
        <f t="shared" si="34"/>
        <v>2040</v>
      </c>
      <c r="I64" s="38">
        <f>ROUND((SUM(H156:I161)/SUM(H141:I161)),2)</f>
        <v>0.28999999999999998</v>
      </c>
      <c r="J64" s="205"/>
      <c r="K64" s="205"/>
      <c r="N64" s="1" t="s">
        <v>109</v>
      </c>
      <c r="O64" s="1">
        <f t="shared" si="36"/>
        <v>2040</v>
      </c>
      <c r="P64" s="38">
        <f t="shared" si="33"/>
        <v>0.28999999999999998</v>
      </c>
      <c r="Q64" s="38">
        <f>ROUND((SUM(O156:P161)/SUM(O141:P161)),2)</f>
        <v>0.28999999999999998</v>
      </c>
    </row>
    <row r="65" spans="1:21" x14ac:dyDescent="0.15">
      <c r="A65" s="2" t="s">
        <v>0</v>
      </c>
      <c r="B65" s="17">
        <f>ROUND(VLOOKUP(B$63&amp;"_1",管理者用人口入力シート!A:X,D65,FALSE),0)</f>
        <v>141</v>
      </c>
      <c r="C65" s="17">
        <f>ROUND(VLOOKUP(B$63&amp;"_2",管理者用人口入力シート!A:X,D65,FALSE),0)</f>
        <v>138</v>
      </c>
      <c r="D65" s="2">
        <v>4</v>
      </c>
    </row>
    <row r="66" spans="1:21" x14ac:dyDescent="0.15">
      <c r="A66" s="2" t="s">
        <v>1</v>
      </c>
      <c r="B66" s="17">
        <f>ROUND(VLOOKUP(B$63&amp;"_1",管理者用人口入力シート!A:X,D66,FALSE),0)</f>
        <v>153</v>
      </c>
      <c r="C66" s="17">
        <f>ROUND(VLOOKUP(B$63&amp;"_2",管理者用人口入力シート!A:X,D66,FALSE),0)</f>
        <v>184</v>
      </c>
      <c r="D66" s="2">
        <v>5</v>
      </c>
      <c r="G66" s="69" t="s">
        <v>113</v>
      </c>
      <c r="N66" s="69" t="s">
        <v>113</v>
      </c>
    </row>
    <row r="67" spans="1:21" x14ac:dyDescent="0.15">
      <c r="A67" s="2" t="s">
        <v>2</v>
      </c>
      <c r="B67" s="17">
        <f>ROUND(VLOOKUP(B$63&amp;"_1",管理者用人口入力シート!A:X,D67,FALSE),0)</f>
        <v>194</v>
      </c>
      <c r="C67" s="17">
        <f>ROUND(VLOOKUP(B$63&amp;"_2",管理者用人口入力シート!A:X,D67,FALSE),0)</f>
        <v>178</v>
      </c>
      <c r="D67" s="2">
        <v>6</v>
      </c>
      <c r="G67" s="2" t="s">
        <v>106</v>
      </c>
      <c r="H67" s="315">
        <f>管理者入力シート!B8</f>
        <v>2025</v>
      </c>
      <c r="I67" s="316"/>
      <c r="J67" s="2" t="s">
        <v>114</v>
      </c>
      <c r="K67" s="209"/>
      <c r="O67" s="315">
        <f>管理者入力シート!B8</f>
        <v>2025</v>
      </c>
      <c r="P67" s="316"/>
      <c r="Q67" s="2" t="s">
        <v>114</v>
      </c>
    </row>
    <row r="68" spans="1:21" x14ac:dyDescent="0.15">
      <c r="A68" s="2" t="s">
        <v>3</v>
      </c>
      <c r="B68" s="17">
        <f>ROUND(VLOOKUP(B$63&amp;"_1",管理者用人口入力シート!A:X,D68,FALSE),0)</f>
        <v>192</v>
      </c>
      <c r="C68" s="17">
        <f>ROUND(VLOOKUP(B$63&amp;"_2",管理者用人口入力シート!A:X,D68,FALSE),0)</f>
        <v>211</v>
      </c>
      <c r="D68" s="2">
        <v>7</v>
      </c>
      <c r="G68" s="2" t="s">
        <v>115</v>
      </c>
      <c r="H68" s="18" t="s">
        <v>243</v>
      </c>
      <c r="I68" s="18" t="s">
        <v>244</v>
      </c>
      <c r="K68" s="209"/>
      <c r="N68" s="2" t="s">
        <v>115</v>
      </c>
      <c r="O68" s="18" t="s">
        <v>21</v>
      </c>
      <c r="P68" s="18" t="s">
        <v>22</v>
      </c>
    </row>
    <row r="69" spans="1:21" x14ac:dyDescent="0.15">
      <c r="A69" s="2" t="s">
        <v>4</v>
      </c>
      <c r="B69" s="17">
        <f>ROUND(VLOOKUP(B$63&amp;"_1",管理者用人口入力シート!A:X,D69,FALSE),0)</f>
        <v>126</v>
      </c>
      <c r="C69" s="17">
        <f>ROUND(VLOOKUP(B$63&amp;"_2",管理者用人口入力シート!A:X,D69,FALSE),0)</f>
        <v>131</v>
      </c>
      <c r="D69" s="2">
        <v>8</v>
      </c>
      <c r="G69" s="2" t="s">
        <v>0</v>
      </c>
      <c r="H69" s="17">
        <f>ROUND(VLOOKUP(H$67&amp;"_1",管理者用人口入力シート!BH:CE,J69,FALSE),0)</f>
        <v>113</v>
      </c>
      <c r="I69" s="17">
        <f>ROUND(VLOOKUP(H$67&amp;"_2",管理者用人口入力シート!BH:CE,J69,FALSE),0)</f>
        <v>100</v>
      </c>
      <c r="J69" s="2">
        <v>4</v>
      </c>
      <c r="K69" s="12"/>
      <c r="N69" s="2" t="s">
        <v>0</v>
      </c>
      <c r="O69" s="17">
        <f>ROUND(VLOOKUP(O$67&amp;"_1",管理者用人口入力シート!CO:DL,Q69,FALSE),0)</f>
        <v>114</v>
      </c>
      <c r="P69" s="17">
        <f>ROUND(VLOOKUP(O$67&amp;"_2",管理者用人口入力シート!CO:DL,Q69,FALSE),0)</f>
        <v>101</v>
      </c>
      <c r="Q69" s="2">
        <v>4</v>
      </c>
      <c r="U69" s="85"/>
    </row>
    <row r="70" spans="1:21" x14ac:dyDescent="0.15">
      <c r="A70" s="2" t="s">
        <v>5</v>
      </c>
      <c r="B70" s="17">
        <f>ROUND(VLOOKUP(B$63&amp;"_1",管理者用人口入力シート!A:X,D70,FALSE),0)</f>
        <v>149</v>
      </c>
      <c r="C70" s="17">
        <f>ROUND(VLOOKUP(B$63&amp;"_2",管理者用人口入力シート!A:X,D70,FALSE),0)</f>
        <v>174</v>
      </c>
      <c r="D70" s="2">
        <v>9</v>
      </c>
      <c r="G70" s="2" t="s">
        <v>1</v>
      </c>
      <c r="H70" s="17">
        <f>ROUND(VLOOKUP(H$67&amp;"_1",管理者用人口入力シート!BH:CE,J70,FALSE),0)</f>
        <v>143</v>
      </c>
      <c r="I70" s="17">
        <f>ROUND(VLOOKUP(H$67&amp;"_2",管理者用人口入力シート!BH:CE,J70,FALSE),0)</f>
        <v>133</v>
      </c>
      <c r="J70" s="2">
        <v>5</v>
      </c>
      <c r="K70" s="12"/>
      <c r="N70" s="2" t="s">
        <v>1</v>
      </c>
      <c r="O70" s="17">
        <f>ROUND(VLOOKUP(O$67&amp;"_1",管理者用人口入力シート!CO:DL,Q70,FALSE),0)</f>
        <v>143</v>
      </c>
      <c r="P70" s="17">
        <f>ROUND(VLOOKUP(O$67&amp;"_2",管理者用人口入力シート!CO:DL,Q70,FALSE),0)</f>
        <v>133</v>
      </c>
      <c r="Q70" s="2">
        <v>5</v>
      </c>
      <c r="U70" s="85"/>
    </row>
    <row r="71" spans="1:21" x14ac:dyDescent="0.15">
      <c r="A71" s="2" t="s">
        <v>6</v>
      </c>
      <c r="B71" s="17">
        <f>ROUND(VLOOKUP(B$63&amp;"_1",管理者用人口入力シート!A:X,D71,FALSE),0)</f>
        <v>195</v>
      </c>
      <c r="C71" s="17">
        <f>ROUND(VLOOKUP(B$63&amp;"_2",管理者用人口入力シート!A:X,D71,FALSE),0)</f>
        <v>198</v>
      </c>
      <c r="D71" s="2">
        <v>10</v>
      </c>
      <c r="G71" s="2" t="s">
        <v>2</v>
      </c>
      <c r="H71" s="17">
        <f>ROUND(VLOOKUP(H$67&amp;"_1",管理者用人口入力シート!BH:CE,J71,FALSE),0)</f>
        <v>144</v>
      </c>
      <c r="I71" s="17">
        <f>ROUND(VLOOKUP(H$67&amp;"_2",管理者用人口入力シート!BH:CE,J71,FALSE),0)</f>
        <v>155</v>
      </c>
      <c r="J71" s="2">
        <v>6</v>
      </c>
      <c r="K71" s="12"/>
      <c r="N71" s="2" t="s">
        <v>2</v>
      </c>
      <c r="O71" s="17">
        <f>ROUND(VLOOKUP(O$67&amp;"_1",管理者用人口入力シート!CO:DL,Q71,FALSE),0)</f>
        <v>145</v>
      </c>
      <c r="P71" s="17">
        <f>ROUND(VLOOKUP(O$67&amp;"_2",管理者用人口入力シート!CO:DL,Q71,FALSE),0)</f>
        <v>156</v>
      </c>
      <c r="Q71" s="2">
        <v>6</v>
      </c>
      <c r="U71" s="85"/>
    </row>
    <row r="72" spans="1:21" x14ac:dyDescent="0.15">
      <c r="A72" s="2" t="s">
        <v>7</v>
      </c>
      <c r="B72" s="17">
        <f>ROUND(VLOOKUP(B$63&amp;"_1",管理者用人口入力シート!A:X,D72,FALSE),0)</f>
        <v>224</v>
      </c>
      <c r="C72" s="17">
        <f>ROUND(VLOOKUP(B$63&amp;"_2",管理者用人口入力シート!A:X,D72,FALSE),0)</f>
        <v>239</v>
      </c>
      <c r="D72" s="2">
        <v>11</v>
      </c>
      <c r="G72" s="2" t="s">
        <v>3</v>
      </c>
      <c r="H72" s="17">
        <f>ROUND(VLOOKUP(H$67&amp;"_1",管理者用人口入力シート!BH:CE,J72,FALSE),0)</f>
        <v>124</v>
      </c>
      <c r="I72" s="17">
        <f>ROUND(VLOOKUP(H$67&amp;"_2",管理者用人口入力シート!BH:CE,J72,FALSE),0)</f>
        <v>162</v>
      </c>
      <c r="J72" s="2">
        <v>7</v>
      </c>
      <c r="K72" s="12"/>
      <c r="N72" s="2" t="s">
        <v>3</v>
      </c>
      <c r="O72" s="17">
        <f>ROUND(VLOOKUP(O$67&amp;"_1",管理者用人口入力シート!CO:DL,Q72,FALSE),0)</f>
        <v>124</v>
      </c>
      <c r="P72" s="17">
        <f>ROUND(VLOOKUP(O$67&amp;"_2",管理者用人口入力シート!CO:DL,Q72,FALSE),0)</f>
        <v>162</v>
      </c>
      <c r="Q72" s="2">
        <v>7</v>
      </c>
      <c r="U72" s="85"/>
    </row>
    <row r="73" spans="1:21" x14ac:dyDescent="0.15">
      <c r="A73" s="2" t="s">
        <v>8</v>
      </c>
      <c r="B73" s="17">
        <f>ROUND(VLOOKUP(B$63&amp;"_1",管理者用人口入力シート!A:X,D73,FALSE),0)</f>
        <v>246</v>
      </c>
      <c r="C73" s="17">
        <f>ROUND(VLOOKUP(B$63&amp;"_2",管理者用人口入力シート!A:X,D73,FALSE),0)</f>
        <v>265</v>
      </c>
      <c r="D73" s="2">
        <v>12</v>
      </c>
      <c r="G73" s="2" t="s">
        <v>4</v>
      </c>
      <c r="H73" s="17">
        <f>ROUND(VLOOKUP(H$67&amp;"_1",管理者用人口入力シート!BH:CE,J73,FALSE),0)</f>
        <v>101</v>
      </c>
      <c r="I73" s="17">
        <f>ROUND(VLOOKUP(H$67&amp;"_2",管理者用人口入力シート!BH:CE,J73,FALSE),0)</f>
        <v>98</v>
      </c>
      <c r="J73" s="2">
        <v>8</v>
      </c>
      <c r="K73" s="12"/>
      <c r="N73" s="2" t="s">
        <v>4</v>
      </c>
      <c r="O73" s="17">
        <f>ROUND(VLOOKUP(O$67&amp;"_1",管理者用人口入力シート!CO:DL,Q73,FALSE),0)</f>
        <v>101</v>
      </c>
      <c r="P73" s="17">
        <f>ROUND(VLOOKUP(O$67&amp;"_2",管理者用人口入力シート!CO:DL,Q73,FALSE),0)</f>
        <v>98</v>
      </c>
      <c r="Q73" s="2">
        <v>8</v>
      </c>
      <c r="U73" s="85"/>
    </row>
    <row r="74" spans="1:21" x14ac:dyDescent="0.15">
      <c r="A74" s="2" t="s">
        <v>9</v>
      </c>
      <c r="B74" s="17">
        <f>ROUND(VLOOKUP(B$63&amp;"_1",管理者用人口入力シート!A:X,D74,FALSE),0)</f>
        <v>220</v>
      </c>
      <c r="C74" s="17">
        <f>ROUND(VLOOKUP(B$63&amp;"_2",管理者用人口入力シート!A:X,D74,FALSE),0)</f>
        <v>249</v>
      </c>
      <c r="D74" s="2">
        <v>13</v>
      </c>
      <c r="G74" s="2" t="s">
        <v>5</v>
      </c>
      <c r="H74" s="17">
        <f>ROUND(VLOOKUP(H$67&amp;"_1",管理者用人口入力シート!BH:CE,J74,FALSE),0)</f>
        <v>118</v>
      </c>
      <c r="I74" s="17">
        <f>ROUND(VLOOKUP(H$67&amp;"_2",管理者用人口入力シート!BH:CE,J74,FALSE),0)</f>
        <v>105</v>
      </c>
      <c r="J74" s="2">
        <v>9</v>
      </c>
      <c r="K74" s="12"/>
      <c r="N74" s="2" t="s">
        <v>5</v>
      </c>
      <c r="O74" s="17">
        <f>ROUND(VLOOKUP(O$67&amp;"_1",管理者用人口入力シート!CO:DL,Q74,FALSE),0)</f>
        <v>120</v>
      </c>
      <c r="P74" s="17">
        <f>ROUND(VLOOKUP(O$67&amp;"_2",管理者用人口入力シート!CO:DL,Q74,FALSE),0)</f>
        <v>107</v>
      </c>
      <c r="Q74" s="2">
        <v>9</v>
      </c>
      <c r="U74" s="85"/>
    </row>
    <row r="75" spans="1:21" x14ac:dyDescent="0.15">
      <c r="A75" s="2" t="s">
        <v>10</v>
      </c>
      <c r="B75" s="17">
        <f>ROUND(VLOOKUP(B$63&amp;"_1",管理者用人口入力シート!A:X,D75,FALSE),0)</f>
        <v>229</v>
      </c>
      <c r="C75" s="17">
        <f>ROUND(VLOOKUP(B$63&amp;"_2",管理者用人口入力シート!A:X,D75,FALSE),0)</f>
        <v>258</v>
      </c>
      <c r="D75" s="2">
        <v>14</v>
      </c>
      <c r="G75" s="2" t="s">
        <v>6</v>
      </c>
      <c r="H75" s="17">
        <f>ROUND(VLOOKUP(H$67&amp;"_1",管理者用人口入力シート!BH:CE,J75,FALSE),0)</f>
        <v>132</v>
      </c>
      <c r="I75" s="17">
        <f>ROUND(VLOOKUP(H$67&amp;"_2",管理者用人口入力シート!BH:CE,J75,FALSE),0)</f>
        <v>116</v>
      </c>
      <c r="J75" s="2">
        <v>10</v>
      </c>
      <c r="K75" s="12"/>
      <c r="N75" s="2" t="s">
        <v>6</v>
      </c>
      <c r="O75" s="17">
        <f>ROUND(VLOOKUP(O$67&amp;"_1",管理者用人口入力シート!CO:DL,Q75,FALSE),0)</f>
        <v>132</v>
      </c>
      <c r="P75" s="17">
        <f>ROUND(VLOOKUP(O$67&amp;"_2",管理者用人口入力シート!CO:DL,Q75,FALSE),0)</f>
        <v>116</v>
      </c>
      <c r="Q75" s="2">
        <v>10</v>
      </c>
      <c r="U75" s="85"/>
    </row>
    <row r="76" spans="1:21" x14ac:dyDescent="0.15">
      <c r="A76" s="2" t="s">
        <v>11</v>
      </c>
      <c r="B76" s="17">
        <f>ROUND(VLOOKUP(B$63&amp;"_1",管理者用人口入力シート!A:X,D76,FALSE),0)</f>
        <v>290</v>
      </c>
      <c r="C76" s="17">
        <f>ROUND(VLOOKUP(B$63&amp;"_2",管理者用人口入力シート!A:X,D76,FALSE),0)</f>
        <v>330</v>
      </c>
      <c r="D76" s="2">
        <v>15</v>
      </c>
      <c r="G76" s="2" t="s">
        <v>7</v>
      </c>
      <c r="H76" s="17">
        <f>ROUND(VLOOKUP(H$67&amp;"_1",管理者用人口入力シート!BH:CE,J76,FALSE),0)</f>
        <v>165</v>
      </c>
      <c r="I76" s="17">
        <f>ROUND(VLOOKUP(H$67&amp;"_2",管理者用人口入力シート!BH:CE,J76,FALSE),0)</f>
        <v>170</v>
      </c>
      <c r="J76" s="2">
        <v>11</v>
      </c>
      <c r="K76" s="12"/>
      <c r="N76" s="2" t="s">
        <v>7</v>
      </c>
      <c r="O76" s="17">
        <f>ROUND(VLOOKUP(O$67&amp;"_1",管理者用人口入力シート!CO:DL,Q76,FALSE),0)</f>
        <v>165</v>
      </c>
      <c r="P76" s="17">
        <f>ROUND(VLOOKUP(O$67&amp;"_2",管理者用人口入力シート!CO:DL,Q76,FALSE),0)</f>
        <v>170</v>
      </c>
      <c r="Q76" s="2">
        <v>11</v>
      </c>
      <c r="U76" s="85"/>
    </row>
    <row r="77" spans="1:21" x14ac:dyDescent="0.15">
      <c r="A77" s="2" t="s">
        <v>12</v>
      </c>
      <c r="B77" s="17">
        <f>ROUND(VLOOKUP(B$63&amp;"_1",管理者用人口入力シート!A:X,D77,FALSE),0)</f>
        <v>331</v>
      </c>
      <c r="C77" s="17">
        <f>ROUND(VLOOKUP(B$63&amp;"_2",管理者用人口入力シート!A:X,D77,FALSE),0)</f>
        <v>332</v>
      </c>
      <c r="D77" s="2">
        <v>16</v>
      </c>
      <c r="G77" s="2" t="s">
        <v>8</v>
      </c>
      <c r="H77" s="17">
        <f>ROUND(VLOOKUP(H$67&amp;"_1",管理者用人口入力シート!BH:CE,J77,FALSE),0)</f>
        <v>196</v>
      </c>
      <c r="I77" s="17">
        <f>ROUND(VLOOKUP(H$67&amp;"_2",管理者用人口入力シート!BH:CE,J77,FALSE),0)</f>
        <v>202</v>
      </c>
      <c r="J77" s="2">
        <v>12</v>
      </c>
      <c r="K77" s="12"/>
      <c r="N77" s="2" t="s">
        <v>8</v>
      </c>
      <c r="O77" s="17">
        <f>ROUND(VLOOKUP(O$67&amp;"_1",管理者用人口入力シート!CO:DL,Q77,FALSE),0)</f>
        <v>196</v>
      </c>
      <c r="P77" s="17">
        <f>ROUND(VLOOKUP(O$67&amp;"_2",管理者用人口入力シート!CO:DL,Q77,FALSE),0)</f>
        <v>203</v>
      </c>
      <c r="Q77" s="2">
        <v>12</v>
      </c>
      <c r="U77" s="85"/>
    </row>
    <row r="78" spans="1:21" x14ac:dyDescent="0.15">
      <c r="A78" s="2" t="s">
        <v>13</v>
      </c>
      <c r="B78" s="17">
        <f>ROUND(VLOOKUP(B$63&amp;"_1",管理者用人口入力シート!A:X,D78,FALSE),0)</f>
        <v>307</v>
      </c>
      <c r="C78" s="17">
        <f>ROUND(VLOOKUP(B$63&amp;"_2",管理者用人口入力シート!A:X,D78,FALSE),0)</f>
        <v>367</v>
      </c>
      <c r="D78" s="2">
        <v>17</v>
      </c>
      <c r="G78" s="2" t="s">
        <v>9</v>
      </c>
      <c r="H78" s="17">
        <f>ROUND(VLOOKUP(H$67&amp;"_1",管理者用人口入力シート!BH:CE,J78,FALSE),0)</f>
        <v>213</v>
      </c>
      <c r="I78" s="17">
        <f>ROUND(VLOOKUP(H$67&amp;"_2",管理者用人口入力シート!BH:CE,J78,FALSE),0)</f>
        <v>223</v>
      </c>
      <c r="J78" s="2">
        <v>13</v>
      </c>
      <c r="K78" s="12"/>
      <c r="N78" s="2" t="s">
        <v>9</v>
      </c>
      <c r="O78" s="17">
        <f>ROUND(VLOOKUP(O$67&amp;"_1",管理者用人口入力シート!CO:DL,Q78,FALSE),0)</f>
        <v>213</v>
      </c>
      <c r="P78" s="17">
        <f>ROUND(VLOOKUP(O$67&amp;"_2",管理者用人口入力シート!CO:DL,Q78,FALSE),0)</f>
        <v>223</v>
      </c>
      <c r="Q78" s="2">
        <v>13</v>
      </c>
      <c r="U78" s="85"/>
    </row>
    <row r="79" spans="1:21" x14ac:dyDescent="0.15">
      <c r="A79" s="2" t="s">
        <v>14</v>
      </c>
      <c r="B79" s="17">
        <f>ROUND(VLOOKUP(B$63&amp;"_1",管理者用人口入力シート!A:X,D79,FALSE),0)</f>
        <v>206</v>
      </c>
      <c r="C79" s="17">
        <f>ROUND(VLOOKUP(B$63&amp;"_2",管理者用人口入力シート!A:X,D79,FALSE),0)</f>
        <v>256</v>
      </c>
      <c r="D79" s="2">
        <v>18</v>
      </c>
      <c r="G79" s="2" t="s">
        <v>10</v>
      </c>
      <c r="H79" s="17">
        <f>ROUND(VLOOKUP(H$67&amp;"_1",管理者用人口入力シート!BH:CE,J79,FALSE),0)</f>
        <v>231</v>
      </c>
      <c r="I79" s="17">
        <f>ROUND(VLOOKUP(H$67&amp;"_2",管理者用人口入力シート!BH:CE,J79,FALSE),0)</f>
        <v>252</v>
      </c>
      <c r="J79" s="2">
        <v>14</v>
      </c>
      <c r="K79" s="12"/>
      <c r="N79" s="2" t="s">
        <v>10</v>
      </c>
      <c r="O79" s="17">
        <f>ROUND(VLOOKUP(O$67&amp;"_1",管理者用人口入力シート!CO:DL,Q79,FALSE),0)</f>
        <v>231</v>
      </c>
      <c r="P79" s="17">
        <f>ROUND(VLOOKUP(O$67&amp;"_2",管理者用人口入力シート!CO:DL,Q79,FALSE),0)</f>
        <v>252</v>
      </c>
      <c r="Q79" s="2">
        <v>14</v>
      </c>
      <c r="U79" s="85"/>
    </row>
    <row r="80" spans="1:21" x14ac:dyDescent="0.15">
      <c r="A80" s="2" t="s">
        <v>15</v>
      </c>
      <c r="B80" s="17">
        <f>ROUND(VLOOKUP(B$63&amp;"_1",管理者用人口入力シート!A:X,D80,FALSE),0)</f>
        <v>183</v>
      </c>
      <c r="C80" s="17">
        <f>ROUND(VLOOKUP(B$63&amp;"_2",管理者用人口入力シート!A:X,D80,FALSE),0)</f>
        <v>239</v>
      </c>
      <c r="D80" s="2">
        <v>19</v>
      </c>
      <c r="G80" s="2" t="s">
        <v>11</v>
      </c>
      <c r="H80" s="17">
        <f>ROUND(VLOOKUP(H$67&amp;"_1",管理者用人口入力シート!BH:CE,J80,FALSE),0)</f>
        <v>198</v>
      </c>
      <c r="I80" s="17">
        <f>ROUND(VLOOKUP(H$67&amp;"_2",管理者用人口入力シート!BH:CE,J80,FALSE),0)</f>
        <v>237</v>
      </c>
      <c r="J80" s="2">
        <v>15</v>
      </c>
      <c r="K80" s="12"/>
      <c r="N80" s="2" t="s">
        <v>11</v>
      </c>
      <c r="O80" s="17">
        <f>ROUND(VLOOKUP(O$67&amp;"_1",管理者用人口入力シート!CO:DL,Q80,FALSE),0)</f>
        <v>198</v>
      </c>
      <c r="P80" s="17">
        <f>ROUND(VLOOKUP(O$67&amp;"_2",管理者用人口入力シート!CO:DL,Q80,FALSE),0)</f>
        <v>237</v>
      </c>
      <c r="Q80" s="2">
        <v>15</v>
      </c>
      <c r="U80" s="85"/>
    </row>
    <row r="81" spans="1:21" x14ac:dyDescent="0.15">
      <c r="A81" s="2" t="s">
        <v>16</v>
      </c>
      <c r="B81" s="17">
        <f>ROUND(VLOOKUP(B$63&amp;"_1",管理者用人口入力シート!A:X,D81,FALSE),0)</f>
        <v>164</v>
      </c>
      <c r="C81" s="17">
        <f>ROUND(VLOOKUP(B$63&amp;"_2",管理者用人口入力シート!A:X,D81,FALSE),0)</f>
        <v>215</v>
      </c>
      <c r="D81" s="2">
        <v>20</v>
      </c>
      <c r="G81" s="2" t="s">
        <v>12</v>
      </c>
      <c r="H81" s="17">
        <f>ROUND(VLOOKUP(H$67&amp;"_1",管理者用人口入力シート!BH:CE,J81,FALSE),0)</f>
        <v>215</v>
      </c>
      <c r="I81" s="17">
        <f>ROUND(VLOOKUP(H$67&amp;"_2",管理者用人口入力シート!BH:CE,J81,FALSE),0)</f>
        <v>249</v>
      </c>
      <c r="J81" s="2">
        <v>16</v>
      </c>
      <c r="K81" s="12"/>
      <c r="N81" s="2" t="s">
        <v>12</v>
      </c>
      <c r="O81" s="17">
        <f>ROUND(VLOOKUP(O$67&amp;"_1",管理者用人口入力シート!CO:DL,Q81,FALSE),0)</f>
        <v>215</v>
      </c>
      <c r="P81" s="17">
        <f>ROUND(VLOOKUP(O$67&amp;"_2",管理者用人口入力シート!CO:DL,Q81,FALSE),0)</f>
        <v>249</v>
      </c>
      <c r="Q81" s="2">
        <v>16</v>
      </c>
      <c r="U81" s="85"/>
    </row>
    <row r="82" spans="1:21" x14ac:dyDescent="0.15">
      <c r="A82" s="2" t="s">
        <v>17</v>
      </c>
      <c r="B82" s="17">
        <f>ROUND(VLOOKUP(B$63&amp;"_1",管理者用人口入力シート!A:X,D82,FALSE),0)</f>
        <v>95</v>
      </c>
      <c r="C82" s="17">
        <f>ROUND(VLOOKUP(B$63&amp;"_2",管理者用人口入力シート!A:X,D82,FALSE),0)</f>
        <v>168</v>
      </c>
      <c r="D82" s="2">
        <v>21</v>
      </c>
      <c r="G82" s="2" t="s">
        <v>13</v>
      </c>
      <c r="H82" s="17">
        <f>ROUND(VLOOKUP(H$67&amp;"_1",管理者用人口入力シート!BH:CE,J82,FALSE),0)</f>
        <v>274</v>
      </c>
      <c r="I82" s="17">
        <f>ROUND(VLOOKUP(H$67&amp;"_2",管理者用人口入力シート!BH:CE,J82,FALSE),0)</f>
        <v>319</v>
      </c>
      <c r="J82" s="2">
        <v>17</v>
      </c>
      <c r="K82" s="12"/>
      <c r="N82" s="2" t="s">
        <v>13</v>
      </c>
      <c r="O82" s="17">
        <f>ROUND(VLOOKUP(O$67&amp;"_1",管理者用人口入力シート!CO:DL,Q82,FALSE),0)</f>
        <v>274</v>
      </c>
      <c r="P82" s="17">
        <f>ROUND(VLOOKUP(O$67&amp;"_2",管理者用人口入力シート!CO:DL,Q82,FALSE),0)</f>
        <v>319</v>
      </c>
      <c r="Q82" s="2">
        <v>17</v>
      </c>
      <c r="U82" s="85"/>
    </row>
    <row r="83" spans="1:21" x14ac:dyDescent="0.15">
      <c r="A83" s="2" t="s">
        <v>18</v>
      </c>
      <c r="B83" s="17">
        <f>ROUND(VLOOKUP(B$63&amp;"_1",管理者用人口入力シート!A:X,D83,FALSE),0)</f>
        <v>19</v>
      </c>
      <c r="C83" s="17">
        <f>ROUND(VLOOKUP(B$63&amp;"_2",管理者用人口入力シート!A:X,D83,FALSE),0)</f>
        <v>67</v>
      </c>
      <c r="D83" s="2">
        <v>22</v>
      </c>
      <c r="G83" s="2" t="s">
        <v>14</v>
      </c>
      <c r="H83" s="17">
        <f>ROUND(VLOOKUP(H$67&amp;"_1",管理者用人口入力シート!BH:CE,J83,FALSE),0)</f>
        <v>290</v>
      </c>
      <c r="I83" s="17">
        <f>ROUND(VLOOKUP(H$67&amp;"_2",管理者用人口入力シート!BH:CE,J83,FALSE),0)</f>
        <v>319</v>
      </c>
      <c r="J83" s="2">
        <v>18</v>
      </c>
      <c r="K83" s="12"/>
      <c r="N83" s="2" t="s">
        <v>14</v>
      </c>
      <c r="O83" s="17">
        <f>ROUND(VLOOKUP(O$67&amp;"_1",管理者用人口入力シート!CO:DL,Q83,FALSE),0)</f>
        <v>290</v>
      </c>
      <c r="P83" s="17">
        <f>ROUND(VLOOKUP(O$67&amp;"_2",管理者用人口入力シート!CO:DL,Q83,FALSE),0)</f>
        <v>319</v>
      </c>
      <c r="Q83" s="2">
        <v>18</v>
      </c>
      <c r="U83" s="85"/>
    </row>
    <row r="84" spans="1:21" x14ac:dyDescent="0.15">
      <c r="A84" s="2" t="s">
        <v>19</v>
      </c>
      <c r="B84" s="17">
        <f>ROUND(VLOOKUP(B$63&amp;"_1",管理者用人口入力シート!A:X,D84,FALSE),0)</f>
        <v>7</v>
      </c>
      <c r="C84" s="17">
        <f>ROUND(VLOOKUP(B$63&amp;"_2",管理者用人口入力シート!A:X,D84,FALSE),0)</f>
        <v>24</v>
      </c>
      <c r="D84" s="2">
        <v>23</v>
      </c>
      <c r="G84" s="2" t="s">
        <v>15</v>
      </c>
      <c r="H84" s="17">
        <f>ROUND(VLOOKUP(H$67&amp;"_1",管理者用人口入力シート!BH:CE,J84,FALSE),0)</f>
        <v>258</v>
      </c>
      <c r="I84" s="17">
        <f>ROUND(VLOOKUP(H$67&amp;"_2",管理者用人口入力シート!BH:CE,J84,FALSE),0)</f>
        <v>333</v>
      </c>
      <c r="J84" s="2">
        <v>19</v>
      </c>
      <c r="K84" s="12"/>
      <c r="N84" s="2" t="s">
        <v>15</v>
      </c>
      <c r="O84" s="17">
        <f>ROUND(VLOOKUP(O$67&amp;"_1",管理者用人口入力シート!CO:DL,Q84,FALSE),0)</f>
        <v>258</v>
      </c>
      <c r="P84" s="17">
        <f>ROUND(VLOOKUP(O$67&amp;"_2",管理者用人口入力シート!CO:DL,Q84,FALSE),0)</f>
        <v>333</v>
      </c>
      <c r="Q84" s="2">
        <v>19</v>
      </c>
      <c r="U84" s="85"/>
    </row>
    <row r="85" spans="1:21" x14ac:dyDescent="0.15">
      <c r="A85" s="2" t="s">
        <v>20</v>
      </c>
      <c r="B85" s="17">
        <f>ROUND(VLOOKUP(B$63&amp;"_1",管理者用人口入力シート!A:X,D85,FALSE),0)</f>
        <v>1</v>
      </c>
      <c r="C85" s="17">
        <f>ROUND(VLOOKUP(B$63&amp;"_2",管理者用人口入力シート!A:X,D85,FALSE),0)</f>
        <v>2</v>
      </c>
      <c r="D85" s="2">
        <v>24</v>
      </c>
      <c r="G85" s="2" t="s">
        <v>16</v>
      </c>
      <c r="H85" s="17">
        <f>ROUND(VLOOKUP(H$67&amp;"_1",管理者用人口入力シート!BH:CE,J85,FALSE),0)</f>
        <v>159</v>
      </c>
      <c r="I85" s="17">
        <f>ROUND(VLOOKUP(H$67&amp;"_2",管理者用人口入力シート!BH:CE,J85,FALSE),0)</f>
        <v>218</v>
      </c>
      <c r="J85" s="2">
        <v>20</v>
      </c>
      <c r="K85" s="12"/>
      <c r="N85" s="2" t="s">
        <v>16</v>
      </c>
      <c r="O85" s="17">
        <f>ROUND(VLOOKUP(O$67&amp;"_1",管理者用人口入力シート!CO:DL,Q85,FALSE),0)</f>
        <v>159</v>
      </c>
      <c r="P85" s="17">
        <f>ROUND(VLOOKUP(O$67&amp;"_2",管理者用人口入力シート!CO:DL,Q85,FALSE),0)</f>
        <v>218</v>
      </c>
      <c r="Q85" s="2">
        <v>20</v>
      </c>
      <c r="U85" s="85"/>
    </row>
    <row r="86" spans="1:21" x14ac:dyDescent="0.15">
      <c r="G86" s="2" t="s">
        <v>17</v>
      </c>
      <c r="H86" s="17">
        <f>ROUND(VLOOKUP(H$67&amp;"_1",管理者用人口入力シート!BH:CE,J86,FALSE),0)</f>
        <v>105</v>
      </c>
      <c r="I86" s="17">
        <f>ROUND(VLOOKUP(H$67&amp;"_2",管理者用人口入力シート!BH:CE,J86,FALSE),0)</f>
        <v>177</v>
      </c>
      <c r="J86" s="2">
        <v>21</v>
      </c>
      <c r="K86" s="12"/>
      <c r="N86" s="2" t="s">
        <v>17</v>
      </c>
      <c r="O86" s="17">
        <f>ROUND(VLOOKUP(O$67&amp;"_1",管理者用人口入力シート!CO:DL,Q86,FALSE),0)</f>
        <v>105</v>
      </c>
      <c r="P86" s="17">
        <f>ROUND(VLOOKUP(O$67&amp;"_2",管理者用人口入力シート!CO:DL,Q86,FALSE),0)</f>
        <v>177</v>
      </c>
      <c r="Q86" s="2">
        <v>21</v>
      </c>
      <c r="U86" s="85"/>
    </row>
    <row r="87" spans="1:21" x14ac:dyDescent="0.15">
      <c r="A87" s="2" t="s">
        <v>62</v>
      </c>
      <c r="B87" s="315">
        <f>管理者入力シート!B5</f>
        <v>2020</v>
      </c>
      <c r="C87" s="316"/>
      <c r="D87" s="2" t="s">
        <v>114</v>
      </c>
      <c r="G87" s="2" t="s">
        <v>18</v>
      </c>
      <c r="H87" s="17">
        <f>ROUND(VLOOKUP(H$67&amp;"_1",管理者用人口入力シート!BH:CE,J87,FALSE),0)</f>
        <v>51</v>
      </c>
      <c r="I87" s="17">
        <f>ROUND(VLOOKUP(H$67&amp;"_2",管理者用人口入力シート!BH:CE,J87,FALSE),0)</f>
        <v>95</v>
      </c>
      <c r="J87" s="2">
        <v>22</v>
      </c>
      <c r="K87" s="12"/>
      <c r="N87" s="2" t="s">
        <v>18</v>
      </c>
      <c r="O87" s="17">
        <f>ROUND(VLOOKUP(O$67&amp;"_1",管理者用人口入力シート!CO:DL,Q87,FALSE),0)</f>
        <v>51</v>
      </c>
      <c r="P87" s="17">
        <f>ROUND(VLOOKUP(O$67&amp;"_2",管理者用人口入力シート!CO:DL,Q87,FALSE),0)</f>
        <v>95</v>
      </c>
      <c r="Q87" s="2">
        <v>22</v>
      </c>
      <c r="U87" s="85"/>
    </row>
    <row r="88" spans="1:21" x14ac:dyDescent="0.15">
      <c r="A88" s="2" t="s">
        <v>115</v>
      </c>
      <c r="B88" s="18" t="s">
        <v>21</v>
      </c>
      <c r="C88" s="18" t="s">
        <v>22</v>
      </c>
      <c r="G88" s="2" t="s">
        <v>19</v>
      </c>
      <c r="H88" s="17">
        <f>ROUND(VLOOKUP(H$67&amp;"_1",管理者用人口入力シート!BH:CE,J88,FALSE),0)</f>
        <v>18</v>
      </c>
      <c r="I88" s="17">
        <f>ROUND(VLOOKUP(H$67&amp;"_2",管理者用人口入力シート!BH:CE,J88,FALSE),0)</f>
        <v>36</v>
      </c>
      <c r="J88" s="2">
        <v>23</v>
      </c>
      <c r="K88" s="12"/>
      <c r="N88" s="2" t="s">
        <v>19</v>
      </c>
      <c r="O88" s="17">
        <f>ROUND(VLOOKUP(O$67&amp;"_1",管理者用人口入力シート!CO:DL,Q88,FALSE),0)</f>
        <v>18</v>
      </c>
      <c r="P88" s="17">
        <f>ROUND(VLOOKUP(O$67&amp;"_2",管理者用人口入力シート!CO:DL,Q88,FALSE),0)</f>
        <v>36</v>
      </c>
      <c r="Q88" s="2">
        <v>23</v>
      </c>
      <c r="U88" s="85"/>
    </row>
    <row r="89" spans="1:21" x14ac:dyDescent="0.15">
      <c r="A89" s="2" t="s">
        <v>0</v>
      </c>
      <c r="B89" s="17">
        <f>ROUND(VLOOKUP(B$87&amp;"_1",管理者用人口入力シート!A:X,D89,FALSE),0)</f>
        <v>142</v>
      </c>
      <c r="C89" s="17">
        <f>ROUND(VLOOKUP(B$87&amp;"_2",管理者用人口入力シート!A:X,D89,FALSE),0)</f>
        <v>126</v>
      </c>
      <c r="D89" s="2">
        <v>4</v>
      </c>
      <c r="G89" s="2" t="s">
        <v>20</v>
      </c>
      <c r="H89" s="17">
        <f>ROUND(VLOOKUP(H$67&amp;"_1",管理者用人口入力シート!BH:CE,J89,FALSE),0)</f>
        <v>0</v>
      </c>
      <c r="I89" s="17">
        <f>ROUND(VLOOKUP(H$67&amp;"_2",管理者用人口入力シート!BH:CE,J89,FALSE),0)</f>
        <v>4</v>
      </c>
      <c r="J89" s="2">
        <v>24</v>
      </c>
      <c r="K89" s="12"/>
      <c r="N89" s="2" t="s">
        <v>20</v>
      </c>
      <c r="O89" s="17">
        <f>ROUND(VLOOKUP(O$67&amp;"_1",管理者用人口入力シート!CO:DL,Q89,FALSE),0)</f>
        <v>0</v>
      </c>
      <c r="P89" s="17">
        <f>ROUND(VLOOKUP(O$67&amp;"_2",管理者用人口入力シート!CO:DL,Q89,FALSE),0)</f>
        <v>4</v>
      </c>
      <c r="Q89" s="2">
        <v>24</v>
      </c>
      <c r="U89" s="85"/>
    </row>
    <row r="90" spans="1:21" x14ac:dyDescent="0.15">
      <c r="A90" s="2" t="s">
        <v>1</v>
      </c>
      <c r="B90" s="17">
        <f>ROUND(VLOOKUP(B$87&amp;"_1",管理者用人口入力シート!A:X,D90,FALSE),0)</f>
        <v>152</v>
      </c>
      <c r="C90" s="17">
        <f>ROUND(VLOOKUP(B$87&amp;"_2",管理者用人口入力シート!A:X,D90,FALSE),0)</f>
        <v>156</v>
      </c>
      <c r="D90" s="2">
        <v>5</v>
      </c>
    </row>
    <row r="91" spans="1:21" x14ac:dyDescent="0.15">
      <c r="A91" s="2" t="s">
        <v>2</v>
      </c>
      <c r="B91" s="17">
        <f>ROUND(VLOOKUP(B$87&amp;"_1",管理者用人口入力シート!A:X,D91,FALSE),0)</f>
        <v>148</v>
      </c>
      <c r="C91" s="17">
        <f>ROUND(VLOOKUP(B$87&amp;"_2",管理者用人口入力シート!A:X,D91,FALSE),0)</f>
        <v>185</v>
      </c>
      <c r="D91" s="2">
        <v>6</v>
      </c>
      <c r="G91" s="2" t="s">
        <v>107</v>
      </c>
      <c r="H91" s="315">
        <f>管理者入力シート!B9</f>
        <v>2030</v>
      </c>
      <c r="I91" s="316"/>
      <c r="J91" s="2" t="s">
        <v>114</v>
      </c>
      <c r="K91" s="209"/>
      <c r="O91" s="315">
        <f>管理者入力シート!B9</f>
        <v>2030</v>
      </c>
      <c r="P91" s="316"/>
      <c r="Q91" s="2" t="s">
        <v>114</v>
      </c>
    </row>
    <row r="92" spans="1:21" x14ac:dyDescent="0.15">
      <c r="A92" s="2" t="s">
        <v>3</v>
      </c>
      <c r="B92" s="17">
        <f>ROUND(VLOOKUP(B$87&amp;"_1",管理者用人口入力シート!A:X,D92,FALSE),0)</f>
        <v>166</v>
      </c>
      <c r="C92" s="17">
        <f>ROUND(VLOOKUP(B$87&amp;"_2",管理者用人口入力シート!A:X,D92,FALSE),0)</f>
        <v>156</v>
      </c>
      <c r="D92" s="2">
        <v>7</v>
      </c>
      <c r="G92" s="2" t="s">
        <v>115</v>
      </c>
      <c r="H92" s="18" t="s">
        <v>243</v>
      </c>
      <c r="I92" s="18" t="s">
        <v>244</v>
      </c>
      <c r="K92" s="209"/>
      <c r="N92" s="2" t="s">
        <v>115</v>
      </c>
      <c r="O92" s="18" t="s">
        <v>21</v>
      </c>
      <c r="P92" s="18" t="s">
        <v>22</v>
      </c>
    </row>
    <row r="93" spans="1:21" x14ac:dyDescent="0.15">
      <c r="A93" s="2" t="s">
        <v>4</v>
      </c>
      <c r="B93" s="17">
        <f>ROUND(VLOOKUP(B$87&amp;"_1",管理者用人口入力シート!A:X,D93,FALSE),0)</f>
        <v>120</v>
      </c>
      <c r="C93" s="17">
        <f>ROUND(VLOOKUP(B$87&amp;"_2",管理者用人口入力シート!A:X,D93,FALSE),0)</f>
        <v>117</v>
      </c>
      <c r="D93" s="2">
        <v>8</v>
      </c>
      <c r="G93" s="2" t="s">
        <v>0</v>
      </c>
      <c r="H93" s="17">
        <f>ROUND(VLOOKUP(H$91&amp;"_1",管理者用人口入力シート!BH:CE,J93,FALSE),0)</f>
        <v>94</v>
      </c>
      <c r="I93" s="17">
        <f>ROUND(VLOOKUP(H$91&amp;"_2",管理者用人口入力シート!BH:CE,J93,FALSE),0)</f>
        <v>83</v>
      </c>
      <c r="J93" s="2">
        <v>4</v>
      </c>
      <c r="K93" s="12"/>
      <c r="N93" s="2" t="s">
        <v>0</v>
      </c>
      <c r="O93" s="17">
        <f>ROUND(VLOOKUP(O$91&amp;"_1",管理者用人口入力シート!CO:DL,Q93,FALSE),0)</f>
        <v>96</v>
      </c>
      <c r="P93" s="17">
        <f>ROUND(VLOOKUP(O$91&amp;"_2",管理者用人口入力シート!CO:DL,Q93,FALSE),0)</f>
        <v>85</v>
      </c>
      <c r="Q93" s="2">
        <v>4</v>
      </c>
      <c r="T93" s="85"/>
    </row>
    <row r="94" spans="1:21" x14ac:dyDescent="0.15">
      <c r="A94" s="2" t="s">
        <v>5</v>
      </c>
      <c r="B94" s="17">
        <f>ROUND(VLOOKUP(B$87&amp;"_1",管理者用人口入力シート!A:X,D94,FALSE),0)</f>
        <v>131</v>
      </c>
      <c r="C94" s="17">
        <f>ROUND(VLOOKUP(B$87&amp;"_2",管理者用人口入力シート!A:X,D94,FALSE),0)</f>
        <v>122</v>
      </c>
      <c r="D94" s="2">
        <v>9</v>
      </c>
      <c r="G94" s="2" t="s">
        <v>1</v>
      </c>
      <c r="H94" s="17">
        <f>ROUND(VLOOKUP(H$91&amp;"_1",管理者用人口入力シート!BH:CE,J94,FALSE),0)</f>
        <v>114</v>
      </c>
      <c r="I94" s="17">
        <f>ROUND(VLOOKUP(H$91&amp;"_2",管理者用人口入力シート!BH:CE,J94,FALSE),0)</f>
        <v>106</v>
      </c>
      <c r="J94" s="2">
        <v>5</v>
      </c>
      <c r="K94" s="12"/>
      <c r="N94" s="2" t="s">
        <v>1</v>
      </c>
      <c r="O94" s="17">
        <f>ROUND(VLOOKUP(O$91&amp;"_1",管理者用人口入力シート!CO:DL,Q94,FALSE),0)</f>
        <v>115</v>
      </c>
      <c r="P94" s="17">
        <f>ROUND(VLOOKUP(O$91&amp;"_2",管理者用人口入力シート!CO:DL,Q94,FALSE),0)</f>
        <v>107</v>
      </c>
      <c r="Q94" s="2">
        <v>5</v>
      </c>
      <c r="T94" s="85"/>
    </row>
    <row r="95" spans="1:21" x14ac:dyDescent="0.15">
      <c r="A95" s="2" t="s">
        <v>6</v>
      </c>
      <c r="B95" s="17">
        <f>ROUND(VLOOKUP(B$87&amp;"_1",管理者用人口入力シート!A:X,D95,FALSE),0)</f>
        <v>167</v>
      </c>
      <c r="C95" s="17">
        <f>ROUND(VLOOKUP(B$87&amp;"_2",管理者用人口入力シート!A:X,D95,FALSE),0)</f>
        <v>170</v>
      </c>
      <c r="D95" s="2">
        <v>10</v>
      </c>
      <c r="G95" s="2" t="s">
        <v>2</v>
      </c>
      <c r="H95" s="17">
        <f>ROUND(VLOOKUP(H$91&amp;"_1",管理者用人口入力シート!BH:CE,J95,FALSE),0)</f>
        <v>135</v>
      </c>
      <c r="I95" s="17">
        <f>ROUND(VLOOKUP(H$91&amp;"_2",管理者用人口入力シート!BH:CE,J95,FALSE),0)</f>
        <v>132</v>
      </c>
      <c r="J95" s="2">
        <v>6</v>
      </c>
      <c r="K95" s="12"/>
      <c r="N95" s="2" t="s">
        <v>2</v>
      </c>
      <c r="O95" s="17">
        <f>ROUND(VLOOKUP(O$91&amp;"_1",管理者用人口入力シート!CO:DL,Q95,FALSE),0)</f>
        <v>136</v>
      </c>
      <c r="P95" s="17">
        <f>ROUND(VLOOKUP(O$91&amp;"_2",管理者用人口入力シート!CO:DL,Q95,FALSE),0)</f>
        <v>133</v>
      </c>
      <c r="Q95" s="2">
        <v>6</v>
      </c>
      <c r="T95" s="85"/>
    </row>
    <row r="96" spans="1:21" x14ac:dyDescent="0.15">
      <c r="A96" s="2" t="s">
        <v>7</v>
      </c>
      <c r="B96" s="17">
        <f>ROUND(VLOOKUP(B$87&amp;"_1",管理者用人口入力シート!A:X,D96,FALSE),0)</f>
        <v>201</v>
      </c>
      <c r="C96" s="17">
        <f>ROUND(VLOOKUP(B$87&amp;"_2",管理者用人口入力シート!A:X,D96,FALSE),0)</f>
        <v>207</v>
      </c>
      <c r="D96" s="2">
        <v>11</v>
      </c>
      <c r="G96" s="2" t="s">
        <v>3</v>
      </c>
      <c r="H96" s="17">
        <f>ROUND(VLOOKUP(H$91&amp;"_1",管理者用人口入力シート!BH:CE,J96,FALSE),0)</f>
        <v>120</v>
      </c>
      <c r="I96" s="17">
        <f>ROUND(VLOOKUP(H$91&amp;"_2",管理者用人口入力シート!BH:CE,J96,FALSE),0)</f>
        <v>135</v>
      </c>
      <c r="J96" s="2">
        <v>7</v>
      </c>
      <c r="K96" s="12"/>
      <c r="N96" s="2" t="s">
        <v>3</v>
      </c>
      <c r="O96" s="17">
        <f>ROUND(VLOOKUP(O$91&amp;"_1",管理者用人口入力シート!CO:DL,Q96,FALSE),0)</f>
        <v>121</v>
      </c>
      <c r="P96" s="17">
        <f>ROUND(VLOOKUP(O$91&amp;"_2",管理者用人口入力シート!CO:DL,Q96,FALSE),0)</f>
        <v>136</v>
      </c>
      <c r="Q96" s="2">
        <v>7</v>
      </c>
      <c r="T96" s="85"/>
    </row>
    <row r="97" spans="1:20" x14ac:dyDescent="0.15">
      <c r="A97" s="2" t="s">
        <v>8</v>
      </c>
      <c r="B97" s="17">
        <f>ROUND(VLOOKUP(B$87&amp;"_1",管理者用人口入力シート!A:X,D97,FALSE),0)</f>
        <v>218</v>
      </c>
      <c r="C97" s="17">
        <f>ROUND(VLOOKUP(B$87&amp;"_2",管理者用人口入力シート!A:X,D97,FALSE),0)</f>
        <v>231</v>
      </c>
      <c r="D97" s="2">
        <v>12</v>
      </c>
      <c r="G97" s="2" t="s">
        <v>4</v>
      </c>
      <c r="H97" s="17">
        <f>ROUND(VLOOKUP(H$91&amp;"_1",管理者用人口入力シート!BH:CE,J97,FALSE),0)</f>
        <v>76</v>
      </c>
      <c r="I97" s="17">
        <f>ROUND(VLOOKUP(H$91&amp;"_2",管理者用人口入力シート!BH:CE,J97,FALSE),0)</f>
        <v>102</v>
      </c>
      <c r="J97" s="2">
        <v>8</v>
      </c>
      <c r="K97" s="12"/>
      <c r="N97" s="2" t="s">
        <v>4</v>
      </c>
      <c r="O97" s="17">
        <f>ROUND(VLOOKUP(O$91&amp;"_1",管理者用人口入力シート!CO:DL,Q97,FALSE),0)</f>
        <v>76</v>
      </c>
      <c r="P97" s="17">
        <f>ROUND(VLOOKUP(O$91&amp;"_2",管理者用人口入力シート!CO:DL,Q97,FALSE),0)</f>
        <v>102</v>
      </c>
      <c r="Q97" s="2">
        <v>8</v>
      </c>
      <c r="T97" s="85"/>
    </row>
    <row r="98" spans="1:20" x14ac:dyDescent="0.15">
      <c r="A98" s="2" t="s">
        <v>9</v>
      </c>
      <c r="B98" s="17">
        <f>ROUND(VLOOKUP(B$87&amp;"_1",管理者用人口入力シート!A:X,D98,FALSE),0)</f>
        <v>239</v>
      </c>
      <c r="C98" s="17">
        <f>ROUND(VLOOKUP(B$87&amp;"_2",管理者用人口入力シート!A:X,D98,FALSE),0)</f>
        <v>257</v>
      </c>
      <c r="D98" s="2">
        <v>13</v>
      </c>
      <c r="G98" s="2" t="s">
        <v>5</v>
      </c>
      <c r="H98" s="17">
        <f>ROUND(VLOOKUP(H$91&amp;"_1",管理者用人口入力シート!BH:CE,J98,FALSE),0)</f>
        <v>100</v>
      </c>
      <c r="I98" s="17">
        <f>ROUND(VLOOKUP(H$91&amp;"_2",管理者用人口入力シート!BH:CE,J98,FALSE),0)</f>
        <v>88</v>
      </c>
      <c r="J98" s="2">
        <v>9</v>
      </c>
      <c r="K98" s="12"/>
      <c r="N98" s="2" t="s">
        <v>5</v>
      </c>
      <c r="O98" s="17">
        <f>ROUND(VLOOKUP(O$91&amp;"_1",管理者用人口入力シート!CO:DL,Q98,FALSE),0)</f>
        <v>102</v>
      </c>
      <c r="P98" s="17">
        <f>ROUND(VLOOKUP(O$91&amp;"_2",管理者用人口入力シート!CO:DL,Q98,FALSE),0)</f>
        <v>90</v>
      </c>
      <c r="Q98" s="2">
        <v>9</v>
      </c>
      <c r="T98" s="85"/>
    </row>
    <row r="99" spans="1:20" x14ac:dyDescent="0.15">
      <c r="A99" s="2" t="s">
        <v>10</v>
      </c>
      <c r="B99" s="17">
        <f>ROUND(VLOOKUP(B$87&amp;"_1",管理者用人口入力シート!A:X,D99,FALSE),0)</f>
        <v>209</v>
      </c>
      <c r="C99" s="17">
        <f>ROUND(VLOOKUP(B$87&amp;"_2",管理者用人口入力シート!A:X,D99,FALSE),0)</f>
        <v>241</v>
      </c>
      <c r="D99" s="2">
        <v>14</v>
      </c>
      <c r="G99" s="2" t="s">
        <v>6</v>
      </c>
      <c r="H99" s="17">
        <f>ROUND(VLOOKUP(H$91&amp;"_1",管理者用人口入力シート!BH:CE,J99,FALSE),0)</f>
        <v>119</v>
      </c>
      <c r="I99" s="17">
        <f>ROUND(VLOOKUP(H$91&amp;"_2",管理者用人口入力シート!BH:CE,J99,FALSE),0)</f>
        <v>99</v>
      </c>
      <c r="J99" s="2">
        <v>10</v>
      </c>
      <c r="K99" s="12"/>
      <c r="N99" s="2" t="s">
        <v>6</v>
      </c>
      <c r="O99" s="17">
        <f>ROUND(VLOOKUP(O$91&amp;"_1",管理者用人口入力シート!CO:DL,Q99,FALSE),0)</f>
        <v>121</v>
      </c>
      <c r="P99" s="17">
        <f>ROUND(VLOOKUP(O$91&amp;"_2",管理者用人口入力シート!CO:DL,Q99,FALSE),0)</f>
        <v>101</v>
      </c>
      <c r="Q99" s="2">
        <v>10</v>
      </c>
      <c r="T99" s="85"/>
    </row>
    <row r="100" spans="1:20" x14ac:dyDescent="0.15">
      <c r="A100" s="2" t="s">
        <v>11</v>
      </c>
      <c r="B100" s="17">
        <f>ROUND(VLOOKUP(B$87&amp;"_1",管理者用人口入力シート!A:X,D100,FALSE),0)</f>
        <v>218</v>
      </c>
      <c r="C100" s="17">
        <f>ROUND(VLOOKUP(B$87&amp;"_2",管理者用人口入力シート!A:X,D100,FALSE),0)</f>
        <v>252</v>
      </c>
      <c r="D100" s="2">
        <v>15</v>
      </c>
      <c r="G100" s="2" t="s">
        <v>7</v>
      </c>
      <c r="H100" s="17">
        <f>ROUND(VLOOKUP(H$91&amp;"_1",管理者用人口入力シート!BH:CE,J100,FALSE),0)</f>
        <v>131</v>
      </c>
      <c r="I100" s="17">
        <f>ROUND(VLOOKUP(H$91&amp;"_2",管理者用人口入力シート!BH:CE,J100,FALSE),0)</f>
        <v>116</v>
      </c>
      <c r="J100" s="2">
        <v>11</v>
      </c>
      <c r="K100" s="12"/>
      <c r="N100" s="2" t="s">
        <v>7</v>
      </c>
      <c r="O100" s="17">
        <f>ROUND(VLOOKUP(O$91&amp;"_1",管理者用人口入力シート!CO:DL,Q100,FALSE),0)</f>
        <v>131</v>
      </c>
      <c r="P100" s="17">
        <f>ROUND(VLOOKUP(O$91&amp;"_2",管理者用人口入力シート!CO:DL,Q100,FALSE),0)</f>
        <v>116</v>
      </c>
      <c r="Q100" s="2">
        <v>11</v>
      </c>
      <c r="T100" s="85"/>
    </row>
    <row r="101" spans="1:20" x14ac:dyDescent="0.15">
      <c r="A101" s="2" t="s">
        <v>12</v>
      </c>
      <c r="B101" s="17">
        <f>ROUND(VLOOKUP(B$87&amp;"_1",管理者用人口入力シート!A:X,D101,FALSE),0)</f>
        <v>291</v>
      </c>
      <c r="C101" s="17">
        <f>ROUND(VLOOKUP(B$87&amp;"_2",管理者用人口入力シート!A:X,D101,FALSE),0)</f>
        <v>330</v>
      </c>
      <c r="D101" s="2">
        <v>16</v>
      </c>
      <c r="G101" s="2" t="s">
        <v>8</v>
      </c>
      <c r="H101" s="17">
        <f>ROUND(VLOOKUP(H$91&amp;"_1",管理者用人口入力シート!BH:CE,J101,FALSE),0)</f>
        <v>162</v>
      </c>
      <c r="I101" s="17">
        <f>ROUND(VLOOKUP(H$91&amp;"_2",管理者用人口入力シート!BH:CE,J101,FALSE),0)</f>
        <v>166</v>
      </c>
      <c r="J101" s="2">
        <v>12</v>
      </c>
      <c r="K101" s="12"/>
      <c r="N101" s="2" t="s">
        <v>8</v>
      </c>
      <c r="O101" s="17">
        <f>ROUND(VLOOKUP(O$91&amp;"_1",管理者用人口入力シート!CO:DL,Q101,FALSE),0)</f>
        <v>162</v>
      </c>
      <c r="P101" s="17">
        <f>ROUND(VLOOKUP(O$91&amp;"_2",管理者用人口入力シート!CO:DL,Q101,FALSE),0)</f>
        <v>167</v>
      </c>
      <c r="Q101" s="2">
        <v>12</v>
      </c>
      <c r="T101" s="85"/>
    </row>
    <row r="102" spans="1:20" x14ac:dyDescent="0.15">
      <c r="A102" s="2" t="s">
        <v>13</v>
      </c>
      <c r="B102" s="17">
        <f>ROUND(VLOOKUP(B$87&amp;"_1",管理者用人口入力シート!A:X,D102,FALSE),0)</f>
        <v>312</v>
      </c>
      <c r="C102" s="17">
        <f>ROUND(VLOOKUP(B$87&amp;"_2",管理者用人口入力シート!A:X,D102,FALSE),0)</f>
        <v>323</v>
      </c>
      <c r="D102" s="2">
        <v>17</v>
      </c>
      <c r="G102" s="2" t="s">
        <v>9</v>
      </c>
      <c r="H102" s="17">
        <f>ROUND(VLOOKUP(H$91&amp;"_1",管理者用人口入力シート!BH:CE,J102,FALSE),0)</f>
        <v>191</v>
      </c>
      <c r="I102" s="17">
        <f>ROUND(VLOOKUP(H$91&amp;"_2",管理者用人口入力シート!BH:CE,J102,FALSE),0)</f>
        <v>195</v>
      </c>
      <c r="J102" s="2">
        <v>13</v>
      </c>
      <c r="K102" s="12"/>
      <c r="N102" s="2" t="s">
        <v>9</v>
      </c>
      <c r="O102" s="17">
        <f>ROUND(VLOOKUP(O$91&amp;"_1",管理者用人口入力シート!CO:DL,Q102,FALSE),0)</f>
        <v>191</v>
      </c>
      <c r="P102" s="17">
        <f>ROUND(VLOOKUP(O$91&amp;"_2",管理者用人口入力シート!CO:DL,Q102,FALSE),0)</f>
        <v>196</v>
      </c>
      <c r="Q102" s="2">
        <v>13</v>
      </c>
      <c r="T102" s="85"/>
    </row>
    <row r="103" spans="1:20" x14ac:dyDescent="0.15">
      <c r="A103" s="2" t="s">
        <v>14</v>
      </c>
      <c r="B103" s="17">
        <f>ROUND(VLOOKUP(B$87&amp;"_1",管理者用人口入力シート!A:X,D103,FALSE),0)</f>
        <v>291</v>
      </c>
      <c r="C103" s="17">
        <f>ROUND(VLOOKUP(B$87&amp;"_2",管理者用人口入力シート!A:X,D103,FALSE),0)</f>
        <v>354</v>
      </c>
      <c r="D103" s="2">
        <v>18</v>
      </c>
      <c r="G103" s="2" t="s">
        <v>10</v>
      </c>
      <c r="H103" s="17">
        <f>ROUND(VLOOKUP(H$91&amp;"_1",管理者用人口入力シート!BH:CE,J103,FALSE),0)</f>
        <v>206</v>
      </c>
      <c r="I103" s="17">
        <f>ROUND(VLOOKUP(H$91&amp;"_2",管理者用人口入力シート!BH:CE,J103,FALSE),0)</f>
        <v>219</v>
      </c>
      <c r="J103" s="2">
        <v>14</v>
      </c>
      <c r="K103" s="12"/>
      <c r="N103" s="2" t="s">
        <v>10</v>
      </c>
      <c r="O103" s="17">
        <f>ROUND(VLOOKUP(O$91&amp;"_1",管理者用人口入力シート!CO:DL,Q103,FALSE),0)</f>
        <v>206</v>
      </c>
      <c r="P103" s="17">
        <f>ROUND(VLOOKUP(O$91&amp;"_2",管理者用人口入力シート!CO:DL,Q103,FALSE),0)</f>
        <v>219</v>
      </c>
      <c r="Q103" s="2">
        <v>14</v>
      </c>
      <c r="T103" s="85"/>
    </row>
    <row r="104" spans="1:20" x14ac:dyDescent="0.15">
      <c r="A104" s="2" t="s">
        <v>15</v>
      </c>
      <c r="B104" s="17">
        <f>ROUND(VLOOKUP(B$87&amp;"_1",管理者用人口入力シート!A:X,D104,FALSE),0)</f>
        <v>191</v>
      </c>
      <c r="C104" s="17">
        <f>ROUND(VLOOKUP(B$87&amp;"_2",管理者用人口入力シート!A:X,D104,FALSE),0)</f>
        <v>241</v>
      </c>
      <c r="D104" s="2">
        <v>19</v>
      </c>
      <c r="G104" s="2" t="s">
        <v>11</v>
      </c>
      <c r="H104" s="17">
        <f>ROUND(VLOOKUP(H$91&amp;"_1",管理者用人口入力シート!BH:CE,J104,FALSE),0)</f>
        <v>218</v>
      </c>
      <c r="I104" s="17">
        <f>ROUND(VLOOKUP(H$91&amp;"_2",管理者用人口入力シート!BH:CE,J104,FALSE),0)</f>
        <v>248</v>
      </c>
      <c r="J104" s="2">
        <v>15</v>
      </c>
      <c r="K104" s="12"/>
      <c r="N104" s="2" t="s">
        <v>11</v>
      </c>
      <c r="O104" s="17">
        <f>ROUND(VLOOKUP(O$91&amp;"_1",管理者用人口入力シート!CO:DL,Q104,FALSE),0)</f>
        <v>218</v>
      </c>
      <c r="P104" s="17">
        <f>ROUND(VLOOKUP(O$91&amp;"_2",管理者用人口入力シート!CO:DL,Q104,FALSE),0)</f>
        <v>248</v>
      </c>
      <c r="Q104" s="2">
        <v>15</v>
      </c>
      <c r="T104" s="85"/>
    </row>
    <row r="105" spans="1:20" x14ac:dyDescent="0.15">
      <c r="A105" s="2" t="s">
        <v>16</v>
      </c>
      <c r="B105" s="17">
        <f>ROUND(VLOOKUP(B$87&amp;"_1",管理者用人口入力シート!A:X,D105,FALSE),0)</f>
        <v>154</v>
      </c>
      <c r="C105" s="17">
        <f>ROUND(VLOOKUP(B$87&amp;"_2",管理者用人口入力シート!A:X,D105,FALSE),0)</f>
        <v>220</v>
      </c>
      <c r="D105" s="2">
        <v>20</v>
      </c>
      <c r="G105" s="2" t="s">
        <v>12</v>
      </c>
      <c r="H105" s="17">
        <f>ROUND(VLOOKUP(H$91&amp;"_1",管理者用人口入力シート!BH:CE,J105,FALSE),0)</f>
        <v>194</v>
      </c>
      <c r="I105" s="17">
        <f>ROUND(VLOOKUP(H$91&amp;"_2",管理者用人口入力シート!BH:CE,J105,FALSE),0)</f>
        <v>234</v>
      </c>
      <c r="J105" s="2">
        <v>16</v>
      </c>
      <c r="K105" s="12"/>
      <c r="N105" s="2" t="s">
        <v>12</v>
      </c>
      <c r="O105" s="17">
        <f>ROUND(VLOOKUP(O$91&amp;"_1",管理者用人口入力シート!CO:DL,Q105,FALSE),0)</f>
        <v>194</v>
      </c>
      <c r="P105" s="17">
        <f>ROUND(VLOOKUP(O$91&amp;"_2",管理者用人口入力シート!CO:DL,Q105,FALSE),0)</f>
        <v>234</v>
      </c>
      <c r="Q105" s="2">
        <v>16</v>
      </c>
      <c r="T105" s="85"/>
    </row>
    <row r="106" spans="1:20" x14ac:dyDescent="0.15">
      <c r="A106" s="2" t="s">
        <v>17</v>
      </c>
      <c r="B106" s="17">
        <f>ROUND(VLOOKUP(B$87&amp;"_1",管理者用人口入力シート!A:X,D106,FALSE),0)</f>
        <v>107</v>
      </c>
      <c r="C106" s="17">
        <f>ROUND(VLOOKUP(B$87&amp;"_2",管理者用人口入力シート!A:X,D106,FALSE),0)</f>
        <v>172</v>
      </c>
      <c r="D106" s="2">
        <v>21</v>
      </c>
      <c r="G106" s="2" t="s">
        <v>13</v>
      </c>
      <c r="H106" s="17">
        <f>ROUND(VLOOKUP(H$91&amp;"_1",管理者用人口入力シート!BH:CE,J106,FALSE),0)</f>
        <v>202</v>
      </c>
      <c r="I106" s="17">
        <f>ROUND(VLOOKUP(H$91&amp;"_2",管理者用人口入力シート!BH:CE,J106,FALSE),0)</f>
        <v>241</v>
      </c>
      <c r="J106" s="2">
        <v>17</v>
      </c>
      <c r="K106" s="12"/>
      <c r="N106" s="2" t="s">
        <v>13</v>
      </c>
      <c r="O106" s="17">
        <f>ROUND(VLOOKUP(O$91&amp;"_1",管理者用人口入力シート!CO:DL,Q106,FALSE),0)</f>
        <v>202</v>
      </c>
      <c r="P106" s="17">
        <f>ROUND(VLOOKUP(O$91&amp;"_2",管理者用人口入力シート!CO:DL,Q106,FALSE),0)</f>
        <v>241</v>
      </c>
      <c r="Q106" s="2">
        <v>17</v>
      </c>
      <c r="T106" s="85"/>
    </row>
    <row r="107" spans="1:20" x14ac:dyDescent="0.15">
      <c r="A107" s="2" t="s">
        <v>18</v>
      </c>
      <c r="B107" s="17">
        <f>ROUND(VLOOKUP(B$87&amp;"_1",管理者用人口入力シート!A:X,D107,FALSE),0)</f>
        <v>47</v>
      </c>
      <c r="C107" s="17">
        <f>ROUND(VLOOKUP(B$87&amp;"_2",管理者用人口入力シート!A:X,D107,FALSE),0)</f>
        <v>94</v>
      </c>
      <c r="D107" s="2">
        <v>22</v>
      </c>
      <c r="G107" s="2" t="s">
        <v>14</v>
      </c>
      <c r="H107" s="17">
        <f>ROUND(VLOOKUP(H$91&amp;"_1",管理者用人口入力シート!BH:CE,J107,FALSE),0)</f>
        <v>254</v>
      </c>
      <c r="I107" s="17">
        <f>ROUND(VLOOKUP(H$91&amp;"_2",管理者用人口入力シート!BH:CE,J107,FALSE),0)</f>
        <v>315</v>
      </c>
      <c r="J107" s="2">
        <v>18</v>
      </c>
      <c r="K107" s="12"/>
      <c r="N107" s="2" t="s">
        <v>14</v>
      </c>
      <c r="O107" s="17">
        <f>ROUND(VLOOKUP(O$91&amp;"_1",管理者用人口入力シート!CO:DL,Q107,FALSE),0)</f>
        <v>254</v>
      </c>
      <c r="P107" s="17">
        <f>ROUND(VLOOKUP(O$91&amp;"_2",管理者用人口入力シート!CO:DL,Q107,FALSE),0)</f>
        <v>315</v>
      </c>
      <c r="Q107" s="2">
        <v>18</v>
      </c>
      <c r="T107" s="85"/>
    </row>
    <row r="108" spans="1:20" x14ac:dyDescent="0.15">
      <c r="A108" s="2" t="s">
        <v>19</v>
      </c>
      <c r="B108" s="17">
        <f>ROUND(VLOOKUP(B$87&amp;"_1",管理者用人口入力シート!A:X,D108,FALSE),0)</f>
        <v>8</v>
      </c>
      <c r="C108" s="17">
        <f>ROUND(VLOOKUP(B$87&amp;"_2",管理者用人口入力シート!A:X,D108,FALSE),0)</f>
        <v>22</v>
      </c>
      <c r="D108" s="2">
        <v>23</v>
      </c>
      <c r="G108" s="2" t="s">
        <v>15</v>
      </c>
      <c r="H108" s="17">
        <f>ROUND(VLOOKUP(H$91&amp;"_1",管理者用人口入力シート!BH:CE,J108,FALSE),0)</f>
        <v>257</v>
      </c>
      <c r="I108" s="17">
        <f>ROUND(VLOOKUP(H$91&amp;"_2",管理者用人口入力シート!BH:CE,J108,FALSE),0)</f>
        <v>301</v>
      </c>
      <c r="J108" s="2">
        <v>19</v>
      </c>
      <c r="K108" s="12"/>
      <c r="N108" s="2" t="s">
        <v>15</v>
      </c>
      <c r="O108" s="17">
        <f>ROUND(VLOOKUP(O$91&amp;"_1",管理者用人口入力シート!CO:DL,Q108,FALSE),0)</f>
        <v>257</v>
      </c>
      <c r="P108" s="17">
        <f>ROUND(VLOOKUP(O$91&amp;"_2",管理者用人口入力シート!CO:DL,Q108,FALSE),0)</f>
        <v>301</v>
      </c>
      <c r="Q108" s="2">
        <v>19</v>
      </c>
      <c r="T108" s="85"/>
    </row>
    <row r="109" spans="1:20" x14ac:dyDescent="0.15">
      <c r="A109" s="2" t="s">
        <v>20</v>
      </c>
      <c r="B109" s="17">
        <f>ROUND(VLOOKUP(B$87&amp;"_1",管理者用人口入力シート!A:X,D109,FALSE),0)</f>
        <v>1</v>
      </c>
      <c r="C109" s="17">
        <f>ROUND(VLOOKUP(B$87&amp;"_2",管理者用人口入力シート!A:X,D109,FALSE),0)</f>
        <v>6</v>
      </c>
      <c r="D109" s="2">
        <v>24</v>
      </c>
      <c r="G109" s="2" t="s">
        <v>16</v>
      </c>
      <c r="H109" s="17">
        <f>ROUND(VLOOKUP(H$91&amp;"_1",管理者用人口入力シート!BH:CE,J109,FALSE),0)</f>
        <v>215</v>
      </c>
      <c r="I109" s="17">
        <f>ROUND(VLOOKUP(H$91&amp;"_2",管理者用人口入力シート!BH:CE,J109,FALSE),0)</f>
        <v>302</v>
      </c>
      <c r="J109" s="2">
        <v>20</v>
      </c>
      <c r="K109" s="12"/>
      <c r="N109" s="2" t="s">
        <v>16</v>
      </c>
      <c r="O109" s="17">
        <f>ROUND(VLOOKUP(O$91&amp;"_1",管理者用人口入力シート!CO:DL,Q109,FALSE),0)</f>
        <v>215</v>
      </c>
      <c r="P109" s="17">
        <f>ROUND(VLOOKUP(O$91&amp;"_2",管理者用人口入力シート!CO:DL,Q109,FALSE),0)</f>
        <v>302</v>
      </c>
      <c r="Q109" s="2">
        <v>20</v>
      </c>
      <c r="T109" s="85"/>
    </row>
    <row r="110" spans="1:20" x14ac:dyDescent="0.15">
      <c r="G110" s="2" t="s">
        <v>17</v>
      </c>
      <c r="H110" s="17">
        <f>ROUND(VLOOKUP(H$91&amp;"_1",管理者用人口入力シート!BH:CE,J110,FALSE),0)</f>
        <v>108</v>
      </c>
      <c r="I110" s="17">
        <f>ROUND(VLOOKUP(H$91&amp;"_2",管理者用人口入力シート!BH:CE,J110,FALSE),0)</f>
        <v>176</v>
      </c>
      <c r="J110" s="2">
        <v>21</v>
      </c>
      <c r="K110" s="12"/>
      <c r="N110" s="2" t="s">
        <v>17</v>
      </c>
      <c r="O110" s="17">
        <f>ROUND(VLOOKUP(O$91&amp;"_1",管理者用人口入力シート!CO:DL,Q110,FALSE),0)</f>
        <v>108</v>
      </c>
      <c r="P110" s="17">
        <f>ROUND(VLOOKUP(O$91&amp;"_2",管理者用人口入力シート!CO:DL,Q110,FALSE),0)</f>
        <v>176</v>
      </c>
      <c r="Q110" s="2">
        <v>21</v>
      </c>
      <c r="T110" s="85"/>
    </row>
    <row r="111" spans="1:20" x14ac:dyDescent="0.15">
      <c r="G111" s="2" t="s">
        <v>18</v>
      </c>
      <c r="H111" s="17">
        <f>ROUND(VLOOKUP(H$91&amp;"_1",管理者用人口入力シート!BH:CE,J111,FALSE),0)</f>
        <v>50</v>
      </c>
      <c r="I111" s="17">
        <f>ROUND(VLOOKUP(H$91&amp;"_2",管理者用人口入力シート!BH:CE,J111,FALSE),0)</f>
        <v>98</v>
      </c>
      <c r="J111" s="2">
        <v>22</v>
      </c>
      <c r="K111" s="12"/>
      <c r="N111" s="2" t="s">
        <v>18</v>
      </c>
      <c r="O111" s="17">
        <f>ROUND(VLOOKUP(O$91&amp;"_1",管理者用人口入力シート!CO:DL,Q111,FALSE),0)</f>
        <v>50</v>
      </c>
      <c r="P111" s="17">
        <f>ROUND(VLOOKUP(O$91&amp;"_2",管理者用人口入力シート!CO:DL,Q111,FALSE),0)</f>
        <v>98</v>
      </c>
      <c r="Q111" s="2">
        <v>22</v>
      </c>
      <c r="T111" s="85"/>
    </row>
    <row r="112" spans="1:20" x14ac:dyDescent="0.15">
      <c r="G112" s="2" t="s">
        <v>19</v>
      </c>
      <c r="H112" s="17">
        <f>ROUND(VLOOKUP(H$91&amp;"_1",管理者用人口入力シート!BH:CE,J112,FALSE),0)</f>
        <v>19</v>
      </c>
      <c r="I112" s="17">
        <f>ROUND(VLOOKUP(H$91&amp;"_2",管理者用人口入力シート!BH:CE,J112,FALSE),0)</f>
        <v>36</v>
      </c>
      <c r="J112" s="2">
        <v>23</v>
      </c>
      <c r="K112" s="12"/>
      <c r="N112" s="2" t="s">
        <v>19</v>
      </c>
      <c r="O112" s="17">
        <f>ROUND(VLOOKUP(O$91&amp;"_1",管理者用人口入力シート!CO:DL,Q112,FALSE),0)</f>
        <v>19</v>
      </c>
      <c r="P112" s="17">
        <f>ROUND(VLOOKUP(O$91&amp;"_2",管理者用人口入力シート!CO:DL,Q112,FALSE),0)</f>
        <v>36</v>
      </c>
      <c r="Q112" s="2">
        <v>23</v>
      </c>
      <c r="T112" s="85"/>
    </row>
    <row r="113" spans="7:20" x14ac:dyDescent="0.15">
      <c r="G113" s="2" t="s">
        <v>20</v>
      </c>
      <c r="H113" s="17">
        <f>ROUND(VLOOKUP(H$91&amp;"_1",管理者用人口入力シート!BH:CE,J113,FALSE),0)</f>
        <v>0</v>
      </c>
      <c r="I113" s="17">
        <f>ROUND(VLOOKUP(H$91&amp;"_2",管理者用人口入力シート!BH:CE,J113,FALSE),0)</f>
        <v>6</v>
      </c>
      <c r="J113" s="2">
        <v>24</v>
      </c>
      <c r="K113" s="12"/>
      <c r="N113" s="2" t="s">
        <v>20</v>
      </c>
      <c r="O113" s="17">
        <f>ROUND(VLOOKUP(O$91&amp;"_1",管理者用人口入力シート!CO:DL,Q113,FALSE),0)</f>
        <v>0</v>
      </c>
      <c r="P113" s="17">
        <f>ROUND(VLOOKUP(O$91&amp;"_2",管理者用人口入力シート!CO:DL,Q113,FALSE),0)</f>
        <v>6</v>
      </c>
      <c r="Q113" s="2">
        <v>24</v>
      </c>
      <c r="T113" s="85"/>
    </row>
    <row r="115" spans="7:20" x14ac:dyDescent="0.15">
      <c r="G115" s="2" t="s">
        <v>394</v>
      </c>
      <c r="H115" s="315">
        <f>管理者入力シート!B10</f>
        <v>2035</v>
      </c>
      <c r="I115" s="316"/>
      <c r="J115" s="2" t="s">
        <v>114</v>
      </c>
      <c r="O115" s="315">
        <f>管理者入力シート!B10</f>
        <v>2035</v>
      </c>
      <c r="P115" s="316"/>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83</v>
      </c>
      <c r="I117" s="17">
        <f>ROUND(VLOOKUP(H$115&amp;"_2",管理者用人口入力シート!BH:CE,J117,FALSE),0)</f>
        <v>73</v>
      </c>
      <c r="J117" s="2">
        <v>4</v>
      </c>
      <c r="N117" s="2" t="s">
        <v>0</v>
      </c>
      <c r="O117" s="17">
        <f>ROUND(VLOOKUP(O$115&amp;"_1",管理者用人口入力シート!CO:DL,Q117,FALSE),0)</f>
        <v>86</v>
      </c>
      <c r="P117" s="17">
        <f>ROUND(VLOOKUP(O$115&amp;"_2",管理者用人口入力シート!CO:DL,Q117,FALSE),0)</f>
        <v>76</v>
      </c>
      <c r="Q117" s="2">
        <v>4</v>
      </c>
      <c r="T117" s="85"/>
    </row>
    <row r="118" spans="7:20" x14ac:dyDescent="0.15">
      <c r="G118" s="2" t="s">
        <v>1</v>
      </c>
      <c r="H118" s="17">
        <f>ROUND(VLOOKUP(H$115&amp;"_1",管理者用人口入力シート!BH:CE,J118,FALSE),0)</f>
        <v>95</v>
      </c>
      <c r="I118" s="17">
        <f>ROUND(VLOOKUP(H$115&amp;"_2",管理者用人口入力シート!BH:CE,J118,FALSE),0)</f>
        <v>88</v>
      </c>
      <c r="J118" s="2">
        <v>5</v>
      </c>
      <c r="N118" s="2" t="s">
        <v>1</v>
      </c>
      <c r="O118" s="17">
        <f>ROUND(VLOOKUP(O$115&amp;"_1",管理者用人口入力シート!CO:DL,Q118,FALSE),0)</f>
        <v>96</v>
      </c>
      <c r="P118" s="17">
        <f>ROUND(VLOOKUP(O$115&amp;"_2",管理者用人口入力シート!CO:DL,Q118,FALSE),0)</f>
        <v>89</v>
      </c>
      <c r="Q118" s="2">
        <v>5</v>
      </c>
      <c r="T118" s="85"/>
    </row>
    <row r="119" spans="7:20" x14ac:dyDescent="0.15">
      <c r="G119" s="2" t="s">
        <v>2</v>
      </c>
      <c r="H119" s="17">
        <f>ROUND(VLOOKUP(H$115&amp;"_1",管理者用人口入力シート!BH:CE,J119,FALSE),0)</f>
        <v>107</v>
      </c>
      <c r="I119" s="17">
        <f>ROUND(VLOOKUP(H$115&amp;"_2",管理者用人口入力シート!BH:CE,J119,FALSE),0)</f>
        <v>105</v>
      </c>
      <c r="J119" s="2">
        <v>6</v>
      </c>
      <c r="N119" s="2" t="s">
        <v>2</v>
      </c>
      <c r="O119" s="17">
        <f>ROUND(VLOOKUP(O$115&amp;"_1",管理者用人口入力シート!CO:DL,Q119,FALSE),0)</f>
        <v>109</v>
      </c>
      <c r="P119" s="17">
        <f>ROUND(VLOOKUP(O$115&amp;"_2",管理者用人口入力シート!CO:DL,Q119,FALSE),0)</f>
        <v>107</v>
      </c>
      <c r="Q119" s="2">
        <v>6</v>
      </c>
      <c r="T119" s="85"/>
    </row>
    <row r="120" spans="7:20" x14ac:dyDescent="0.15">
      <c r="G120" s="2" t="s">
        <v>3</v>
      </c>
      <c r="H120" s="17">
        <f>ROUND(VLOOKUP(H$115&amp;"_1",管理者用人口入力シート!BH:CE,J120,FALSE),0)</f>
        <v>113</v>
      </c>
      <c r="I120" s="17">
        <f>ROUND(VLOOKUP(H$115&amp;"_2",管理者用人口入力シート!BH:CE,J120,FALSE),0)</f>
        <v>115</v>
      </c>
      <c r="J120" s="2">
        <v>7</v>
      </c>
      <c r="N120" s="2" t="s">
        <v>3</v>
      </c>
      <c r="O120" s="17">
        <f>ROUND(VLOOKUP(O$115&amp;"_1",管理者用人口入力シート!CO:DL,Q120,FALSE),0)</f>
        <v>114</v>
      </c>
      <c r="P120" s="17">
        <f>ROUND(VLOOKUP(O$115&amp;"_2",管理者用人口入力シート!CO:DL,Q120,FALSE),0)</f>
        <v>116</v>
      </c>
      <c r="Q120" s="2">
        <v>7</v>
      </c>
      <c r="T120" s="85"/>
    </row>
    <row r="121" spans="7:20" x14ac:dyDescent="0.15">
      <c r="G121" s="2" t="s">
        <v>4</v>
      </c>
      <c r="H121" s="17">
        <f>ROUND(VLOOKUP(H$115&amp;"_1",管理者用人口入力シート!BH:CE,J121,FALSE),0)</f>
        <v>74</v>
      </c>
      <c r="I121" s="17">
        <f>ROUND(VLOOKUP(H$115&amp;"_2",管理者用人口入力シート!BH:CE,J121,FALSE),0)</f>
        <v>85</v>
      </c>
      <c r="J121" s="2">
        <v>8</v>
      </c>
      <c r="N121" s="2" t="s">
        <v>4</v>
      </c>
      <c r="O121" s="17">
        <f>ROUND(VLOOKUP(O$115&amp;"_1",管理者用人口入力シート!CO:DL,Q121,FALSE),0)</f>
        <v>74</v>
      </c>
      <c r="P121" s="17">
        <f>ROUND(VLOOKUP(O$115&amp;"_2",管理者用人口入力シート!CO:DL,Q121,FALSE),0)</f>
        <v>86</v>
      </c>
      <c r="Q121" s="2">
        <v>8</v>
      </c>
      <c r="T121" s="85"/>
    </row>
    <row r="122" spans="7:20" x14ac:dyDescent="0.15">
      <c r="G122" s="2" t="s">
        <v>5</v>
      </c>
      <c r="H122" s="17">
        <f>ROUND(VLOOKUP(H$115&amp;"_1",管理者用人口入力シート!BH:CE,J122,FALSE),0)</f>
        <v>74</v>
      </c>
      <c r="I122" s="17">
        <f>ROUND(VLOOKUP(H$115&amp;"_2",管理者用人口入力シート!BH:CE,J122,FALSE),0)</f>
        <v>91</v>
      </c>
      <c r="J122" s="2">
        <v>9</v>
      </c>
      <c r="N122" s="2" t="s">
        <v>5</v>
      </c>
      <c r="O122" s="17">
        <f>ROUND(VLOOKUP(O$115&amp;"_1",管理者用人口入力シート!CO:DL,Q122,FALSE),0)</f>
        <v>76</v>
      </c>
      <c r="P122" s="17">
        <f>ROUND(VLOOKUP(O$115&amp;"_2",管理者用人口入力シート!CO:DL,Q122,FALSE),0)</f>
        <v>93</v>
      </c>
      <c r="Q122" s="2">
        <v>9</v>
      </c>
      <c r="T122" s="85"/>
    </row>
    <row r="123" spans="7:20" x14ac:dyDescent="0.15">
      <c r="G123" s="2" t="s">
        <v>6</v>
      </c>
      <c r="H123" s="17">
        <f>ROUND(VLOOKUP(H$115&amp;"_1",管理者用人口入力シート!BH:CE,J123,FALSE),0)</f>
        <v>100</v>
      </c>
      <c r="I123" s="17">
        <f>ROUND(VLOOKUP(H$115&amp;"_2",管理者用人口入力シート!BH:CE,J123,FALSE),0)</f>
        <v>84</v>
      </c>
      <c r="J123" s="2">
        <v>10</v>
      </c>
      <c r="N123" s="2" t="s">
        <v>6</v>
      </c>
      <c r="O123" s="17">
        <f>ROUND(VLOOKUP(O$115&amp;"_1",管理者用人口入力シート!CO:DL,Q123,FALSE),0)</f>
        <v>102</v>
      </c>
      <c r="P123" s="17">
        <f>ROUND(VLOOKUP(O$115&amp;"_2",管理者用人口入力シート!CO:DL,Q123,FALSE),0)</f>
        <v>86</v>
      </c>
      <c r="Q123" s="2">
        <v>10</v>
      </c>
      <c r="T123" s="85"/>
    </row>
    <row r="124" spans="7:20" x14ac:dyDescent="0.15">
      <c r="G124" s="2" t="s">
        <v>7</v>
      </c>
      <c r="H124" s="17">
        <f>ROUND(VLOOKUP(H$115&amp;"_1",管理者用人口入力シート!BH:CE,J124,FALSE),0)</f>
        <v>118</v>
      </c>
      <c r="I124" s="17">
        <f>ROUND(VLOOKUP(H$115&amp;"_2",管理者用人口入力シート!BH:CE,J124,FALSE),0)</f>
        <v>100</v>
      </c>
      <c r="J124" s="2">
        <v>11</v>
      </c>
      <c r="N124" s="2" t="s">
        <v>7</v>
      </c>
      <c r="O124" s="17">
        <f>ROUND(VLOOKUP(O$115&amp;"_1",管理者用人口入力シート!CO:DL,Q124,FALSE),0)</f>
        <v>120</v>
      </c>
      <c r="P124" s="17">
        <f>ROUND(VLOOKUP(O$115&amp;"_2",管理者用人口入力シート!CO:DL,Q124,FALSE),0)</f>
        <v>102</v>
      </c>
      <c r="Q124" s="2">
        <v>11</v>
      </c>
      <c r="T124" s="85"/>
    </row>
    <row r="125" spans="7:20" x14ac:dyDescent="0.15">
      <c r="G125" s="2" t="s">
        <v>8</v>
      </c>
      <c r="H125" s="17">
        <f>ROUND(VLOOKUP(H$115&amp;"_1",管理者用人口入力シート!BH:CE,J125,FALSE),0)</f>
        <v>128</v>
      </c>
      <c r="I125" s="17">
        <f>ROUND(VLOOKUP(H$115&amp;"_2",管理者用人口入力シート!BH:CE,J125,FALSE),0)</f>
        <v>113</v>
      </c>
      <c r="J125" s="2">
        <v>12</v>
      </c>
      <c r="N125" s="2" t="s">
        <v>8</v>
      </c>
      <c r="O125" s="17">
        <f>ROUND(VLOOKUP(O$115&amp;"_1",管理者用人口入力シート!CO:DL,Q125,FALSE),0)</f>
        <v>128</v>
      </c>
      <c r="P125" s="17">
        <f>ROUND(VLOOKUP(O$115&amp;"_2",管理者用人口入力シート!CO:DL,Q125,FALSE),0)</f>
        <v>114</v>
      </c>
      <c r="Q125" s="2">
        <v>12</v>
      </c>
      <c r="T125" s="85"/>
    </row>
    <row r="126" spans="7:20" x14ac:dyDescent="0.15">
      <c r="G126" s="2" t="s">
        <v>9</v>
      </c>
      <c r="H126" s="17">
        <f>ROUND(VLOOKUP(H$115&amp;"_1",管理者用人口入力シート!BH:CE,J126,FALSE),0)</f>
        <v>158</v>
      </c>
      <c r="I126" s="17">
        <f>ROUND(VLOOKUP(H$115&amp;"_2",管理者用人口入力シート!BH:CE,J126,FALSE),0)</f>
        <v>160</v>
      </c>
      <c r="J126" s="2">
        <v>13</v>
      </c>
      <c r="N126" s="2" t="s">
        <v>9</v>
      </c>
      <c r="O126" s="17">
        <f>ROUND(VLOOKUP(O$115&amp;"_1",管理者用人口入力シート!CO:DL,Q126,FALSE),0)</f>
        <v>158</v>
      </c>
      <c r="P126" s="17">
        <f>ROUND(VLOOKUP(O$115&amp;"_2",管理者用人口入力シート!CO:DL,Q126,FALSE),0)</f>
        <v>161</v>
      </c>
      <c r="Q126" s="2">
        <v>13</v>
      </c>
      <c r="T126" s="85"/>
    </row>
    <row r="127" spans="7:20" x14ac:dyDescent="0.15">
      <c r="G127" s="2" t="s">
        <v>10</v>
      </c>
      <c r="H127" s="17">
        <f>ROUND(VLOOKUP(H$115&amp;"_1",管理者用人口入力シート!BH:CE,J127,FALSE),0)</f>
        <v>185</v>
      </c>
      <c r="I127" s="17">
        <f>ROUND(VLOOKUP(H$115&amp;"_2",管理者用人口入力シート!BH:CE,J127,FALSE),0)</f>
        <v>191</v>
      </c>
      <c r="J127" s="2">
        <v>14</v>
      </c>
      <c r="N127" s="2" t="s">
        <v>10</v>
      </c>
      <c r="O127" s="17">
        <f>ROUND(VLOOKUP(O$115&amp;"_1",管理者用人口入力シート!CO:DL,Q127,FALSE),0)</f>
        <v>185</v>
      </c>
      <c r="P127" s="17">
        <f>ROUND(VLOOKUP(O$115&amp;"_2",管理者用人口入力シート!CO:DL,Q127,FALSE),0)</f>
        <v>192</v>
      </c>
      <c r="Q127" s="2">
        <v>14</v>
      </c>
      <c r="T127" s="85"/>
    </row>
    <row r="128" spans="7:20" x14ac:dyDescent="0.15">
      <c r="G128" s="2" t="s">
        <v>11</v>
      </c>
      <c r="H128" s="17">
        <f>ROUND(VLOOKUP(H$115&amp;"_1",管理者用人口入力シート!BH:CE,J128,FALSE),0)</f>
        <v>195</v>
      </c>
      <c r="I128" s="17">
        <f>ROUND(VLOOKUP(H$115&amp;"_2",管理者用人口入力シート!BH:CE,J128,FALSE),0)</f>
        <v>215</v>
      </c>
      <c r="J128" s="2">
        <v>15</v>
      </c>
      <c r="N128" s="2" t="s">
        <v>11</v>
      </c>
      <c r="O128" s="17">
        <f>ROUND(VLOOKUP(O$115&amp;"_1",管理者用人口入力シート!CO:DL,Q128,FALSE),0)</f>
        <v>195</v>
      </c>
      <c r="P128" s="17">
        <f>ROUND(VLOOKUP(O$115&amp;"_2",管理者用人口入力シート!CO:DL,Q128,FALSE),0)</f>
        <v>215</v>
      </c>
      <c r="Q128" s="2">
        <v>15</v>
      </c>
      <c r="T128" s="85"/>
    </row>
    <row r="129" spans="7:20" x14ac:dyDescent="0.15">
      <c r="G129" s="2" t="s">
        <v>12</v>
      </c>
      <c r="H129" s="17">
        <f>ROUND(VLOOKUP(H$115&amp;"_1",管理者用人口入力シート!BH:CE,J129,FALSE),0)</f>
        <v>215</v>
      </c>
      <c r="I129" s="17">
        <f>ROUND(VLOOKUP(H$115&amp;"_2",管理者用人口入力シート!BH:CE,J129,FALSE),0)</f>
        <v>245</v>
      </c>
      <c r="J129" s="2">
        <v>16</v>
      </c>
      <c r="N129" s="2" t="s">
        <v>12</v>
      </c>
      <c r="O129" s="17">
        <f>ROUND(VLOOKUP(O$115&amp;"_1",管理者用人口入力シート!CO:DL,Q129,FALSE),0)</f>
        <v>215</v>
      </c>
      <c r="P129" s="17">
        <f>ROUND(VLOOKUP(O$115&amp;"_2",管理者用人口入力シート!CO:DL,Q129,FALSE),0)</f>
        <v>245</v>
      </c>
      <c r="Q129" s="2">
        <v>16</v>
      </c>
      <c r="T129" s="85"/>
    </row>
    <row r="130" spans="7:20" x14ac:dyDescent="0.15">
      <c r="G130" s="2" t="s">
        <v>13</v>
      </c>
      <c r="H130" s="17">
        <f>ROUND(VLOOKUP(H$115&amp;"_1",管理者用人口入力シート!BH:CE,J130,FALSE),0)</f>
        <v>183</v>
      </c>
      <c r="I130" s="17">
        <f>ROUND(VLOOKUP(H$115&amp;"_2",管理者用人口入力シート!BH:CE,J130,FALSE),0)</f>
        <v>226</v>
      </c>
      <c r="J130" s="2">
        <v>17</v>
      </c>
      <c r="N130" s="2" t="s">
        <v>13</v>
      </c>
      <c r="O130" s="17">
        <f>ROUND(VLOOKUP(O$115&amp;"_1",管理者用人口入力シート!CO:DL,Q130,FALSE),0)</f>
        <v>183</v>
      </c>
      <c r="P130" s="17">
        <f>ROUND(VLOOKUP(O$115&amp;"_2",管理者用人口入力シート!CO:DL,Q130,FALSE),0)</f>
        <v>226</v>
      </c>
      <c r="Q130" s="2">
        <v>17</v>
      </c>
      <c r="T130" s="85"/>
    </row>
    <row r="131" spans="7:20" x14ac:dyDescent="0.15">
      <c r="G131" s="2" t="s">
        <v>14</v>
      </c>
      <c r="H131" s="17">
        <f>ROUND(VLOOKUP(H$115&amp;"_1",管理者用人口入力シート!BH:CE,J131,FALSE),0)</f>
        <v>188</v>
      </c>
      <c r="I131" s="17">
        <f>ROUND(VLOOKUP(H$115&amp;"_2",管理者用人口入力シート!BH:CE,J131,FALSE),0)</f>
        <v>238</v>
      </c>
      <c r="J131" s="2">
        <v>18</v>
      </c>
      <c r="N131" s="2" t="s">
        <v>14</v>
      </c>
      <c r="O131" s="17">
        <f>ROUND(VLOOKUP(O$115&amp;"_1",管理者用人口入力シート!CO:DL,Q131,FALSE),0)</f>
        <v>188</v>
      </c>
      <c r="P131" s="17">
        <f>ROUND(VLOOKUP(O$115&amp;"_2",管理者用人口入力シート!CO:DL,Q131,FALSE),0)</f>
        <v>238</v>
      </c>
      <c r="Q131" s="2">
        <v>18</v>
      </c>
      <c r="T131" s="85"/>
    </row>
    <row r="132" spans="7:20" x14ac:dyDescent="0.15">
      <c r="G132" s="2" t="s">
        <v>15</v>
      </c>
      <c r="H132" s="17">
        <f>ROUND(VLOOKUP(H$115&amp;"_1",管理者用人口入力シート!BH:CE,J132,FALSE),0)</f>
        <v>226</v>
      </c>
      <c r="I132" s="17">
        <f>ROUND(VLOOKUP(H$115&amp;"_2",管理者用人口入力シート!BH:CE,J132,FALSE),0)</f>
        <v>296</v>
      </c>
      <c r="J132" s="2">
        <v>19</v>
      </c>
      <c r="N132" s="2" t="s">
        <v>15</v>
      </c>
      <c r="O132" s="17">
        <f>ROUND(VLOOKUP(O$115&amp;"_1",管理者用人口入力シート!CO:DL,Q132,FALSE),0)</f>
        <v>226</v>
      </c>
      <c r="P132" s="17">
        <f>ROUND(VLOOKUP(O$115&amp;"_2",管理者用人口入力シート!CO:DL,Q132,FALSE),0)</f>
        <v>296</v>
      </c>
      <c r="Q132" s="2">
        <v>19</v>
      </c>
      <c r="T132" s="85"/>
    </row>
    <row r="133" spans="7:20" x14ac:dyDescent="0.15">
      <c r="G133" s="2" t="s">
        <v>16</v>
      </c>
      <c r="H133" s="17">
        <f>ROUND(VLOOKUP(H$115&amp;"_1",管理者用人口入力シート!BH:CE,J133,FALSE),0)</f>
        <v>214</v>
      </c>
      <c r="I133" s="17">
        <f>ROUND(VLOOKUP(H$115&amp;"_2",管理者用人口入力シート!BH:CE,J133,FALSE),0)</f>
        <v>272</v>
      </c>
      <c r="J133" s="2">
        <v>20</v>
      </c>
      <c r="N133" s="2" t="s">
        <v>16</v>
      </c>
      <c r="O133" s="17">
        <f>ROUND(VLOOKUP(O$115&amp;"_1",管理者用人口入力シート!CO:DL,Q133,FALSE),0)</f>
        <v>214</v>
      </c>
      <c r="P133" s="17">
        <f>ROUND(VLOOKUP(O$115&amp;"_2",管理者用人口入力シート!CO:DL,Q133,FALSE),0)</f>
        <v>272</v>
      </c>
      <c r="Q133" s="2">
        <v>20</v>
      </c>
      <c r="T133" s="85"/>
    </row>
    <row r="134" spans="7:20" x14ac:dyDescent="0.15">
      <c r="G134" s="2" t="s">
        <v>17</v>
      </c>
      <c r="H134" s="17">
        <f>ROUND(VLOOKUP(H$115&amp;"_1",管理者用人口入力シート!BH:CE,J134,FALSE),0)</f>
        <v>146</v>
      </c>
      <c r="I134" s="17">
        <f>ROUND(VLOOKUP(H$115&amp;"_2",管理者用人口入力シート!BH:CE,J134,FALSE),0)</f>
        <v>243</v>
      </c>
      <c r="J134" s="2">
        <v>21</v>
      </c>
      <c r="N134" s="2" t="s">
        <v>17</v>
      </c>
      <c r="O134" s="17">
        <f>ROUND(VLOOKUP(O$115&amp;"_1",管理者用人口入力シート!CO:DL,Q134,FALSE),0)</f>
        <v>146</v>
      </c>
      <c r="P134" s="17">
        <f>ROUND(VLOOKUP(O$115&amp;"_2",管理者用人口入力シート!CO:DL,Q134,FALSE),0)</f>
        <v>243</v>
      </c>
      <c r="Q134" s="2">
        <v>21</v>
      </c>
      <c r="T134" s="85"/>
    </row>
    <row r="135" spans="7:20" x14ac:dyDescent="0.15">
      <c r="G135" s="2" t="s">
        <v>18</v>
      </c>
      <c r="H135" s="17">
        <f>ROUND(VLOOKUP(H$115&amp;"_1",管理者用人口入力シート!BH:CE,J135,FALSE),0)</f>
        <v>51</v>
      </c>
      <c r="I135" s="17">
        <f>ROUND(VLOOKUP(H$115&amp;"_2",管理者用人口入力シート!BH:CE,J135,FALSE),0)</f>
        <v>97</v>
      </c>
      <c r="J135" s="2">
        <v>22</v>
      </c>
      <c r="N135" s="2" t="s">
        <v>18</v>
      </c>
      <c r="O135" s="17">
        <f>ROUND(VLOOKUP(O$115&amp;"_1",管理者用人口入力シート!CO:DL,Q135,FALSE),0)</f>
        <v>51</v>
      </c>
      <c r="P135" s="17">
        <f>ROUND(VLOOKUP(O$115&amp;"_2",管理者用人口入力シート!CO:DL,Q135,FALSE),0)</f>
        <v>97</v>
      </c>
      <c r="Q135" s="2">
        <v>22</v>
      </c>
      <c r="T135" s="85"/>
    </row>
    <row r="136" spans="7:20" x14ac:dyDescent="0.15">
      <c r="G136" s="2" t="s">
        <v>19</v>
      </c>
      <c r="H136" s="17">
        <f>ROUND(VLOOKUP(H$115&amp;"_1",管理者用人口入力シート!BH:CE,J136,FALSE),0)</f>
        <v>19</v>
      </c>
      <c r="I136" s="17">
        <f>ROUND(VLOOKUP(H$115&amp;"_2",管理者用人口入力シート!BH:CE,J136,FALSE),0)</f>
        <v>38</v>
      </c>
      <c r="J136" s="2">
        <v>23</v>
      </c>
      <c r="N136" s="2" t="s">
        <v>19</v>
      </c>
      <c r="O136" s="17">
        <f>ROUND(VLOOKUP(O$115&amp;"_1",管理者用人口入力シート!CO:DL,Q136,FALSE),0)</f>
        <v>19</v>
      </c>
      <c r="P136" s="17">
        <f>ROUND(VLOOKUP(O$115&amp;"_2",管理者用人口入力シート!CO:DL,Q136,FALSE),0)</f>
        <v>38</v>
      </c>
      <c r="Q136" s="2">
        <v>23</v>
      </c>
      <c r="T136" s="85"/>
    </row>
    <row r="137" spans="7:20" x14ac:dyDescent="0.15">
      <c r="G137" s="2" t="s">
        <v>20</v>
      </c>
      <c r="H137" s="17">
        <f>ROUND(VLOOKUP(H$115&amp;"_1",管理者用人口入力シート!BH:CE,J137,FALSE),0)</f>
        <v>0</v>
      </c>
      <c r="I137" s="17">
        <f>ROUND(VLOOKUP(H$115&amp;"_2",管理者用人口入力シート!BH:CE,J137,FALSE),0)</f>
        <v>6</v>
      </c>
      <c r="J137" s="2">
        <v>24</v>
      </c>
      <c r="N137" s="2" t="s">
        <v>20</v>
      </c>
      <c r="O137" s="17">
        <f>ROUND(VLOOKUP(O$115&amp;"_1",管理者用人口入力シート!CO:DL,Q137,FALSE),0)</f>
        <v>0</v>
      </c>
      <c r="P137" s="17">
        <f>ROUND(VLOOKUP(O$115&amp;"_2",管理者用人口入力シート!CO:DL,Q137,FALSE),0)</f>
        <v>6</v>
      </c>
      <c r="Q137" s="2">
        <v>24</v>
      </c>
      <c r="T137" s="85"/>
    </row>
    <row r="139" spans="7:20" x14ac:dyDescent="0.15">
      <c r="G139" s="2" t="s">
        <v>109</v>
      </c>
      <c r="H139" s="315">
        <f>管理者入力シート!B11</f>
        <v>2040</v>
      </c>
      <c r="I139" s="316"/>
      <c r="J139" s="2" t="s">
        <v>114</v>
      </c>
      <c r="O139" s="315">
        <f>管理者入力シート!B11</f>
        <v>2040</v>
      </c>
      <c r="P139" s="316"/>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74</v>
      </c>
      <c r="I141" s="17">
        <f>ROUND(VLOOKUP(H$139&amp;"_2",管理者用人口入力シート!BH:CE,J141,FALSE),0)</f>
        <v>65</v>
      </c>
      <c r="J141" s="2">
        <v>4</v>
      </c>
      <c r="N141" s="2" t="s">
        <v>0</v>
      </c>
      <c r="O141" s="17">
        <f>ROUND(VLOOKUP(O$139&amp;"_1",管理者用人口入力シート!CO:DL,Q141,FALSE),0)</f>
        <v>76</v>
      </c>
      <c r="P141" s="17">
        <f>ROUND(VLOOKUP(O$139&amp;"_2",管理者用人口入力シート!CO:DL,Q141,FALSE),0)</f>
        <v>68</v>
      </c>
      <c r="Q141" s="2">
        <v>4</v>
      </c>
    </row>
    <row r="142" spans="7:20" x14ac:dyDescent="0.15">
      <c r="G142" s="2" t="s">
        <v>1</v>
      </c>
      <c r="H142" s="17">
        <f>ROUND(VLOOKUP(H$139&amp;"_1",管理者用人口入力シート!BH:CE,J142,FALSE),0)</f>
        <v>84</v>
      </c>
      <c r="I142" s="17">
        <f>ROUND(VLOOKUP(H$139&amp;"_2",管理者用人口入力シート!BH:CE,J142,FALSE),0)</f>
        <v>78</v>
      </c>
      <c r="J142" s="2">
        <v>5</v>
      </c>
      <c r="N142" s="2" t="s">
        <v>1</v>
      </c>
      <c r="O142" s="17">
        <f>ROUND(VLOOKUP(O$139&amp;"_1",管理者用人口入力シート!CO:DL,Q142,FALSE),0)</f>
        <v>86</v>
      </c>
      <c r="P142" s="17">
        <f>ROUND(VLOOKUP(O$139&amp;"_2",管理者用人口入力シート!CO:DL,Q142,FALSE),0)</f>
        <v>80</v>
      </c>
      <c r="Q142" s="2">
        <v>5</v>
      </c>
    </row>
    <row r="143" spans="7:20" x14ac:dyDescent="0.15">
      <c r="G143" s="2" t="s">
        <v>2</v>
      </c>
      <c r="H143" s="17">
        <f>ROUND(VLOOKUP(H$139&amp;"_1",管理者用人口入力シート!BH:CE,J143,FALSE),0)</f>
        <v>89</v>
      </c>
      <c r="I143" s="17">
        <f>ROUND(VLOOKUP(H$139&amp;"_2",管理者用人口入力シート!BH:CE,J143,FALSE),0)</f>
        <v>87</v>
      </c>
      <c r="J143" s="2">
        <v>6</v>
      </c>
      <c r="N143" s="2" t="s">
        <v>2</v>
      </c>
      <c r="O143" s="17">
        <f>ROUND(VLOOKUP(O$139&amp;"_1",管理者用人口入力シート!CO:DL,Q143,FALSE),0)</f>
        <v>92</v>
      </c>
      <c r="P143" s="17">
        <f>ROUND(VLOOKUP(O$139&amp;"_2",管理者用人口入力シート!CO:DL,Q143,FALSE),0)</f>
        <v>90</v>
      </c>
      <c r="Q143" s="2">
        <v>6</v>
      </c>
    </row>
    <row r="144" spans="7:20" x14ac:dyDescent="0.15">
      <c r="G144" s="2" t="s">
        <v>3</v>
      </c>
      <c r="H144" s="17">
        <f>ROUND(VLOOKUP(H$139&amp;"_1",管理者用人口入力シート!BH:CE,J144,FALSE),0)</f>
        <v>90</v>
      </c>
      <c r="I144" s="17">
        <f>ROUND(VLOOKUP(H$139&amp;"_2",管理者用人口入力シート!BH:CE,J144,FALSE),0)</f>
        <v>91</v>
      </c>
      <c r="J144" s="2">
        <v>7</v>
      </c>
      <c r="N144" s="2" t="s">
        <v>3</v>
      </c>
      <c r="O144" s="17">
        <f>ROUND(VLOOKUP(O$139&amp;"_1",管理者用人口入力シート!CO:DL,Q144,FALSE),0)</f>
        <v>91</v>
      </c>
      <c r="P144" s="17">
        <f>ROUND(VLOOKUP(O$139&amp;"_2",管理者用人口入力シート!CO:DL,Q144,FALSE),0)</f>
        <v>93</v>
      </c>
      <c r="Q144" s="2">
        <v>7</v>
      </c>
    </row>
    <row r="145" spans="7:17" x14ac:dyDescent="0.15">
      <c r="G145" s="2" t="s">
        <v>4</v>
      </c>
      <c r="H145" s="17">
        <f>ROUND(VLOOKUP(H$139&amp;"_1",管理者用人口入力シート!BH:CE,J145,FALSE),0)</f>
        <v>69</v>
      </c>
      <c r="I145" s="17">
        <f>ROUND(VLOOKUP(H$139&amp;"_2",管理者用人口入力シート!BH:CE,J145,FALSE),0)</f>
        <v>72</v>
      </c>
      <c r="J145" s="2">
        <v>8</v>
      </c>
      <c r="N145" s="2" t="s">
        <v>4</v>
      </c>
      <c r="O145" s="17">
        <f>ROUND(VLOOKUP(O$139&amp;"_1",管理者用人口入力シート!CO:DL,Q145,FALSE),0)</f>
        <v>70</v>
      </c>
      <c r="P145" s="17">
        <f>ROUND(VLOOKUP(O$139&amp;"_2",管理者用人口入力シート!CO:DL,Q145,FALSE),0)</f>
        <v>73</v>
      </c>
      <c r="Q145" s="2">
        <v>8</v>
      </c>
    </row>
    <row r="146" spans="7:17" x14ac:dyDescent="0.15">
      <c r="G146" s="2" t="s">
        <v>5</v>
      </c>
      <c r="H146" s="17">
        <f>ROUND(VLOOKUP(H$139&amp;"_1",管理者用人口入力シート!BH:CE,J146,FALSE),0)</f>
        <v>72</v>
      </c>
      <c r="I146" s="17">
        <f>ROUND(VLOOKUP(H$139&amp;"_2",管理者用人口入力シート!BH:CE,J146,FALSE),0)</f>
        <v>76</v>
      </c>
      <c r="J146" s="2">
        <v>9</v>
      </c>
      <c r="N146" s="2" t="s">
        <v>5</v>
      </c>
      <c r="O146" s="17">
        <f>ROUND(VLOOKUP(O$139&amp;"_1",管理者用人口入力シート!CO:DL,Q146,FALSE),0)</f>
        <v>75</v>
      </c>
      <c r="P146" s="17">
        <f>ROUND(VLOOKUP(O$139&amp;"_2",管理者用人口入力シート!CO:DL,Q146,FALSE),0)</f>
        <v>79</v>
      </c>
      <c r="Q146" s="2">
        <v>9</v>
      </c>
    </row>
    <row r="147" spans="7:17" x14ac:dyDescent="0.15">
      <c r="G147" s="2" t="s">
        <v>6</v>
      </c>
      <c r="H147" s="17">
        <f>ROUND(VLOOKUP(H$139&amp;"_1",管理者用人口入力シート!BH:CE,J147,FALSE),0)</f>
        <v>75</v>
      </c>
      <c r="I147" s="17">
        <f>ROUND(VLOOKUP(H$139&amp;"_2",管理者用人口入力シート!BH:CE,J147,FALSE),0)</f>
        <v>87</v>
      </c>
      <c r="J147" s="2">
        <v>10</v>
      </c>
      <c r="N147" s="2" t="s">
        <v>6</v>
      </c>
      <c r="O147" s="17">
        <f>ROUND(VLOOKUP(O$139&amp;"_1",管理者用人口入力シート!CO:DL,Q147,FALSE),0)</f>
        <v>77</v>
      </c>
      <c r="P147" s="17">
        <f>ROUND(VLOOKUP(O$139&amp;"_2",管理者用人口入力シート!CO:DL,Q147,FALSE),0)</f>
        <v>89</v>
      </c>
      <c r="Q147" s="2">
        <v>10</v>
      </c>
    </row>
    <row r="148" spans="7:17" x14ac:dyDescent="0.15">
      <c r="G148" s="2" t="s">
        <v>7</v>
      </c>
      <c r="H148" s="17">
        <f>ROUND(VLOOKUP(H$139&amp;"_1",管理者用人口入力シート!BH:CE,J148,FALSE),0)</f>
        <v>100</v>
      </c>
      <c r="I148" s="17">
        <f>ROUND(VLOOKUP(H$139&amp;"_2",管理者用人口入力シート!BH:CE,J148,FALSE),0)</f>
        <v>84</v>
      </c>
      <c r="J148" s="2">
        <v>11</v>
      </c>
      <c r="N148" s="2" t="s">
        <v>7</v>
      </c>
      <c r="O148" s="17">
        <f>ROUND(VLOOKUP(O$139&amp;"_1",管理者用人口入力シート!CO:DL,Q148,FALSE),0)</f>
        <v>102</v>
      </c>
      <c r="P148" s="17">
        <f>ROUND(VLOOKUP(O$139&amp;"_2",管理者用人口入力シート!CO:DL,Q148,FALSE),0)</f>
        <v>86</v>
      </c>
      <c r="Q148" s="2">
        <v>11</v>
      </c>
    </row>
    <row r="149" spans="7:17" x14ac:dyDescent="0.15">
      <c r="G149" s="2" t="s">
        <v>8</v>
      </c>
      <c r="H149" s="17">
        <f>ROUND(VLOOKUP(H$139&amp;"_1",管理者用人口入力シート!BH:CE,J149,FALSE),0)</f>
        <v>115</v>
      </c>
      <c r="I149" s="17">
        <f>ROUND(VLOOKUP(H$139&amp;"_2",管理者用人口入力シート!BH:CE,J149,FALSE),0)</f>
        <v>97</v>
      </c>
      <c r="J149" s="2">
        <v>12</v>
      </c>
      <c r="N149" s="2" t="s">
        <v>8</v>
      </c>
      <c r="O149" s="17">
        <f>ROUND(VLOOKUP(O$139&amp;"_1",管理者用人口入力シート!CO:DL,Q149,FALSE),0)</f>
        <v>117</v>
      </c>
      <c r="P149" s="17">
        <f>ROUND(VLOOKUP(O$139&amp;"_2",管理者用人口入力シート!CO:DL,Q149,FALSE),0)</f>
        <v>100</v>
      </c>
      <c r="Q149" s="2">
        <v>12</v>
      </c>
    </row>
    <row r="150" spans="7:17" x14ac:dyDescent="0.15">
      <c r="G150" s="2" t="s">
        <v>9</v>
      </c>
      <c r="H150" s="17">
        <f>ROUND(VLOOKUP(H$139&amp;"_1",管理者用人口入力シート!BH:CE,J150,FALSE),0)</f>
        <v>125</v>
      </c>
      <c r="I150" s="17">
        <f>ROUND(VLOOKUP(H$139&amp;"_2",管理者用人口入力シート!BH:CE,J150,FALSE),0)</f>
        <v>109</v>
      </c>
      <c r="J150" s="2">
        <v>13</v>
      </c>
      <c r="N150" s="2" t="s">
        <v>9</v>
      </c>
      <c r="O150" s="17">
        <f>ROUND(VLOOKUP(O$139&amp;"_1",管理者用人口入力シート!CO:DL,Q150,FALSE),0)</f>
        <v>125</v>
      </c>
      <c r="P150" s="17">
        <f>ROUND(VLOOKUP(O$139&amp;"_2",管理者用人口入力シート!CO:DL,Q150,FALSE),0)</f>
        <v>110</v>
      </c>
      <c r="Q150" s="2">
        <v>13</v>
      </c>
    </row>
    <row r="151" spans="7:17" x14ac:dyDescent="0.15">
      <c r="G151" s="2" t="s">
        <v>10</v>
      </c>
      <c r="H151" s="17">
        <f>ROUND(VLOOKUP(H$139&amp;"_1",管理者用人口入力シート!BH:CE,J151,FALSE),0)</f>
        <v>153</v>
      </c>
      <c r="I151" s="17">
        <f>ROUND(VLOOKUP(H$139&amp;"_2",管理者用人口入力シート!BH:CE,J151,FALSE),0)</f>
        <v>157</v>
      </c>
      <c r="J151" s="2">
        <v>14</v>
      </c>
      <c r="N151" s="2" t="s">
        <v>10</v>
      </c>
      <c r="O151" s="17">
        <f>ROUND(VLOOKUP(O$139&amp;"_1",管理者用人口入力シート!CO:DL,Q151,FALSE),0)</f>
        <v>153</v>
      </c>
      <c r="P151" s="17">
        <f>ROUND(VLOOKUP(O$139&amp;"_2",管理者用人口入力シート!CO:DL,Q151,FALSE),0)</f>
        <v>158</v>
      </c>
      <c r="Q151" s="2">
        <v>14</v>
      </c>
    </row>
    <row r="152" spans="7:17" x14ac:dyDescent="0.15">
      <c r="G152" s="2" t="s">
        <v>11</v>
      </c>
      <c r="H152" s="17">
        <f>ROUND(VLOOKUP(H$139&amp;"_1",管理者用人口入力シート!BH:CE,J152,FALSE),0)</f>
        <v>175</v>
      </c>
      <c r="I152" s="17">
        <f>ROUND(VLOOKUP(H$139&amp;"_2",管理者用人口入力シート!BH:CE,J152,FALSE),0)</f>
        <v>188</v>
      </c>
      <c r="J152" s="2">
        <v>15</v>
      </c>
      <c r="N152" s="2" t="s">
        <v>11</v>
      </c>
      <c r="O152" s="17">
        <f>ROUND(VLOOKUP(O$139&amp;"_1",管理者用人口入力シート!CO:DL,Q152,FALSE),0)</f>
        <v>175</v>
      </c>
      <c r="P152" s="17">
        <f>ROUND(VLOOKUP(O$139&amp;"_2",管理者用人口入力シート!CO:DL,Q152,FALSE),0)</f>
        <v>189</v>
      </c>
      <c r="Q152" s="2">
        <v>15</v>
      </c>
    </row>
    <row r="153" spans="7:17" x14ac:dyDescent="0.15">
      <c r="G153" s="2" t="s">
        <v>12</v>
      </c>
      <c r="H153" s="17">
        <f>ROUND(VLOOKUP(H$139&amp;"_1",管理者用人口入力シート!BH:CE,J153,FALSE),0)</f>
        <v>192</v>
      </c>
      <c r="I153" s="17">
        <f>ROUND(VLOOKUP(H$139&amp;"_2",管理者用人口入力シート!BH:CE,J153,FALSE),0)</f>
        <v>213</v>
      </c>
      <c r="J153" s="2">
        <v>16</v>
      </c>
      <c r="N153" s="2" t="s">
        <v>12</v>
      </c>
      <c r="O153" s="17">
        <f>ROUND(VLOOKUP(O$139&amp;"_1",管理者用人口入力シート!CO:DL,Q153,FALSE),0)</f>
        <v>192</v>
      </c>
      <c r="P153" s="17">
        <f>ROUND(VLOOKUP(O$139&amp;"_2",管理者用人口入力シート!CO:DL,Q153,FALSE),0)</f>
        <v>213</v>
      </c>
      <c r="Q153" s="2">
        <v>16</v>
      </c>
    </row>
    <row r="154" spans="7:17" x14ac:dyDescent="0.15">
      <c r="G154" s="2" t="s">
        <v>13</v>
      </c>
      <c r="H154" s="17">
        <f>ROUND(VLOOKUP(H$139&amp;"_1",管理者用人口入力シート!BH:CE,J154,FALSE),0)</f>
        <v>202</v>
      </c>
      <c r="I154" s="17">
        <f>ROUND(VLOOKUP(H$139&amp;"_2",管理者用人口入力シート!BH:CE,J154,FALSE),0)</f>
        <v>237</v>
      </c>
      <c r="J154" s="2">
        <v>17</v>
      </c>
      <c r="N154" s="2" t="s">
        <v>13</v>
      </c>
      <c r="O154" s="17">
        <f>ROUND(VLOOKUP(O$139&amp;"_1",管理者用人口入力シート!CO:DL,Q154,FALSE),0)</f>
        <v>202</v>
      </c>
      <c r="P154" s="17">
        <f>ROUND(VLOOKUP(O$139&amp;"_2",管理者用人口入力シート!CO:DL,Q154,FALSE),0)</f>
        <v>237</v>
      </c>
      <c r="Q154" s="2">
        <v>17</v>
      </c>
    </row>
    <row r="155" spans="7:17" x14ac:dyDescent="0.15">
      <c r="G155" s="2" t="s">
        <v>14</v>
      </c>
      <c r="H155" s="17">
        <f>ROUND(VLOOKUP(H$139&amp;"_1",管理者用人口入力シート!BH:CE,J155,FALSE),0)</f>
        <v>170</v>
      </c>
      <c r="I155" s="17">
        <f>ROUND(VLOOKUP(H$139&amp;"_2",管理者用人口入力シート!BH:CE,J155,FALSE),0)</f>
        <v>224</v>
      </c>
      <c r="J155" s="2">
        <v>18</v>
      </c>
      <c r="N155" s="2" t="s">
        <v>14</v>
      </c>
      <c r="O155" s="17">
        <f>ROUND(VLOOKUP(O$139&amp;"_1",管理者用人口入力シート!CO:DL,Q155,FALSE),0)</f>
        <v>170</v>
      </c>
      <c r="P155" s="17">
        <f>ROUND(VLOOKUP(O$139&amp;"_2",管理者用人口入力シート!CO:DL,Q155,FALSE),0)</f>
        <v>224</v>
      </c>
      <c r="Q155" s="2">
        <v>18</v>
      </c>
    </row>
    <row r="156" spans="7:17" x14ac:dyDescent="0.15">
      <c r="G156" s="2" t="s">
        <v>15</v>
      </c>
      <c r="H156" s="17">
        <f>ROUND(VLOOKUP(H$139&amp;"_1",管理者用人口入力シート!BH:CE,J156,FALSE),0)</f>
        <v>167</v>
      </c>
      <c r="I156" s="17">
        <f>ROUND(VLOOKUP(H$139&amp;"_2",管理者用人口入力シート!BH:CE,J156,FALSE),0)</f>
        <v>224</v>
      </c>
      <c r="J156" s="2">
        <v>19</v>
      </c>
      <c r="N156" s="2" t="s">
        <v>15</v>
      </c>
      <c r="O156" s="17">
        <f>ROUND(VLOOKUP(O$139&amp;"_1",管理者用人口入力シート!CO:DL,Q156,FALSE),0)</f>
        <v>167</v>
      </c>
      <c r="P156" s="17">
        <f>ROUND(VLOOKUP(O$139&amp;"_2",管理者用人口入力シート!CO:DL,Q156,FALSE),0)</f>
        <v>224</v>
      </c>
      <c r="Q156" s="2">
        <v>19</v>
      </c>
    </row>
    <row r="157" spans="7:17" x14ac:dyDescent="0.15">
      <c r="G157" s="2" t="s">
        <v>16</v>
      </c>
      <c r="H157" s="17">
        <f>ROUND(VLOOKUP(H$139&amp;"_1",管理者用人口入力シート!BH:CE,J157,FALSE),0)</f>
        <v>188</v>
      </c>
      <c r="I157" s="17">
        <f>ROUND(VLOOKUP(H$139&amp;"_2",管理者用人口入力シート!BH:CE,J157,FALSE),0)</f>
        <v>269</v>
      </c>
      <c r="J157" s="2">
        <v>20</v>
      </c>
      <c r="N157" s="2" t="s">
        <v>16</v>
      </c>
      <c r="O157" s="17">
        <f>ROUND(VLOOKUP(O$139&amp;"_1",管理者用人口入力シート!CO:DL,Q157,FALSE),0)</f>
        <v>188</v>
      </c>
      <c r="P157" s="17">
        <f>ROUND(VLOOKUP(O$139&amp;"_2",管理者用人口入力シート!CO:DL,Q157,FALSE),0)</f>
        <v>269</v>
      </c>
      <c r="Q157" s="2">
        <v>20</v>
      </c>
    </row>
    <row r="158" spans="7:17" x14ac:dyDescent="0.15">
      <c r="G158" s="2" t="s">
        <v>17</v>
      </c>
      <c r="H158" s="17">
        <f>ROUND(VLOOKUP(H$139&amp;"_1",管理者用人口入力シート!BH:CE,J158,FALSE),0)</f>
        <v>146</v>
      </c>
      <c r="I158" s="17">
        <f>ROUND(VLOOKUP(H$139&amp;"_2",管理者用人口入力シート!BH:CE,J158,FALSE),0)</f>
        <v>220</v>
      </c>
      <c r="J158" s="2">
        <v>21</v>
      </c>
      <c r="N158" s="2" t="s">
        <v>17</v>
      </c>
      <c r="O158" s="17">
        <f>ROUND(VLOOKUP(O$139&amp;"_1",管理者用人口入力シート!CO:DL,Q158,FALSE),0)</f>
        <v>146</v>
      </c>
      <c r="P158" s="17">
        <f>ROUND(VLOOKUP(O$139&amp;"_2",管理者用人口入力シート!CO:DL,Q158,FALSE),0)</f>
        <v>220</v>
      </c>
      <c r="Q158" s="2">
        <v>21</v>
      </c>
    </row>
    <row r="159" spans="7:17" x14ac:dyDescent="0.15">
      <c r="G159" s="2" t="s">
        <v>18</v>
      </c>
      <c r="H159" s="17">
        <f>ROUND(VLOOKUP(H$139&amp;"_1",管理者用人口入力シート!BH:CE,J159,FALSE),0)</f>
        <v>70</v>
      </c>
      <c r="I159" s="17">
        <f>ROUND(VLOOKUP(H$139&amp;"_2",管理者用人口入力シート!BH:CE,J159,FALSE),0)</f>
        <v>134</v>
      </c>
      <c r="J159" s="2">
        <v>22</v>
      </c>
      <c r="N159" s="2" t="s">
        <v>18</v>
      </c>
      <c r="O159" s="17">
        <f>ROUND(VLOOKUP(O$139&amp;"_1",管理者用人口入力シート!CO:DL,Q159,FALSE),0)</f>
        <v>70</v>
      </c>
      <c r="P159" s="17">
        <f>ROUND(VLOOKUP(O$139&amp;"_2",管理者用人口入力シート!CO:DL,Q159,FALSE),0)</f>
        <v>134</v>
      </c>
      <c r="Q159" s="2">
        <v>22</v>
      </c>
    </row>
    <row r="160" spans="7:17" x14ac:dyDescent="0.15">
      <c r="G160" s="2" t="s">
        <v>19</v>
      </c>
      <c r="H160" s="17">
        <f>ROUND(VLOOKUP(H$139&amp;"_1",管理者用人口入力シート!BH:CE,J160,FALSE),0)</f>
        <v>19</v>
      </c>
      <c r="I160" s="17">
        <f>ROUND(VLOOKUP(H$139&amp;"_2",管理者用人口入力シート!BH:CE,J160,FALSE),0)</f>
        <v>37</v>
      </c>
      <c r="J160" s="2">
        <v>23</v>
      </c>
      <c r="N160" s="2" t="s">
        <v>19</v>
      </c>
      <c r="O160" s="17">
        <f>ROUND(VLOOKUP(O$139&amp;"_1",管理者用人口入力シート!CO:DL,Q160,FALSE),0)</f>
        <v>19</v>
      </c>
      <c r="P160" s="17">
        <f>ROUND(VLOOKUP(O$139&amp;"_2",管理者用人口入力シート!CO:DL,Q160,FALSE),0)</f>
        <v>37</v>
      </c>
      <c r="Q160" s="2">
        <v>23</v>
      </c>
    </row>
    <row r="161" spans="7:17" x14ac:dyDescent="0.15">
      <c r="G161" s="2" t="s">
        <v>20</v>
      </c>
      <c r="H161" s="17">
        <f>ROUND(VLOOKUP(H$139&amp;"_1",管理者用人口入力シート!BH:CE,J161,FALSE),0)</f>
        <v>0</v>
      </c>
      <c r="I161" s="17">
        <f>ROUND(VLOOKUP(H$139&amp;"_2",管理者用人口入力シート!BH:CE,J161,FALSE),0)</f>
        <v>6</v>
      </c>
      <c r="J161" s="2">
        <v>24</v>
      </c>
      <c r="N161" s="2" t="s">
        <v>20</v>
      </c>
      <c r="O161" s="17">
        <f>ROUND(VLOOKUP(O$139&amp;"_1",管理者用人口入力シート!CO:DL,Q161,FALSE),0)</f>
        <v>0</v>
      </c>
      <c r="P161" s="17">
        <f>ROUND(VLOOKUP(O$139&amp;"_2",管理者用人口入力シート!CO:DL,Q161,FALSE),0)</f>
        <v>6</v>
      </c>
      <c r="Q161" s="2">
        <v>24</v>
      </c>
    </row>
    <row r="163" spans="7:17" x14ac:dyDescent="0.15">
      <c r="G163" s="2" t="s">
        <v>395</v>
      </c>
      <c r="H163" s="315">
        <f>管理者入力シート!B12</f>
        <v>2045</v>
      </c>
      <c r="I163" s="316"/>
      <c r="J163" s="2" t="s">
        <v>114</v>
      </c>
      <c r="O163" s="315">
        <f>管理者入力シート!B12</f>
        <v>2045</v>
      </c>
      <c r="P163" s="316"/>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65</v>
      </c>
      <c r="I165" s="17">
        <f>ROUND(VLOOKUP(H$163&amp;"_2",管理者用人口入力シート!BH:CE,J165,FALSE),0)</f>
        <v>58</v>
      </c>
      <c r="J165" s="2">
        <v>4</v>
      </c>
      <c r="N165" s="2" t="s">
        <v>0</v>
      </c>
      <c r="O165" s="17">
        <f>ROUND(VLOOKUP(O$163&amp;"_1",管理者用人口入力シート!CO:DL,Q165,FALSE),0)</f>
        <v>68</v>
      </c>
      <c r="P165" s="17">
        <f>ROUND(VLOOKUP(O$163&amp;"_2",管理者用人口入力シート!CO:DL,Q165,FALSE),0)</f>
        <v>60</v>
      </c>
      <c r="Q165" s="2">
        <v>4</v>
      </c>
    </row>
    <row r="166" spans="7:17" x14ac:dyDescent="0.15">
      <c r="G166" s="2" t="s">
        <v>1</v>
      </c>
      <c r="H166" s="17">
        <f>ROUND(VLOOKUP(H$163&amp;"_1",管理者用人口入力シート!BH:CE,J166,FALSE),0)</f>
        <v>74</v>
      </c>
      <c r="I166" s="17">
        <f>ROUND(VLOOKUP(H$163&amp;"_2",管理者用人口入力シート!BH:CE,J166,FALSE),0)</f>
        <v>69</v>
      </c>
      <c r="J166" s="2">
        <v>5</v>
      </c>
      <c r="N166" s="2" t="s">
        <v>1</v>
      </c>
      <c r="O166" s="17">
        <f>ROUND(VLOOKUP(O$163&amp;"_1",管理者用人口入力シート!CO:DL,Q166,FALSE),0)</f>
        <v>77</v>
      </c>
      <c r="P166" s="17">
        <f>ROUND(VLOOKUP(O$163&amp;"_2",管理者用人口入力シート!CO:DL,Q166,FALSE),0)</f>
        <v>72</v>
      </c>
      <c r="Q166" s="2">
        <v>5</v>
      </c>
    </row>
    <row r="167" spans="7:17" x14ac:dyDescent="0.15">
      <c r="G167" s="2" t="s">
        <v>2</v>
      </c>
      <c r="H167" s="17">
        <f>ROUND(VLOOKUP(H$163&amp;"_1",管理者用人口入力シート!BH:CE,J167,FALSE),0)</f>
        <v>79</v>
      </c>
      <c r="I167" s="17">
        <f>ROUND(VLOOKUP(H$163&amp;"_2",管理者用人口入力シート!BH:CE,J167,FALSE),0)</f>
        <v>77</v>
      </c>
      <c r="J167" s="2">
        <v>6</v>
      </c>
      <c r="N167" s="2" t="s">
        <v>2</v>
      </c>
      <c r="O167" s="17">
        <f>ROUND(VLOOKUP(O$163&amp;"_1",管理者用人口入力シート!CO:DL,Q167,FALSE),0)</f>
        <v>82</v>
      </c>
      <c r="P167" s="17">
        <f>ROUND(VLOOKUP(O$163&amp;"_2",管理者用人口入力シート!CO:DL,Q167,FALSE),0)</f>
        <v>80</v>
      </c>
      <c r="Q167" s="2">
        <v>6</v>
      </c>
    </row>
    <row r="168" spans="7:17" x14ac:dyDescent="0.15">
      <c r="G168" s="2" t="s">
        <v>3</v>
      </c>
      <c r="H168" s="17">
        <f>ROUND(VLOOKUP(H$163&amp;"_1",管理者用人口入力シート!BH:CE,J168,FALSE),0)</f>
        <v>75</v>
      </c>
      <c r="I168" s="17">
        <f>ROUND(VLOOKUP(H$163&amp;"_2",管理者用人口入力シート!BH:CE,J168,FALSE),0)</f>
        <v>76</v>
      </c>
      <c r="J168" s="2">
        <v>7</v>
      </c>
      <c r="N168" s="2" t="s">
        <v>3</v>
      </c>
      <c r="O168" s="17">
        <f>ROUND(VLOOKUP(O$163&amp;"_1",管理者用人口入力シート!CO:DL,Q168,FALSE),0)</f>
        <v>77</v>
      </c>
      <c r="P168" s="17">
        <f>ROUND(VLOOKUP(O$163&amp;"_2",管理者用人口入力シート!CO:DL,Q168,FALSE),0)</f>
        <v>78</v>
      </c>
      <c r="Q168" s="2">
        <v>7</v>
      </c>
    </row>
    <row r="169" spans="7:17" x14ac:dyDescent="0.15">
      <c r="G169" s="2" t="s">
        <v>4</v>
      </c>
      <c r="H169" s="17">
        <f>ROUND(VLOOKUP(H$163&amp;"_1",管理者用人口入力シート!BH:CE,J169,FALSE),0)</f>
        <v>55</v>
      </c>
      <c r="I169" s="17">
        <f>ROUND(VLOOKUP(H$163&amp;"_2",管理者用人口入力シート!BH:CE,J169,FALSE),0)</f>
        <v>58</v>
      </c>
      <c r="J169" s="2">
        <v>8</v>
      </c>
      <c r="N169" s="2" t="s">
        <v>4</v>
      </c>
      <c r="O169" s="17">
        <f>ROUND(VLOOKUP(O$163&amp;"_1",管理者用人口入力シート!CO:DL,Q169,FALSE),0)</f>
        <v>56</v>
      </c>
      <c r="P169" s="17">
        <f>ROUND(VLOOKUP(O$163&amp;"_2",管理者用人口入力シート!CO:DL,Q169,FALSE),0)</f>
        <v>59</v>
      </c>
      <c r="Q169" s="2">
        <v>8</v>
      </c>
    </row>
    <row r="170" spans="7:17" x14ac:dyDescent="0.15">
      <c r="G170" s="2" t="s">
        <v>5</v>
      </c>
      <c r="H170" s="17">
        <f>ROUND(VLOOKUP(H$163&amp;"_1",管理者用人口入力シート!BH:CE,J170,FALSE),0)</f>
        <v>68</v>
      </c>
      <c r="I170" s="17">
        <f>ROUND(VLOOKUP(H$163&amp;"_2",管理者用人口入力シート!BH:CE,J170,FALSE),0)</f>
        <v>65</v>
      </c>
      <c r="J170" s="2">
        <v>9</v>
      </c>
      <c r="N170" s="2" t="s">
        <v>5</v>
      </c>
      <c r="O170" s="17">
        <f>ROUND(VLOOKUP(O$163&amp;"_1",管理者用人口入力シート!CO:DL,Q170,FALSE),0)</f>
        <v>70</v>
      </c>
      <c r="P170" s="17">
        <f>ROUND(VLOOKUP(O$163&amp;"_2",管理者用人口入力シート!CO:DL,Q170,FALSE),0)</f>
        <v>67</v>
      </c>
      <c r="Q170" s="2">
        <v>9</v>
      </c>
    </row>
    <row r="171" spans="7:17" x14ac:dyDescent="0.15">
      <c r="G171" s="2" t="s">
        <v>6</v>
      </c>
      <c r="H171" s="17">
        <f>ROUND(VLOOKUP(H$163&amp;"_1",管理者用人口入力シート!BH:CE,J171,FALSE),0)</f>
        <v>73</v>
      </c>
      <c r="I171" s="17">
        <f>ROUND(VLOOKUP(H$163&amp;"_2",管理者用人口入力シート!BH:CE,J171,FALSE),0)</f>
        <v>73</v>
      </c>
      <c r="J171" s="2">
        <v>10</v>
      </c>
      <c r="N171" s="2" t="s">
        <v>6</v>
      </c>
      <c r="O171" s="17">
        <f>ROUND(VLOOKUP(O$163&amp;"_1",管理者用人口入力シート!CO:DL,Q171,FALSE),0)</f>
        <v>75</v>
      </c>
      <c r="P171" s="17">
        <f>ROUND(VLOOKUP(O$163&amp;"_2",管理者用人口入力シート!CO:DL,Q171,FALSE),0)</f>
        <v>75</v>
      </c>
      <c r="Q171" s="2">
        <v>10</v>
      </c>
    </row>
    <row r="172" spans="7:17" x14ac:dyDescent="0.15">
      <c r="G172" s="2" t="s">
        <v>7</v>
      </c>
      <c r="H172" s="17">
        <f>ROUND(VLOOKUP(H$163&amp;"_1",管理者用人口入力シート!BH:CE,J172,FALSE),0)</f>
        <v>74</v>
      </c>
      <c r="I172" s="17">
        <f>ROUND(VLOOKUP(H$163&amp;"_2",管理者用人口入力シート!BH:CE,J172,FALSE),0)</f>
        <v>87</v>
      </c>
      <c r="J172" s="2">
        <v>11</v>
      </c>
      <c r="N172" s="2" t="s">
        <v>7</v>
      </c>
      <c r="O172" s="17">
        <f>ROUND(VLOOKUP(O$163&amp;"_1",管理者用人口入力シート!CO:DL,Q172,FALSE),0)</f>
        <v>76</v>
      </c>
      <c r="P172" s="17">
        <f>ROUND(VLOOKUP(O$163&amp;"_2",管理者用人口入力シート!CO:DL,Q172,FALSE),0)</f>
        <v>89</v>
      </c>
      <c r="Q172" s="2">
        <v>11</v>
      </c>
    </row>
    <row r="173" spans="7:17" x14ac:dyDescent="0.15">
      <c r="G173" s="2" t="s">
        <v>8</v>
      </c>
      <c r="H173" s="17">
        <f>ROUND(VLOOKUP(H$163&amp;"_1",管理者用人口入力シート!BH:CE,J173,FALSE),0)</f>
        <v>98</v>
      </c>
      <c r="I173" s="17">
        <f>ROUND(VLOOKUP(H$163&amp;"_2",管理者用人口入力シート!BH:CE,J173,FALSE),0)</f>
        <v>82</v>
      </c>
      <c r="J173" s="2">
        <v>12</v>
      </c>
      <c r="N173" s="2" t="s">
        <v>8</v>
      </c>
      <c r="O173" s="17">
        <f>ROUND(VLOOKUP(O$163&amp;"_1",管理者用人口入力シート!CO:DL,Q173,FALSE),0)</f>
        <v>99</v>
      </c>
      <c r="P173" s="17">
        <f>ROUND(VLOOKUP(O$163&amp;"_2",管理者用人口入力シート!CO:DL,Q173,FALSE),0)</f>
        <v>85</v>
      </c>
      <c r="Q173" s="2">
        <v>12</v>
      </c>
    </row>
    <row r="174" spans="7:17" x14ac:dyDescent="0.15">
      <c r="G174" s="2" t="s">
        <v>9</v>
      </c>
      <c r="H174" s="17">
        <f>ROUND(VLOOKUP(H$163&amp;"_1",管理者用人口入力シート!BH:CE,J174,FALSE),0)</f>
        <v>112</v>
      </c>
      <c r="I174" s="17">
        <f>ROUND(VLOOKUP(H$163&amp;"_2",管理者用人口入力シート!BH:CE,J174,FALSE),0)</f>
        <v>94</v>
      </c>
      <c r="J174" s="2">
        <v>13</v>
      </c>
      <c r="N174" s="2" t="s">
        <v>9</v>
      </c>
      <c r="O174" s="17">
        <f>ROUND(VLOOKUP(O$163&amp;"_1",管理者用人口入力シート!CO:DL,Q174,FALSE),0)</f>
        <v>114</v>
      </c>
      <c r="P174" s="17">
        <f>ROUND(VLOOKUP(O$163&amp;"_2",管理者用人口入力シート!CO:DL,Q174,FALSE),0)</f>
        <v>97</v>
      </c>
      <c r="Q174" s="2">
        <v>13</v>
      </c>
    </row>
    <row r="175" spans="7:17" x14ac:dyDescent="0.15">
      <c r="G175" s="2" t="s">
        <v>10</v>
      </c>
      <c r="H175" s="17">
        <f>ROUND(VLOOKUP(H$163&amp;"_1",管理者用人口入力シート!BH:CE,J175,FALSE),0)</f>
        <v>121</v>
      </c>
      <c r="I175" s="17">
        <f>ROUND(VLOOKUP(H$163&amp;"_2",管理者用人口入力シート!BH:CE,J175,FALSE),0)</f>
        <v>107</v>
      </c>
      <c r="J175" s="2">
        <v>14</v>
      </c>
      <c r="N175" s="2" t="s">
        <v>10</v>
      </c>
      <c r="O175" s="17">
        <f>ROUND(VLOOKUP(O$163&amp;"_1",管理者用人口入力シート!CO:DL,Q175,FALSE),0)</f>
        <v>121</v>
      </c>
      <c r="P175" s="17">
        <f>ROUND(VLOOKUP(O$163&amp;"_2",管理者用人口入力シート!CO:DL,Q175,FALSE),0)</f>
        <v>108</v>
      </c>
      <c r="Q175" s="2">
        <v>14</v>
      </c>
    </row>
    <row r="176" spans="7:17" x14ac:dyDescent="0.15">
      <c r="G176" s="2" t="s">
        <v>11</v>
      </c>
      <c r="H176" s="17">
        <f>ROUND(VLOOKUP(H$163&amp;"_1",管理者用人口入力シート!BH:CE,J176,FALSE),0)</f>
        <v>144</v>
      </c>
      <c r="I176" s="17">
        <f>ROUND(VLOOKUP(H$163&amp;"_2",管理者用人口入力シート!BH:CE,J176,FALSE),0)</f>
        <v>154</v>
      </c>
      <c r="J176" s="2">
        <v>15</v>
      </c>
      <c r="N176" s="2" t="s">
        <v>11</v>
      </c>
      <c r="O176" s="17">
        <f>ROUND(VLOOKUP(O$163&amp;"_1",管理者用人口入力シート!CO:DL,Q176,FALSE),0)</f>
        <v>144</v>
      </c>
      <c r="P176" s="17">
        <f>ROUND(VLOOKUP(O$163&amp;"_2",管理者用人口入力シート!CO:DL,Q176,FALSE),0)</f>
        <v>155</v>
      </c>
      <c r="Q176" s="2">
        <v>15</v>
      </c>
    </row>
    <row r="177" spans="7:17" x14ac:dyDescent="0.15">
      <c r="G177" s="2" t="s">
        <v>12</v>
      </c>
      <c r="H177" s="17">
        <f>ROUND(VLOOKUP(H$163&amp;"_1",管理者用人口入力シート!BH:CE,J177,FALSE),0)</f>
        <v>172</v>
      </c>
      <c r="I177" s="17">
        <f>ROUND(VLOOKUP(H$163&amp;"_2",管理者用人口入力シート!BH:CE,J177,FALSE),0)</f>
        <v>186</v>
      </c>
      <c r="J177" s="2">
        <v>16</v>
      </c>
      <c r="N177" s="2" t="s">
        <v>12</v>
      </c>
      <c r="O177" s="17">
        <f>ROUND(VLOOKUP(O$163&amp;"_1",管理者用人口入力シート!CO:DL,Q177,FALSE),0)</f>
        <v>172</v>
      </c>
      <c r="P177" s="17">
        <f>ROUND(VLOOKUP(O$163&amp;"_2",管理者用人口入力シート!CO:DL,Q177,FALSE),0)</f>
        <v>186</v>
      </c>
      <c r="Q177" s="2">
        <v>16</v>
      </c>
    </row>
    <row r="178" spans="7:17" x14ac:dyDescent="0.15">
      <c r="G178" s="2" t="s">
        <v>13</v>
      </c>
      <c r="H178" s="17">
        <f>ROUND(VLOOKUP(H$163&amp;"_1",管理者用人口入力シート!BH:CE,J178,FALSE),0)</f>
        <v>181</v>
      </c>
      <c r="I178" s="17">
        <f>ROUND(VLOOKUP(H$163&amp;"_2",管理者用人口入力シート!BH:CE,J178,FALSE),0)</f>
        <v>206</v>
      </c>
      <c r="J178" s="2">
        <v>17</v>
      </c>
      <c r="N178" s="2" t="s">
        <v>13</v>
      </c>
      <c r="O178" s="17">
        <f>ROUND(VLOOKUP(O$163&amp;"_1",管理者用人口入力シート!CO:DL,Q178,FALSE),0)</f>
        <v>181</v>
      </c>
      <c r="P178" s="17">
        <f>ROUND(VLOOKUP(O$163&amp;"_2",管理者用人口入力シート!CO:DL,Q178,FALSE),0)</f>
        <v>206</v>
      </c>
      <c r="Q178" s="2">
        <v>17</v>
      </c>
    </row>
    <row r="179" spans="7:17" x14ac:dyDescent="0.15">
      <c r="G179" s="2" t="s">
        <v>14</v>
      </c>
      <c r="H179" s="17">
        <f>ROUND(VLOOKUP(H$163&amp;"_1",管理者用人口入力シート!BH:CE,J179,FALSE),0)</f>
        <v>188</v>
      </c>
      <c r="I179" s="17">
        <f>ROUND(VLOOKUP(H$163&amp;"_2",管理者用人口入力シート!BH:CE,J179,FALSE),0)</f>
        <v>234</v>
      </c>
      <c r="J179" s="2">
        <v>18</v>
      </c>
      <c r="N179" s="2" t="s">
        <v>14</v>
      </c>
      <c r="O179" s="17">
        <f>ROUND(VLOOKUP(O$163&amp;"_1",管理者用人口入力シート!CO:DL,Q179,FALSE),0)</f>
        <v>188</v>
      </c>
      <c r="P179" s="17">
        <f>ROUND(VLOOKUP(O$163&amp;"_2",管理者用人口入力シート!CO:DL,Q179,FALSE),0)</f>
        <v>234</v>
      </c>
      <c r="Q179" s="2">
        <v>18</v>
      </c>
    </row>
    <row r="180" spans="7:17" x14ac:dyDescent="0.15">
      <c r="G180" s="2" t="s">
        <v>15</v>
      </c>
      <c r="H180" s="17">
        <f>ROUND(VLOOKUP(H$163&amp;"_1",管理者用人口入力シート!BH:CE,J180,FALSE),0)</f>
        <v>151</v>
      </c>
      <c r="I180" s="17">
        <f>ROUND(VLOOKUP(H$163&amp;"_2",管理者用人口入力シート!BH:CE,J180,FALSE),0)</f>
        <v>211</v>
      </c>
      <c r="J180" s="2">
        <v>19</v>
      </c>
      <c r="N180" s="2" t="s">
        <v>15</v>
      </c>
      <c r="O180" s="17">
        <f>ROUND(VLOOKUP(O$163&amp;"_1",管理者用人口入力シート!CO:DL,Q180,FALSE),0)</f>
        <v>151</v>
      </c>
      <c r="P180" s="17">
        <f>ROUND(VLOOKUP(O$163&amp;"_2",管理者用人口入力シート!CO:DL,Q180,FALSE),0)</f>
        <v>211</v>
      </c>
      <c r="Q180" s="2">
        <v>19</v>
      </c>
    </row>
    <row r="181" spans="7:17" x14ac:dyDescent="0.15">
      <c r="G181" s="2" t="s">
        <v>16</v>
      </c>
      <c r="H181" s="17">
        <f>ROUND(VLOOKUP(H$163&amp;"_1",管理者用人口入力シート!BH:CE,J181,FALSE),0)</f>
        <v>139</v>
      </c>
      <c r="I181" s="17">
        <f>ROUND(VLOOKUP(H$163&amp;"_2",管理者用人口入力シート!BH:CE,J181,FALSE),0)</f>
        <v>203</v>
      </c>
      <c r="J181" s="2">
        <v>20</v>
      </c>
      <c r="N181" s="2" t="s">
        <v>16</v>
      </c>
      <c r="O181" s="17">
        <f>ROUND(VLOOKUP(O$163&amp;"_1",管理者用人口入力シート!CO:DL,Q181,FALSE),0)</f>
        <v>139</v>
      </c>
      <c r="P181" s="17">
        <f>ROUND(VLOOKUP(O$163&amp;"_2",管理者用人口入力シート!CO:DL,Q181,FALSE),0)</f>
        <v>203</v>
      </c>
      <c r="Q181" s="2">
        <v>20</v>
      </c>
    </row>
    <row r="182" spans="7:17" x14ac:dyDescent="0.15">
      <c r="G182" s="2" t="s">
        <v>17</v>
      </c>
      <c r="H182" s="17">
        <f>ROUND(VLOOKUP(H$163&amp;"_1",管理者用人口入力シート!BH:CE,J182,FALSE),0)</f>
        <v>128</v>
      </c>
      <c r="I182" s="17">
        <f>ROUND(VLOOKUP(H$163&amp;"_2",管理者用人口入力シート!BH:CE,J182,FALSE),0)</f>
        <v>217</v>
      </c>
      <c r="J182" s="2">
        <v>21</v>
      </c>
      <c r="N182" s="2" t="s">
        <v>17</v>
      </c>
      <c r="O182" s="17">
        <f>ROUND(VLOOKUP(O$163&amp;"_1",管理者用人口入力シート!CO:DL,Q182,FALSE),0)</f>
        <v>128</v>
      </c>
      <c r="P182" s="17">
        <f>ROUND(VLOOKUP(O$163&amp;"_2",管理者用人口入力シート!CO:DL,Q182,FALSE),0)</f>
        <v>217</v>
      </c>
      <c r="Q182" s="2">
        <v>21</v>
      </c>
    </row>
    <row r="183" spans="7:17" x14ac:dyDescent="0.15">
      <c r="G183" s="2" t="s">
        <v>18</v>
      </c>
      <c r="H183" s="17">
        <f>ROUND(VLOOKUP(H$163&amp;"_1",管理者用人口入力シート!BH:CE,J183,FALSE),0)</f>
        <v>69</v>
      </c>
      <c r="I183" s="17">
        <f>ROUND(VLOOKUP(H$163&amp;"_2",管理者用人口入力シート!BH:CE,J183,FALSE),0)</f>
        <v>121</v>
      </c>
      <c r="J183" s="2">
        <v>22</v>
      </c>
      <c r="N183" s="2" t="s">
        <v>18</v>
      </c>
      <c r="O183" s="17">
        <f>ROUND(VLOOKUP(O$163&amp;"_1",管理者用人口入力シート!CO:DL,Q183,FALSE),0)</f>
        <v>69</v>
      </c>
      <c r="P183" s="17">
        <f>ROUND(VLOOKUP(O$163&amp;"_2",管理者用人口入力シート!CO:DL,Q183,FALSE),0)</f>
        <v>121</v>
      </c>
      <c r="Q183" s="2">
        <v>22</v>
      </c>
    </row>
    <row r="184" spans="7:17" x14ac:dyDescent="0.15">
      <c r="G184" s="2" t="s">
        <v>19</v>
      </c>
      <c r="H184" s="17">
        <f>ROUND(VLOOKUP(H$163&amp;"_1",管理者用人口入力シート!BH:CE,J184,FALSE),0)</f>
        <v>26</v>
      </c>
      <c r="I184" s="17">
        <f>ROUND(VLOOKUP(H$163&amp;"_2",管理者用人口入力シート!BH:CE,J184,FALSE),0)</f>
        <v>52</v>
      </c>
      <c r="J184" s="2">
        <v>23</v>
      </c>
      <c r="N184" s="2" t="s">
        <v>19</v>
      </c>
      <c r="O184" s="17">
        <f>ROUND(VLOOKUP(O$163&amp;"_1",管理者用人口入力シート!CO:DL,Q184,FALSE),0)</f>
        <v>26</v>
      </c>
      <c r="P184" s="17">
        <f>ROUND(VLOOKUP(O$163&amp;"_2",管理者用人口入力シート!CO:DL,Q184,FALSE),0)</f>
        <v>52</v>
      </c>
      <c r="Q184" s="2">
        <v>23</v>
      </c>
    </row>
    <row r="185" spans="7:17" x14ac:dyDescent="0.15">
      <c r="G185" s="2" t="s">
        <v>20</v>
      </c>
      <c r="H185" s="17">
        <f>ROUND(VLOOKUP(H$163&amp;"_1",管理者用人口入力シート!BH:CE,J185,FALSE),0)</f>
        <v>0</v>
      </c>
      <c r="I185" s="17">
        <f>ROUND(VLOOKUP(H$163&amp;"_2",管理者用人口入力シート!BH:CE,J185,FALSE),0)</f>
        <v>6</v>
      </c>
      <c r="J185" s="2">
        <v>24</v>
      </c>
      <c r="N185" s="2" t="s">
        <v>20</v>
      </c>
      <c r="O185" s="17">
        <f>ROUND(VLOOKUP(O$163&amp;"_1",管理者用人口入力シート!CO:DL,Q185,FALSE),0)</f>
        <v>0</v>
      </c>
      <c r="P185" s="17">
        <f>ROUND(VLOOKUP(O$163&amp;"_2",管理者用人口入力シート!CO:DL,Q185,FALSE),0)</f>
        <v>6</v>
      </c>
      <c r="Q185" s="2">
        <v>24</v>
      </c>
    </row>
    <row r="187" spans="7:17" x14ac:dyDescent="0.15">
      <c r="G187" s="2" t="s">
        <v>396</v>
      </c>
      <c r="H187" s="315">
        <f>管理者入力シート!B13</f>
        <v>2050</v>
      </c>
      <c r="I187" s="316"/>
      <c r="J187" s="2" t="s">
        <v>114</v>
      </c>
      <c r="O187" s="315">
        <f>管理者入力シート!B13</f>
        <v>2050</v>
      </c>
      <c r="P187" s="316"/>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54</v>
      </c>
      <c r="I189" s="17">
        <f>ROUND(VLOOKUP(H$187&amp;"_2",管理者用人口入力シート!BH:CE,J189,FALSE),0)</f>
        <v>48</v>
      </c>
      <c r="J189" s="2">
        <v>4</v>
      </c>
      <c r="N189" s="2" t="s">
        <v>0</v>
      </c>
      <c r="O189" s="17">
        <f>ROUND(VLOOKUP(O$187&amp;"_1",管理者用人口入力シート!CO:DL,Q189,FALSE),0)</f>
        <v>57</v>
      </c>
      <c r="P189" s="17">
        <f>ROUND(VLOOKUP(O$187&amp;"_2",管理者用人口入力シート!CO:DL,Q189,FALSE),0)</f>
        <v>51</v>
      </c>
      <c r="Q189" s="2">
        <v>4</v>
      </c>
    </row>
    <row r="190" spans="7:17" x14ac:dyDescent="0.15">
      <c r="G190" s="2" t="s">
        <v>1</v>
      </c>
      <c r="H190" s="17">
        <f>ROUND(VLOOKUP(H$187&amp;"_1",管理者用人口入力シート!BH:CE,J190,FALSE),0)</f>
        <v>66</v>
      </c>
      <c r="I190" s="17">
        <f>ROUND(VLOOKUP(H$187&amp;"_2",管理者用人口入力シート!BH:CE,J190,FALSE),0)</f>
        <v>61</v>
      </c>
      <c r="J190" s="2">
        <v>5</v>
      </c>
      <c r="N190" s="2" t="s">
        <v>1</v>
      </c>
      <c r="O190" s="17">
        <f>ROUND(VLOOKUP(O$187&amp;"_1",管理者用人口入力シート!CO:DL,Q190,FALSE),0)</f>
        <v>69</v>
      </c>
      <c r="P190" s="17">
        <f>ROUND(VLOOKUP(O$187&amp;"_2",管理者用人口入力シート!CO:DL,Q190,FALSE),0)</f>
        <v>64</v>
      </c>
      <c r="Q190" s="2">
        <v>5</v>
      </c>
    </row>
    <row r="191" spans="7:17" x14ac:dyDescent="0.15">
      <c r="G191" s="2" t="s">
        <v>2</v>
      </c>
      <c r="H191" s="17">
        <f>ROUND(VLOOKUP(H$187&amp;"_1",管理者用人口入力シート!BH:CE,J191,FALSE),0)</f>
        <v>70</v>
      </c>
      <c r="I191" s="17">
        <f>ROUND(VLOOKUP(H$187&amp;"_2",管理者用人口入力シート!BH:CE,J191,FALSE),0)</f>
        <v>68</v>
      </c>
      <c r="J191" s="2">
        <v>6</v>
      </c>
      <c r="N191" s="2" t="s">
        <v>2</v>
      </c>
      <c r="O191" s="17">
        <f>ROUND(VLOOKUP(O$187&amp;"_1",管理者用人口入力シート!CO:DL,Q191,FALSE),0)</f>
        <v>74</v>
      </c>
      <c r="P191" s="17">
        <f>ROUND(VLOOKUP(O$187&amp;"_2",管理者用人口入力シート!CO:DL,Q191,FALSE),0)</f>
        <v>72</v>
      </c>
      <c r="Q191" s="2">
        <v>6</v>
      </c>
    </row>
    <row r="192" spans="7:17" x14ac:dyDescent="0.15">
      <c r="G192" s="2" t="s">
        <v>3</v>
      </c>
      <c r="H192" s="17">
        <f>ROUND(VLOOKUP(H$187&amp;"_1",管理者用人口入力シート!BH:CE,J192,FALSE),0)</f>
        <v>66</v>
      </c>
      <c r="I192" s="17">
        <f>ROUND(VLOOKUP(H$187&amp;"_2",管理者用人口入力シート!BH:CE,J192,FALSE),0)</f>
        <v>67</v>
      </c>
      <c r="J192" s="2">
        <v>7</v>
      </c>
      <c r="N192" s="2" t="s">
        <v>3</v>
      </c>
      <c r="O192" s="17">
        <f>ROUND(VLOOKUP(O$187&amp;"_1",管理者用人口入力シート!CO:DL,Q192,FALSE),0)</f>
        <v>69</v>
      </c>
      <c r="P192" s="17">
        <f>ROUND(VLOOKUP(O$187&amp;"_2",管理者用人口入力シート!CO:DL,Q192,FALSE),0)</f>
        <v>70</v>
      </c>
      <c r="Q192" s="2">
        <v>7</v>
      </c>
    </row>
    <row r="193" spans="7:17" x14ac:dyDescent="0.15">
      <c r="G193" s="2" t="s">
        <v>4</v>
      </c>
      <c r="H193" s="17">
        <f>ROUND(VLOOKUP(H$187&amp;"_1",管理者用人口入力シート!BH:CE,J193,FALSE),0)</f>
        <v>46</v>
      </c>
      <c r="I193" s="17">
        <f>ROUND(VLOOKUP(H$187&amp;"_2",管理者用人口入力シート!BH:CE,J193,FALSE),0)</f>
        <v>48</v>
      </c>
      <c r="J193" s="2">
        <v>8</v>
      </c>
      <c r="N193" s="2" t="s">
        <v>4</v>
      </c>
      <c r="O193" s="17">
        <f>ROUND(VLOOKUP(O$187&amp;"_1",管理者用人口入力シート!CO:DL,Q193,FALSE),0)</f>
        <v>47</v>
      </c>
      <c r="P193" s="17">
        <f>ROUND(VLOOKUP(O$187&amp;"_2",管理者用人口入力シート!CO:DL,Q193,FALSE),0)</f>
        <v>49</v>
      </c>
      <c r="Q193" s="2">
        <v>8</v>
      </c>
    </row>
    <row r="194" spans="7:17" x14ac:dyDescent="0.15">
      <c r="G194" s="2" t="s">
        <v>5</v>
      </c>
      <c r="H194" s="17">
        <f>ROUND(VLOOKUP(H$187&amp;"_1",管理者用人口入力シート!BH:CE,J194,FALSE),0)</f>
        <v>54</v>
      </c>
      <c r="I194" s="17">
        <f>ROUND(VLOOKUP(H$187&amp;"_2",管理者用人口入力シート!BH:CE,J194,FALSE),0)</f>
        <v>52</v>
      </c>
      <c r="J194" s="2">
        <v>9</v>
      </c>
      <c r="N194" s="2" t="s">
        <v>5</v>
      </c>
      <c r="O194" s="17">
        <f>ROUND(VLOOKUP(O$187&amp;"_1",管理者用人口入力シート!CO:DL,Q194,FALSE),0)</f>
        <v>57</v>
      </c>
      <c r="P194" s="17">
        <f>ROUND(VLOOKUP(O$187&amp;"_2",管理者用人口入力シート!CO:DL,Q194,FALSE),0)</f>
        <v>55</v>
      </c>
      <c r="Q194" s="2">
        <v>9</v>
      </c>
    </row>
    <row r="195" spans="7:17" x14ac:dyDescent="0.15">
      <c r="G195" s="2" t="s">
        <v>6</v>
      </c>
      <c r="H195" s="17">
        <f>ROUND(VLOOKUP(H$187&amp;"_1",管理者用人口入力シート!BH:CE,J195,FALSE),0)</f>
        <v>69</v>
      </c>
      <c r="I195" s="17">
        <f>ROUND(VLOOKUP(H$187&amp;"_2",管理者用人口入力シート!BH:CE,J195,FALSE),0)</f>
        <v>62</v>
      </c>
      <c r="J195" s="2">
        <v>10</v>
      </c>
      <c r="N195" s="2" t="s">
        <v>6</v>
      </c>
      <c r="O195" s="17">
        <f>ROUND(VLOOKUP(O$187&amp;"_1",管理者用人口入力シート!CO:DL,Q195,FALSE),0)</f>
        <v>71</v>
      </c>
      <c r="P195" s="17">
        <f>ROUND(VLOOKUP(O$187&amp;"_2",管理者用人口入力シート!CO:DL,Q195,FALSE),0)</f>
        <v>64</v>
      </c>
      <c r="Q195" s="2">
        <v>10</v>
      </c>
    </row>
    <row r="196" spans="7:17" x14ac:dyDescent="0.15">
      <c r="G196" s="2" t="s">
        <v>7</v>
      </c>
      <c r="H196" s="17">
        <f>ROUND(VLOOKUP(H$187&amp;"_1",管理者用人口入力シート!BH:CE,J196,FALSE),0)</f>
        <v>72</v>
      </c>
      <c r="I196" s="17">
        <f>ROUND(VLOOKUP(H$187&amp;"_2",管理者用人口入力シート!BH:CE,J196,FALSE),0)</f>
        <v>73</v>
      </c>
      <c r="J196" s="2">
        <v>11</v>
      </c>
      <c r="N196" s="2" t="s">
        <v>7</v>
      </c>
      <c r="O196" s="17">
        <f>ROUND(VLOOKUP(O$187&amp;"_1",管理者用人口入力シート!CO:DL,Q196,FALSE),0)</f>
        <v>75</v>
      </c>
      <c r="P196" s="17">
        <f>ROUND(VLOOKUP(O$187&amp;"_2",管理者用人口入力シート!CO:DL,Q196,FALSE),0)</f>
        <v>75</v>
      </c>
      <c r="Q196" s="2">
        <v>11</v>
      </c>
    </row>
    <row r="197" spans="7:17" x14ac:dyDescent="0.15">
      <c r="G197" s="2" t="s">
        <v>8</v>
      </c>
      <c r="H197" s="17">
        <f>ROUND(VLOOKUP(H$187&amp;"_1",管理者用人口入力シート!BH:CE,J197,FALSE),0)</f>
        <v>73</v>
      </c>
      <c r="I197" s="17">
        <f>ROUND(VLOOKUP(H$187&amp;"_2",管理者用人口入力シート!BH:CE,J197,FALSE),0)</f>
        <v>85</v>
      </c>
      <c r="J197" s="2">
        <v>12</v>
      </c>
      <c r="N197" s="2" t="s">
        <v>8</v>
      </c>
      <c r="O197" s="17">
        <f>ROUND(VLOOKUP(O$187&amp;"_1",管理者用人口入力シート!CO:DL,Q197,FALSE),0)</f>
        <v>75</v>
      </c>
      <c r="P197" s="17">
        <f>ROUND(VLOOKUP(O$187&amp;"_2",管理者用人口入力シート!CO:DL,Q197,FALSE),0)</f>
        <v>88</v>
      </c>
      <c r="Q197" s="2">
        <v>12</v>
      </c>
    </row>
    <row r="198" spans="7:17" x14ac:dyDescent="0.15">
      <c r="G198" s="2" t="s">
        <v>9</v>
      </c>
      <c r="H198" s="17">
        <f>ROUND(VLOOKUP(H$187&amp;"_1",管理者用人口入力シート!BH:CE,J198,FALSE),0)</f>
        <v>95</v>
      </c>
      <c r="I198" s="17">
        <f>ROUND(VLOOKUP(H$187&amp;"_2",管理者用人口入力シート!BH:CE,J198,FALSE),0)</f>
        <v>79</v>
      </c>
      <c r="J198" s="2">
        <v>13</v>
      </c>
      <c r="N198" s="2" t="s">
        <v>9</v>
      </c>
      <c r="O198" s="17">
        <f>ROUND(VLOOKUP(O$187&amp;"_1",管理者用人口入力シート!CO:DL,Q198,FALSE),0)</f>
        <v>97</v>
      </c>
      <c r="P198" s="17">
        <f>ROUND(VLOOKUP(O$187&amp;"_2",管理者用人口入力シート!CO:DL,Q198,FALSE),0)</f>
        <v>82</v>
      </c>
      <c r="Q198" s="2">
        <v>13</v>
      </c>
    </row>
    <row r="199" spans="7:17" x14ac:dyDescent="0.15">
      <c r="G199" s="2" t="s">
        <v>10</v>
      </c>
      <c r="H199" s="17">
        <f>ROUND(VLOOKUP(H$187&amp;"_1",管理者用人口入力シート!BH:CE,J199,FALSE),0)</f>
        <v>109</v>
      </c>
      <c r="I199" s="17">
        <f>ROUND(VLOOKUP(H$187&amp;"_2",管理者用人口入力シート!BH:CE,J199,FALSE),0)</f>
        <v>92</v>
      </c>
      <c r="J199" s="2">
        <v>14</v>
      </c>
      <c r="N199" s="2" t="s">
        <v>10</v>
      </c>
      <c r="O199" s="17">
        <f>ROUND(VLOOKUP(O$187&amp;"_1",管理者用人口入力シート!CO:DL,Q199,FALSE),0)</f>
        <v>110</v>
      </c>
      <c r="P199" s="17">
        <f>ROUND(VLOOKUP(O$187&amp;"_2",管理者用人口入力シート!CO:DL,Q199,FALSE),0)</f>
        <v>95</v>
      </c>
      <c r="Q199" s="2">
        <v>14</v>
      </c>
    </row>
    <row r="200" spans="7:17" x14ac:dyDescent="0.15">
      <c r="G200" s="2" t="s">
        <v>11</v>
      </c>
      <c r="H200" s="17">
        <f>ROUND(VLOOKUP(H$187&amp;"_1",管理者用人口入力シート!BH:CE,J200,FALSE),0)</f>
        <v>115</v>
      </c>
      <c r="I200" s="17">
        <f>ROUND(VLOOKUP(H$187&amp;"_2",管理者用人口入力シート!BH:CE,J200,FALSE),0)</f>
        <v>105</v>
      </c>
      <c r="J200" s="2">
        <v>15</v>
      </c>
      <c r="N200" s="2" t="s">
        <v>11</v>
      </c>
      <c r="O200" s="17">
        <f>ROUND(VLOOKUP(O$187&amp;"_1",管理者用人口入力シート!CO:DL,Q200,FALSE),0)</f>
        <v>115</v>
      </c>
      <c r="P200" s="17">
        <f>ROUND(VLOOKUP(O$187&amp;"_2",管理者用人口入力シート!CO:DL,Q200,FALSE),0)</f>
        <v>106</v>
      </c>
      <c r="Q200" s="2">
        <v>15</v>
      </c>
    </row>
    <row r="201" spans="7:17" x14ac:dyDescent="0.15">
      <c r="G201" s="2" t="s">
        <v>12</v>
      </c>
      <c r="H201" s="17">
        <f>ROUND(VLOOKUP(H$187&amp;"_1",管理者用人口入力シート!BH:CE,J201,FALSE),0)</f>
        <v>142</v>
      </c>
      <c r="I201" s="17">
        <f>ROUND(VLOOKUP(H$187&amp;"_2",管理者用人口入力シート!BH:CE,J201,FALSE),0)</f>
        <v>152</v>
      </c>
      <c r="J201" s="2">
        <v>16</v>
      </c>
      <c r="N201" s="2" t="s">
        <v>12</v>
      </c>
      <c r="O201" s="17">
        <f>ROUND(VLOOKUP(O$187&amp;"_1",管理者用人口入力シート!CO:DL,Q201,FALSE),0)</f>
        <v>142</v>
      </c>
      <c r="P201" s="17">
        <f>ROUND(VLOOKUP(O$187&amp;"_2",管理者用人口入力シート!CO:DL,Q201,FALSE),0)</f>
        <v>153</v>
      </c>
      <c r="Q201" s="2">
        <v>16</v>
      </c>
    </row>
    <row r="202" spans="7:17" x14ac:dyDescent="0.15">
      <c r="G202" s="2" t="s">
        <v>13</v>
      </c>
      <c r="H202" s="17">
        <f>ROUND(VLOOKUP(H$187&amp;"_1",管理者用人口入力シート!BH:CE,J202,FALSE),0)</f>
        <v>162</v>
      </c>
      <c r="I202" s="17">
        <f>ROUND(VLOOKUP(H$187&amp;"_2",管理者用人口入力シート!BH:CE,J202,FALSE),0)</f>
        <v>179</v>
      </c>
      <c r="J202" s="2">
        <v>17</v>
      </c>
      <c r="N202" s="2" t="s">
        <v>13</v>
      </c>
      <c r="O202" s="17">
        <f>ROUND(VLOOKUP(O$187&amp;"_1",管理者用人口入力シート!CO:DL,Q202,FALSE),0)</f>
        <v>162</v>
      </c>
      <c r="P202" s="17">
        <f>ROUND(VLOOKUP(O$187&amp;"_2",管理者用人口入力シート!CO:DL,Q202,FALSE),0)</f>
        <v>180</v>
      </c>
      <c r="Q202" s="2">
        <v>17</v>
      </c>
    </row>
    <row r="203" spans="7:17" x14ac:dyDescent="0.15">
      <c r="G203" s="2" t="s">
        <v>14</v>
      </c>
      <c r="H203" s="17">
        <f>ROUND(VLOOKUP(H$187&amp;"_1",管理者用人口入力シート!BH:CE,J203,FALSE),0)</f>
        <v>168</v>
      </c>
      <c r="I203" s="17">
        <f>ROUND(VLOOKUP(H$187&amp;"_2",管理者用人口入力シート!BH:CE,J203,FALSE),0)</f>
        <v>203</v>
      </c>
      <c r="J203" s="2">
        <v>18</v>
      </c>
      <c r="N203" s="2" t="s">
        <v>14</v>
      </c>
      <c r="O203" s="17">
        <f>ROUND(VLOOKUP(O$187&amp;"_1",管理者用人口入力シート!CO:DL,Q203,FALSE),0)</f>
        <v>168</v>
      </c>
      <c r="P203" s="17">
        <f>ROUND(VLOOKUP(O$187&amp;"_2",管理者用人口入力シート!CO:DL,Q203,FALSE),0)</f>
        <v>203</v>
      </c>
      <c r="Q203" s="2">
        <v>18</v>
      </c>
    </row>
    <row r="204" spans="7:17" x14ac:dyDescent="0.15">
      <c r="G204" s="2" t="s">
        <v>15</v>
      </c>
      <c r="H204" s="17">
        <f>ROUND(VLOOKUP(H$187&amp;"_1",管理者用人口入力シート!BH:CE,J204,FALSE),0)</f>
        <v>167</v>
      </c>
      <c r="I204" s="17">
        <f>ROUND(VLOOKUP(H$187&amp;"_2",管理者用人口入力シート!BH:CE,J204,FALSE),0)</f>
        <v>221</v>
      </c>
      <c r="J204" s="2">
        <v>19</v>
      </c>
      <c r="N204" s="2" t="s">
        <v>15</v>
      </c>
      <c r="O204" s="17">
        <f>ROUND(VLOOKUP(O$187&amp;"_1",管理者用人口入力シート!CO:DL,Q204,FALSE),0)</f>
        <v>167</v>
      </c>
      <c r="P204" s="17">
        <f>ROUND(VLOOKUP(O$187&amp;"_2",管理者用人口入力シート!CO:DL,Q204,FALSE),0)</f>
        <v>221</v>
      </c>
      <c r="Q204" s="2">
        <v>19</v>
      </c>
    </row>
    <row r="205" spans="7:17" x14ac:dyDescent="0.15">
      <c r="G205" s="2" t="s">
        <v>16</v>
      </c>
      <c r="H205" s="17">
        <f>ROUND(VLOOKUP(H$187&amp;"_1",管理者用人口入力シート!BH:CE,J205,FALSE),0)</f>
        <v>126</v>
      </c>
      <c r="I205" s="17">
        <f>ROUND(VLOOKUP(H$187&amp;"_2",管理者用人口入力シート!BH:CE,J205,FALSE),0)</f>
        <v>191</v>
      </c>
      <c r="J205" s="2">
        <v>20</v>
      </c>
      <c r="N205" s="2" t="s">
        <v>16</v>
      </c>
      <c r="O205" s="17">
        <f>ROUND(VLOOKUP(O$187&amp;"_1",管理者用人口入力シート!CO:DL,Q205,FALSE),0)</f>
        <v>126</v>
      </c>
      <c r="P205" s="17">
        <f>ROUND(VLOOKUP(O$187&amp;"_2",管理者用人口入力シート!CO:DL,Q205,FALSE),0)</f>
        <v>191</v>
      </c>
      <c r="Q205" s="2">
        <v>20</v>
      </c>
    </row>
    <row r="206" spans="7:17" x14ac:dyDescent="0.15">
      <c r="G206" s="2" t="s">
        <v>17</v>
      </c>
      <c r="H206" s="17">
        <f>ROUND(VLOOKUP(H$187&amp;"_1",管理者用人口入力シート!BH:CE,J206,FALSE),0)</f>
        <v>94</v>
      </c>
      <c r="I206" s="17">
        <f>ROUND(VLOOKUP(H$187&amp;"_2",管理者用人口入力シート!BH:CE,J206,FALSE),0)</f>
        <v>164</v>
      </c>
      <c r="J206" s="2">
        <v>21</v>
      </c>
      <c r="N206" s="2" t="s">
        <v>17</v>
      </c>
      <c r="O206" s="17">
        <f>ROUND(VLOOKUP(O$187&amp;"_1",管理者用人口入力シート!CO:DL,Q206,FALSE),0)</f>
        <v>94</v>
      </c>
      <c r="P206" s="17">
        <f>ROUND(VLOOKUP(O$187&amp;"_2",管理者用人口入力シート!CO:DL,Q206,FALSE),0)</f>
        <v>164</v>
      </c>
      <c r="Q206" s="2">
        <v>21</v>
      </c>
    </row>
    <row r="207" spans="7:17" x14ac:dyDescent="0.15">
      <c r="G207" s="2" t="s">
        <v>18</v>
      </c>
      <c r="H207" s="17">
        <f>ROUND(VLOOKUP(H$187&amp;"_1",管理者用人口入力シート!BH:CE,J207,FALSE),0)</f>
        <v>61</v>
      </c>
      <c r="I207" s="17">
        <f>ROUND(VLOOKUP(H$187&amp;"_2",管理者用人口入力シート!BH:CE,J207,FALSE),0)</f>
        <v>120</v>
      </c>
      <c r="J207" s="2">
        <v>22</v>
      </c>
      <c r="N207" s="2" t="s">
        <v>18</v>
      </c>
      <c r="O207" s="17">
        <f>ROUND(VLOOKUP(O$187&amp;"_1",管理者用人口入力シート!CO:DL,Q207,FALSE),0)</f>
        <v>61</v>
      </c>
      <c r="P207" s="17">
        <f>ROUND(VLOOKUP(O$187&amp;"_2",管理者用人口入力シート!CO:DL,Q207,FALSE),0)</f>
        <v>120</v>
      </c>
      <c r="Q207" s="2">
        <v>22</v>
      </c>
    </row>
    <row r="208" spans="7:17" x14ac:dyDescent="0.15">
      <c r="G208" s="2" t="s">
        <v>19</v>
      </c>
      <c r="H208" s="17">
        <f>ROUND(VLOOKUP(H$187&amp;"_1",管理者用人口入力シート!BH:CE,J208,FALSE),0)</f>
        <v>26</v>
      </c>
      <c r="I208" s="17">
        <f>ROUND(VLOOKUP(H$187&amp;"_2",管理者用人口入力シート!BH:CE,J208,FALSE),0)</f>
        <v>47</v>
      </c>
      <c r="J208" s="2">
        <v>23</v>
      </c>
      <c r="N208" s="2" t="s">
        <v>19</v>
      </c>
      <c r="O208" s="17">
        <f>ROUND(VLOOKUP(O$187&amp;"_1",管理者用人口入力シート!CO:DL,Q208,FALSE),0)</f>
        <v>26</v>
      </c>
      <c r="P208" s="17">
        <f>ROUND(VLOOKUP(O$187&amp;"_2",管理者用人口入力シート!CO:DL,Q208,FALSE),0)</f>
        <v>47</v>
      </c>
      <c r="Q208" s="2">
        <v>23</v>
      </c>
    </row>
    <row r="209" spans="7:17" x14ac:dyDescent="0.15">
      <c r="G209" s="2" t="s">
        <v>20</v>
      </c>
      <c r="H209" s="17">
        <f>ROUND(VLOOKUP(H$187&amp;"_1",管理者用人口入力シート!BH:CE,J209,FALSE),0)</f>
        <v>0</v>
      </c>
      <c r="I209" s="17">
        <f>ROUND(VLOOKUP(H$187&amp;"_2",管理者用人口入力シート!BH:CE,J209,FALSE),0)</f>
        <v>9</v>
      </c>
      <c r="J209" s="2">
        <v>24</v>
      </c>
      <c r="N209" s="2" t="s">
        <v>20</v>
      </c>
      <c r="O209" s="17">
        <f>ROUND(VLOOKUP(O$187&amp;"_1",管理者用人口入力シート!CO:DL,Q209,FALSE),0)</f>
        <v>0</v>
      </c>
      <c r="P209" s="17">
        <f>ROUND(VLOOKUP(O$187&amp;"_2",管理者用人口入力シート!CO:DL,Q209,FALSE),0)</f>
        <v>9</v>
      </c>
      <c r="Q209" s="2">
        <v>24</v>
      </c>
    </row>
    <row r="212" spans="7:17" x14ac:dyDescent="0.15">
      <c r="N212" s="2" t="s">
        <v>273</v>
      </c>
      <c r="O212" s="315">
        <f>O91</f>
        <v>2030</v>
      </c>
      <c r="P212" s="316"/>
      <c r="Q212" s="2" t="s">
        <v>114</v>
      </c>
    </row>
    <row r="213" spans="7:17" x14ac:dyDescent="0.15">
      <c r="N213" s="2" t="s">
        <v>115</v>
      </c>
      <c r="O213" s="78" t="s">
        <v>329</v>
      </c>
      <c r="P213" s="78" t="s">
        <v>330</v>
      </c>
    </row>
    <row r="214" spans="7:17" x14ac:dyDescent="0.15">
      <c r="N214" s="2" t="s">
        <v>0</v>
      </c>
      <c r="O214" s="17">
        <f>H93+I93</f>
        <v>177</v>
      </c>
      <c r="P214" s="17">
        <f>O93+P93</f>
        <v>181</v>
      </c>
      <c r="Q214" s="2">
        <v>4</v>
      </c>
    </row>
    <row r="215" spans="7:17" x14ac:dyDescent="0.15">
      <c r="N215" s="2" t="s">
        <v>1</v>
      </c>
      <c r="O215" s="17">
        <f t="shared" ref="O215:O233" si="37">H94+I94</f>
        <v>220</v>
      </c>
      <c r="P215" s="17">
        <f t="shared" ref="P215:P233" si="38">O94+P94</f>
        <v>222</v>
      </c>
      <c r="Q215" s="2">
        <v>5</v>
      </c>
    </row>
    <row r="216" spans="7:17" x14ac:dyDescent="0.15">
      <c r="N216" s="2" t="s">
        <v>2</v>
      </c>
      <c r="O216" s="17">
        <f t="shared" si="37"/>
        <v>267</v>
      </c>
      <c r="P216" s="17">
        <f t="shared" si="38"/>
        <v>269</v>
      </c>
      <c r="Q216" s="2">
        <v>6</v>
      </c>
    </row>
    <row r="217" spans="7:17" x14ac:dyDescent="0.15">
      <c r="N217" s="2" t="s">
        <v>3</v>
      </c>
      <c r="O217" s="17">
        <f t="shared" si="37"/>
        <v>255</v>
      </c>
      <c r="P217" s="17">
        <f t="shared" si="38"/>
        <v>257</v>
      </c>
      <c r="Q217" s="2">
        <v>7</v>
      </c>
    </row>
    <row r="218" spans="7:17" x14ac:dyDescent="0.15">
      <c r="N218" s="2" t="s">
        <v>4</v>
      </c>
      <c r="O218" s="17">
        <f t="shared" si="37"/>
        <v>178</v>
      </c>
      <c r="P218" s="17">
        <f t="shared" si="38"/>
        <v>178</v>
      </c>
      <c r="Q218" s="2">
        <v>8</v>
      </c>
    </row>
    <row r="219" spans="7:17" x14ac:dyDescent="0.15">
      <c r="N219" s="2" t="s">
        <v>5</v>
      </c>
      <c r="O219" s="17">
        <f t="shared" si="37"/>
        <v>188</v>
      </c>
      <c r="P219" s="17">
        <f t="shared" si="38"/>
        <v>192</v>
      </c>
      <c r="Q219" s="2">
        <v>9</v>
      </c>
    </row>
    <row r="220" spans="7:17" x14ac:dyDescent="0.15">
      <c r="N220" s="2" t="s">
        <v>6</v>
      </c>
      <c r="O220" s="17">
        <f t="shared" si="37"/>
        <v>218</v>
      </c>
      <c r="P220" s="17">
        <f t="shared" si="38"/>
        <v>222</v>
      </c>
      <c r="Q220" s="2">
        <v>10</v>
      </c>
    </row>
    <row r="221" spans="7:17" x14ac:dyDescent="0.15">
      <c r="N221" s="2" t="s">
        <v>7</v>
      </c>
      <c r="O221" s="17">
        <f t="shared" si="37"/>
        <v>247</v>
      </c>
      <c r="P221" s="17">
        <f t="shared" si="38"/>
        <v>247</v>
      </c>
      <c r="Q221" s="2">
        <v>11</v>
      </c>
    </row>
    <row r="222" spans="7:17" x14ac:dyDescent="0.15">
      <c r="N222" s="2" t="s">
        <v>8</v>
      </c>
      <c r="O222" s="17">
        <f t="shared" si="37"/>
        <v>328</v>
      </c>
      <c r="P222" s="17">
        <f t="shared" si="38"/>
        <v>329</v>
      </c>
      <c r="Q222" s="2">
        <v>12</v>
      </c>
    </row>
    <row r="223" spans="7:17" x14ac:dyDescent="0.15">
      <c r="N223" s="2" t="s">
        <v>9</v>
      </c>
      <c r="O223" s="17">
        <f t="shared" si="37"/>
        <v>386</v>
      </c>
      <c r="P223" s="17">
        <f t="shared" si="38"/>
        <v>387</v>
      </c>
      <c r="Q223" s="2">
        <v>13</v>
      </c>
    </row>
    <row r="224" spans="7:17" x14ac:dyDescent="0.15">
      <c r="N224" s="2" t="s">
        <v>10</v>
      </c>
      <c r="O224" s="17">
        <f t="shared" si="37"/>
        <v>425</v>
      </c>
      <c r="P224" s="17">
        <f t="shared" si="38"/>
        <v>425</v>
      </c>
      <c r="Q224" s="2">
        <v>14</v>
      </c>
    </row>
    <row r="225" spans="14:17" x14ac:dyDescent="0.15">
      <c r="N225" s="2" t="s">
        <v>11</v>
      </c>
      <c r="O225" s="17">
        <f t="shared" si="37"/>
        <v>466</v>
      </c>
      <c r="P225" s="17">
        <f t="shared" si="38"/>
        <v>466</v>
      </c>
      <c r="Q225" s="2">
        <v>15</v>
      </c>
    </row>
    <row r="226" spans="14:17" x14ac:dyDescent="0.15">
      <c r="N226" s="2" t="s">
        <v>12</v>
      </c>
      <c r="O226" s="17">
        <f t="shared" si="37"/>
        <v>428</v>
      </c>
      <c r="P226" s="17">
        <f t="shared" si="38"/>
        <v>428</v>
      </c>
      <c r="Q226" s="2">
        <v>16</v>
      </c>
    </row>
    <row r="227" spans="14:17" x14ac:dyDescent="0.15">
      <c r="N227" s="2" t="s">
        <v>13</v>
      </c>
      <c r="O227" s="17">
        <f t="shared" si="37"/>
        <v>443</v>
      </c>
      <c r="P227" s="17">
        <f t="shared" si="38"/>
        <v>443</v>
      </c>
      <c r="Q227" s="2">
        <v>17</v>
      </c>
    </row>
    <row r="228" spans="14:17" x14ac:dyDescent="0.15">
      <c r="N228" s="2" t="s">
        <v>14</v>
      </c>
      <c r="O228" s="17">
        <f t="shared" si="37"/>
        <v>569</v>
      </c>
      <c r="P228" s="17">
        <f t="shared" si="38"/>
        <v>569</v>
      </c>
      <c r="Q228" s="2">
        <v>18</v>
      </c>
    </row>
    <row r="229" spans="14:17" x14ac:dyDescent="0.15">
      <c r="N229" s="2" t="s">
        <v>15</v>
      </c>
      <c r="O229" s="17">
        <f t="shared" si="37"/>
        <v>558</v>
      </c>
      <c r="P229" s="17">
        <f t="shared" si="38"/>
        <v>558</v>
      </c>
      <c r="Q229" s="2">
        <v>19</v>
      </c>
    </row>
    <row r="230" spans="14:17" x14ac:dyDescent="0.15">
      <c r="N230" s="2" t="s">
        <v>16</v>
      </c>
      <c r="O230" s="17">
        <f t="shared" si="37"/>
        <v>517</v>
      </c>
      <c r="P230" s="17">
        <f t="shared" si="38"/>
        <v>517</v>
      </c>
      <c r="Q230" s="2">
        <v>20</v>
      </c>
    </row>
    <row r="231" spans="14:17" x14ac:dyDescent="0.15">
      <c r="N231" s="2" t="s">
        <v>17</v>
      </c>
      <c r="O231" s="17">
        <f t="shared" si="37"/>
        <v>284</v>
      </c>
      <c r="P231" s="17">
        <f t="shared" si="38"/>
        <v>284</v>
      </c>
      <c r="Q231" s="2">
        <v>21</v>
      </c>
    </row>
    <row r="232" spans="14:17" x14ac:dyDescent="0.15">
      <c r="N232" s="2" t="s">
        <v>18</v>
      </c>
      <c r="O232" s="17">
        <f t="shared" si="37"/>
        <v>148</v>
      </c>
      <c r="P232" s="17">
        <f t="shared" si="38"/>
        <v>148</v>
      </c>
      <c r="Q232" s="2">
        <v>22</v>
      </c>
    </row>
    <row r="233" spans="14:17" x14ac:dyDescent="0.15">
      <c r="N233" s="2" t="s">
        <v>19</v>
      </c>
      <c r="O233" s="17">
        <f t="shared" si="37"/>
        <v>55</v>
      </c>
      <c r="P233" s="17">
        <f t="shared" si="38"/>
        <v>55</v>
      </c>
      <c r="Q233" s="2">
        <v>23</v>
      </c>
    </row>
    <row r="234" spans="14:17" x14ac:dyDescent="0.15">
      <c r="N234" s="2" t="s">
        <v>20</v>
      </c>
      <c r="O234" s="17">
        <f>H113+I113</f>
        <v>6</v>
      </c>
      <c r="P234" s="17">
        <f>O113+P113</f>
        <v>6</v>
      </c>
      <c r="Q234" s="2">
        <v>24</v>
      </c>
    </row>
    <row r="236" spans="14:17" x14ac:dyDescent="0.15">
      <c r="N236" s="2" t="s">
        <v>273</v>
      </c>
      <c r="O236" s="315">
        <f>O139</f>
        <v>2040</v>
      </c>
      <c r="P236" s="316"/>
      <c r="Q236" s="2" t="s">
        <v>114</v>
      </c>
    </row>
    <row r="237" spans="14:17" x14ac:dyDescent="0.15">
      <c r="N237" s="2" t="s">
        <v>115</v>
      </c>
      <c r="O237" s="78" t="s">
        <v>329</v>
      </c>
      <c r="P237" s="78" t="s">
        <v>330</v>
      </c>
    </row>
    <row r="238" spans="14:17" x14ac:dyDescent="0.15">
      <c r="N238" s="2" t="s">
        <v>0</v>
      </c>
      <c r="O238" s="17">
        <f>H141+I141</f>
        <v>139</v>
      </c>
      <c r="P238" s="17">
        <f>O141+P141</f>
        <v>144</v>
      </c>
      <c r="Q238" s="2">
        <v>4</v>
      </c>
    </row>
    <row r="239" spans="14:17" x14ac:dyDescent="0.15">
      <c r="N239" s="2" t="s">
        <v>1</v>
      </c>
      <c r="O239" s="17">
        <f t="shared" ref="O239:O257" si="39">H142+I142</f>
        <v>162</v>
      </c>
      <c r="P239" s="17">
        <f t="shared" ref="P239:P257" si="40">O142+P142</f>
        <v>166</v>
      </c>
      <c r="Q239" s="2">
        <v>5</v>
      </c>
    </row>
    <row r="240" spans="14:17" x14ac:dyDescent="0.15">
      <c r="N240" s="2" t="s">
        <v>2</v>
      </c>
      <c r="O240" s="17">
        <f t="shared" si="39"/>
        <v>176</v>
      </c>
      <c r="P240" s="17">
        <f t="shared" si="40"/>
        <v>182</v>
      </c>
      <c r="Q240" s="2">
        <v>6</v>
      </c>
    </row>
    <row r="241" spans="14:17" x14ac:dyDescent="0.15">
      <c r="N241" s="2" t="s">
        <v>3</v>
      </c>
      <c r="O241" s="17">
        <f t="shared" si="39"/>
        <v>181</v>
      </c>
      <c r="P241" s="17">
        <f t="shared" si="40"/>
        <v>184</v>
      </c>
      <c r="Q241" s="2">
        <v>7</v>
      </c>
    </row>
    <row r="242" spans="14:17" x14ac:dyDescent="0.15">
      <c r="N242" s="2" t="s">
        <v>4</v>
      </c>
      <c r="O242" s="17">
        <f t="shared" si="39"/>
        <v>141</v>
      </c>
      <c r="P242" s="17">
        <f t="shared" si="40"/>
        <v>143</v>
      </c>
      <c r="Q242" s="2">
        <v>8</v>
      </c>
    </row>
    <row r="243" spans="14:17" x14ac:dyDescent="0.15">
      <c r="N243" s="2" t="s">
        <v>5</v>
      </c>
      <c r="O243" s="17">
        <f t="shared" si="39"/>
        <v>148</v>
      </c>
      <c r="P243" s="17">
        <f t="shared" si="40"/>
        <v>154</v>
      </c>
      <c r="Q243" s="2">
        <v>9</v>
      </c>
    </row>
    <row r="244" spans="14:17" x14ac:dyDescent="0.15">
      <c r="N244" s="2" t="s">
        <v>6</v>
      </c>
      <c r="O244" s="17">
        <f t="shared" si="39"/>
        <v>162</v>
      </c>
      <c r="P244" s="17">
        <f t="shared" si="40"/>
        <v>166</v>
      </c>
      <c r="Q244" s="2">
        <v>10</v>
      </c>
    </row>
    <row r="245" spans="14:17" x14ac:dyDescent="0.15">
      <c r="N245" s="2" t="s">
        <v>7</v>
      </c>
      <c r="O245" s="17">
        <f t="shared" si="39"/>
        <v>184</v>
      </c>
      <c r="P245" s="17">
        <f t="shared" si="40"/>
        <v>188</v>
      </c>
      <c r="Q245" s="2">
        <v>11</v>
      </c>
    </row>
    <row r="246" spans="14:17" x14ac:dyDescent="0.15">
      <c r="N246" s="2" t="s">
        <v>8</v>
      </c>
      <c r="O246" s="17">
        <f t="shared" si="39"/>
        <v>212</v>
      </c>
      <c r="P246" s="17">
        <f t="shared" si="40"/>
        <v>217</v>
      </c>
      <c r="Q246" s="2">
        <v>12</v>
      </c>
    </row>
    <row r="247" spans="14:17" x14ac:dyDescent="0.15">
      <c r="N247" s="2" t="s">
        <v>9</v>
      </c>
      <c r="O247" s="17">
        <f t="shared" si="39"/>
        <v>234</v>
      </c>
      <c r="P247" s="17">
        <f t="shared" si="40"/>
        <v>235</v>
      </c>
      <c r="Q247" s="2">
        <v>13</v>
      </c>
    </row>
    <row r="248" spans="14:17" x14ac:dyDescent="0.15">
      <c r="N248" s="2" t="s">
        <v>10</v>
      </c>
      <c r="O248" s="17">
        <f t="shared" si="39"/>
        <v>310</v>
      </c>
      <c r="P248" s="17">
        <f t="shared" si="40"/>
        <v>311</v>
      </c>
      <c r="Q248" s="2">
        <v>14</v>
      </c>
    </row>
    <row r="249" spans="14:17" x14ac:dyDescent="0.15">
      <c r="N249" s="2" t="s">
        <v>11</v>
      </c>
      <c r="O249" s="17">
        <f t="shared" si="39"/>
        <v>363</v>
      </c>
      <c r="P249" s="17">
        <f t="shared" si="40"/>
        <v>364</v>
      </c>
      <c r="Q249" s="2">
        <v>15</v>
      </c>
    </row>
    <row r="250" spans="14:17" x14ac:dyDescent="0.15">
      <c r="N250" s="2" t="s">
        <v>12</v>
      </c>
      <c r="O250" s="17">
        <f t="shared" si="39"/>
        <v>405</v>
      </c>
      <c r="P250" s="17">
        <f t="shared" si="40"/>
        <v>405</v>
      </c>
      <c r="Q250" s="2">
        <v>16</v>
      </c>
    </row>
    <row r="251" spans="14:17" x14ac:dyDescent="0.15">
      <c r="N251" s="2" t="s">
        <v>13</v>
      </c>
      <c r="O251" s="17">
        <f t="shared" si="39"/>
        <v>439</v>
      </c>
      <c r="P251" s="17">
        <f t="shared" si="40"/>
        <v>439</v>
      </c>
      <c r="Q251" s="2">
        <v>17</v>
      </c>
    </row>
    <row r="252" spans="14:17" x14ac:dyDescent="0.15">
      <c r="N252" s="2" t="s">
        <v>14</v>
      </c>
      <c r="O252" s="17">
        <f t="shared" si="39"/>
        <v>394</v>
      </c>
      <c r="P252" s="17">
        <f t="shared" si="40"/>
        <v>394</v>
      </c>
      <c r="Q252" s="2">
        <v>18</v>
      </c>
    </row>
    <row r="253" spans="14:17" x14ac:dyDescent="0.15">
      <c r="N253" s="2" t="s">
        <v>15</v>
      </c>
      <c r="O253" s="17">
        <f t="shared" si="39"/>
        <v>391</v>
      </c>
      <c r="P253" s="17">
        <f t="shared" si="40"/>
        <v>391</v>
      </c>
      <c r="Q253" s="2">
        <v>19</v>
      </c>
    </row>
    <row r="254" spans="14:17" x14ac:dyDescent="0.15">
      <c r="N254" s="2" t="s">
        <v>16</v>
      </c>
      <c r="O254" s="17">
        <f t="shared" si="39"/>
        <v>457</v>
      </c>
      <c r="P254" s="17">
        <f t="shared" si="40"/>
        <v>457</v>
      </c>
      <c r="Q254" s="2">
        <v>20</v>
      </c>
    </row>
    <row r="255" spans="14:17" x14ac:dyDescent="0.15">
      <c r="N255" s="2" t="s">
        <v>17</v>
      </c>
      <c r="O255" s="17">
        <f t="shared" si="39"/>
        <v>366</v>
      </c>
      <c r="P255" s="17">
        <f t="shared" si="40"/>
        <v>366</v>
      </c>
      <c r="Q255" s="2">
        <v>21</v>
      </c>
    </row>
    <row r="256" spans="14:17" x14ac:dyDescent="0.15">
      <c r="N256" s="2" t="s">
        <v>18</v>
      </c>
      <c r="O256" s="17">
        <f t="shared" si="39"/>
        <v>204</v>
      </c>
      <c r="P256" s="17">
        <f t="shared" si="40"/>
        <v>204</v>
      </c>
      <c r="Q256" s="2">
        <v>22</v>
      </c>
    </row>
    <row r="257" spans="14:17" x14ac:dyDescent="0.15">
      <c r="N257" s="2" t="s">
        <v>19</v>
      </c>
      <c r="O257" s="17">
        <f t="shared" si="39"/>
        <v>56</v>
      </c>
      <c r="P257" s="17">
        <f t="shared" si="40"/>
        <v>56</v>
      </c>
      <c r="Q257" s="2">
        <v>23</v>
      </c>
    </row>
    <row r="258" spans="14:17" x14ac:dyDescent="0.15">
      <c r="N258" s="2" t="s">
        <v>20</v>
      </c>
      <c r="O258" s="17">
        <f>H161+I161</f>
        <v>6</v>
      </c>
      <c r="P258" s="17">
        <f>O161+P161</f>
        <v>6</v>
      </c>
      <c r="Q258" s="2">
        <v>24</v>
      </c>
    </row>
  </sheetData>
  <mergeCells count="1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 ref="H163:I163"/>
    <mergeCell ref="H187:I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2019-03-18T11:55:35Z</cp:lastPrinted>
  <dcterms:created xsi:type="dcterms:W3CDTF">2018-08-17T00:57:13Z</dcterms:created>
  <dcterms:modified xsi:type="dcterms:W3CDTF">2023-03-06T07:50:51Z</dcterms:modified>
</cp:coreProperties>
</file>