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KdLFP/WR4LTkwgpEFuH/vuSvsno0n5c0kl66wd43uAY0uuz42uAmknVWA7HoRlM3hD5GGHZP7fwtmjKmSB9tVw==" workbookSaltValue="zgAzdMH5WA+THWdufVhHmg=="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W3" i="17"/>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T8" i="17" l="1"/>
  <c r="BS4" i="17" s="1"/>
  <c r="CZ4" i="17" s="1"/>
  <c r="DA7" i="17" s="1"/>
  <c r="AP8" i="17"/>
  <c r="BO4" i="17" s="1"/>
  <c r="ED4" i="17" s="1"/>
  <c r="AX8" i="17"/>
  <c r="BW4" i="17" s="1"/>
  <c r="BW5" i="17" s="1"/>
  <c r="AV8" i="17"/>
  <c r="BU4" i="17" s="1"/>
  <c r="EJ4" i="17" s="1"/>
  <c r="BB8" i="17"/>
  <c r="CA4" i="17" s="1"/>
  <c r="DH4" i="17" s="1"/>
  <c r="O14" i="18"/>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AO8" i="17"/>
  <c r="BN4" i="17" s="1"/>
  <c r="O38" i="18"/>
  <c r="A111" i="21" s="1"/>
  <c r="BE8" i="17"/>
  <c r="CD4" i="17" s="1"/>
  <c r="CD5" i="17" s="1"/>
  <c r="I60" i="18"/>
  <c r="P60" i="18" s="1"/>
  <c r="DK3" i="17"/>
  <c r="DL6" i="17" s="1"/>
  <c r="ES3" i="17"/>
  <c r="O53" i="18"/>
  <c r="O43" i="18"/>
  <c r="O25" i="18"/>
  <c r="O64" i="18"/>
  <c r="O56" i="18"/>
  <c r="O20" i="18"/>
  <c r="A77" i="21" s="1"/>
  <c r="EQ4" i="17"/>
  <c r="CY3" i="17"/>
  <c r="CZ6" i="17" s="1"/>
  <c r="CV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ER4" i="17"/>
  <c r="DA4" i="17"/>
  <c r="DB7" i="17" s="1"/>
  <c r="EI4" i="17"/>
  <c r="CW3" i="17"/>
  <c r="CX6" i="17" s="1"/>
  <c r="CU3" i="17"/>
  <c r="CV6" i="17" s="1"/>
  <c r="EC3" i="17"/>
  <c r="EC20" i="17" s="1"/>
  <c r="EQ3" i="17"/>
  <c r="EQ20" i="17" s="1"/>
  <c r="EN3" i="17"/>
  <c r="EN20" i="17" s="1"/>
  <c r="EP3" i="17"/>
  <c r="EP20" i="17" s="1"/>
  <c r="CT3" i="17"/>
  <c r="CU6" i="17" s="1"/>
  <c r="EB3" i="17"/>
  <c r="DD4" i="17"/>
  <c r="DB3" i="17"/>
  <c r="EJ3" i="17"/>
  <c r="EJ20" i="17" s="1"/>
  <c r="CS3" i="17"/>
  <c r="CT6" i="17" s="1"/>
  <c r="EA3" i="17"/>
  <c r="EA20" i="17" s="1"/>
  <c r="O35" i="18"/>
  <c r="O17" i="18"/>
  <c r="CT4"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CM3" i="17"/>
  <c r="DG3" i="17"/>
  <c r="CA6" i="17"/>
  <c r="CJ3" i="17"/>
  <c r="DF3" i="17"/>
  <c r="BZ6" i="17"/>
  <c r="DE3" i="17"/>
  <c r="BY6" i="17"/>
  <c r="CI3" i="17"/>
  <c r="DH3" i="17"/>
  <c r="CB6" i="17"/>
  <c r="BN6" i="17"/>
  <c r="BO5" i="17"/>
  <c r="BS5" i="17"/>
  <c r="BV6" i="17"/>
  <c r="BU7" i="17"/>
  <c r="BX6" i="17"/>
  <c r="BP6" i="17"/>
  <c r="BT6" i="17"/>
  <c r="O42" i="18"/>
  <c r="O60" i="18"/>
  <c r="O52" i="18"/>
  <c r="O24" i="18"/>
  <c r="O34" i="18"/>
  <c r="O16" i="18"/>
  <c r="CC5" i="17" l="1"/>
  <c r="EH4" i="17"/>
  <c r="DI7" i="17"/>
  <c r="DJ10" i="17" s="1"/>
  <c r="EP4" i="17"/>
  <c r="EQ7" i="17" s="1"/>
  <c r="BQ5" i="17"/>
  <c r="CA5" i="17"/>
  <c r="CJ5" i="17" s="1"/>
  <c r="BU5" i="17"/>
  <c r="DB4" i="17"/>
  <c r="P79" i="18" s="1"/>
  <c r="O75" i="18"/>
  <c r="BZ7" i="17"/>
  <c r="BZ8" i="17" s="1"/>
  <c r="EL4" i="17"/>
  <c r="EL21" i="17" s="1"/>
  <c r="EL22"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B20" i="17"/>
  <c r="EW20" i="17" s="1"/>
  <c r="EW3" i="17"/>
  <c r="ES7" i="17"/>
  <c r="ER21" i="17"/>
  <c r="ER22" i="17" s="1"/>
  <c r="ER7" i="17"/>
  <c r="EQ21" i="17"/>
  <c r="EQ22" i="17" s="1"/>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BV10" i="17"/>
  <c r="BW13" i="17" s="1"/>
  <c r="I79" i="18"/>
  <c r="BU10" i="17"/>
  <c r="BV13" i="17" s="1"/>
  <c r="I152" i="18" s="1"/>
  <c r="I78" i="18"/>
  <c r="BT10" i="17"/>
  <c r="BU13" i="17" s="1"/>
  <c r="I151" i="18" s="1"/>
  <c r="I77" i="18"/>
  <c r="I75" i="18"/>
  <c r="I81" i="18"/>
  <c r="I82" i="18"/>
  <c r="I86" i="18"/>
  <c r="I80" i="18"/>
  <c r="CE9" i="17"/>
  <c r="H137" i="18" s="1"/>
  <c r="H88" i="18"/>
  <c r="P87" i="18"/>
  <c r="DL5" i="17"/>
  <c r="DA9" i="17"/>
  <c r="DO3" i="17"/>
  <c r="DC6" i="17"/>
  <c r="DD5" i="17"/>
  <c r="DC10" i="17"/>
  <c r="EQ6" i="17"/>
  <c r="EQ23" i="17" s="1"/>
  <c r="EC7" i="17"/>
  <c r="ED5" i="17"/>
  <c r="EM6" i="17"/>
  <c r="EM23" i="17" s="1"/>
  <c r="EQ5" i="17"/>
  <c r="ER6" i="17"/>
  <c r="ER23" i="17" s="1"/>
  <c r="ER5" i="17"/>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U8" i="17"/>
  <c r="DH7" i="17" l="1"/>
  <c r="P85" i="18" s="1"/>
  <c r="CM5" i="17"/>
  <c r="EP5" i="17"/>
  <c r="EP21" i="17"/>
  <c r="EY21" i="17" s="1"/>
  <c r="DC7" i="17"/>
  <c r="P80" i="18" s="1"/>
  <c r="P84" i="18"/>
  <c r="CD10" i="17"/>
  <c r="CE13" i="17" s="1"/>
  <c r="EL5" i="17"/>
  <c r="I113" i="18"/>
  <c r="O234" i="18" s="1"/>
  <c r="BS10" i="17"/>
  <c r="BT13" i="17" s="1"/>
  <c r="I150" i="18" s="1"/>
  <c r="DK5" i="17"/>
  <c r="EV4" i="17"/>
  <c r="ET7" i="17"/>
  <c r="ET24" i="17" s="1"/>
  <c r="ET25" i="17"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I161" i="18"/>
  <c r="H161" i="18"/>
  <c r="I127" i="18"/>
  <c r="I145" i="18"/>
  <c r="K4" i="18"/>
  <c r="R4" i="18" s="1"/>
  <c r="I158" i="18"/>
  <c r="I124" i="18"/>
  <c r="H136" i="18"/>
  <c r="I133" i="18"/>
  <c r="I122" i="18"/>
  <c r="H128" i="18"/>
  <c r="H124" i="18"/>
  <c r="H153" i="18"/>
  <c r="I126" i="18"/>
  <c r="I128" i="18"/>
  <c r="I107" i="18"/>
  <c r="I131" i="18"/>
  <c r="I134" i="18"/>
  <c r="I129" i="18"/>
  <c r="H149" i="18"/>
  <c r="I146" i="18"/>
  <c r="I13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S22" i="17"/>
  <c r="EY23" i="17"/>
  <c r="ES10" i="17"/>
  <c r="ER24" i="17"/>
  <c r="ER25" i="17" s="1"/>
  <c r="EL10" i="17"/>
  <c r="EK24" i="17"/>
  <c r="EK25" i="17" s="1"/>
  <c r="EW23" i="17"/>
  <c r="EK10" i="17"/>
  <c r="EJ24" i="17"/>
  <c r="EJ25" i="17" s="1"/>
  <c r="EM25" i="17"/>
  <c r="EX23"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I102" i="18"/>
  <c r="O84" i="18"/>
  <c r="I112" i="18"/>
  <c r="CA16" i="17"/>
  <c r="I108" i="18"/>
  <c r="BW16" i="17"/>
  <c r="I104" i="18"/>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DQ7"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O247" i="18" s="1"/>
  <c r="BT11" i="17"/>
  <c r="BU12" i="17"/>
  <c r="H151" i="18" s="1"/>
  <c r="O248" i="18" s="1"/>
  <c r="CE14" i="17"/>
  <c r="BR12" i="17"/>
  <c r="H148" i="18" s="1"/>
  <c r="DE9" i="17"/>
  <c r="O130" i="18" s="1"/>
  <c r="DD8" i="17"/>
  <c r="DP7" i="17"/>
  <c r="BU11" i="17"/>
  <c r="BV12" i="17"/>
  <c r="H152" i="18" s="1"/>
  <c r="O249" i="18" s="1"/>
  <c r="CD11" i="17" l="1"/>
  <c r="EP22" i="17"/>
  <c r="DC8" i="17"/>
  <c r="DD10" i="17"/>
  <c r="P129" i="18" s="1"/>
  <c r="EO8" i="17"/>
  <c r="BS11" i="17"/>
  <c r="I125" i="18"/>
  <c r="BU16" i="17"/>
  <c r="BV19" i="17" s="1"/>
  <c r="I200" i="18" s="1"/>
  <c r="DQ5" i="17"/>
  <c r="O257" i="18"/>
  <c r="I135" i="18"/>
  <c r="DP5" i="17"/>
  <c r="ET8" i="17"/>
  <c r="EY8" i="17" s="1"/>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O258"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DE13" i="17" l="1"/>
  <c r="DE14" i="17" s="1"/>
  <c r="I45" i="18"/>
  <c r="P250" i="18"/>
  <c r="P226" i="18"/>
  <c r="EX8" i="17"/>
  <c r="DB16" i="17"/>
  <c r="DC19" i="17" s="1"/>
  <c r="P200" i="18" s="1"/>
  <c r="P249" i="18"/>
  <c r="CL4" i="17"/>
  <c r="CK5" i="17"/>
  <c r="BL8" i="17"/>
  <c r="CG8" i="17" s="1"/>
  <c r="I18" i="18" s="1"/>
  <c r="P224" i="18"/>
  <c r="EC11" i="17"/>
  <c r="P248" i="18"/>
  <c r="EP13" i="17"/>
  <c r="EP30" i="17" s="1"/>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P45" i="18"/>
  <c r="BU20" i="17"/>
  <c r="H199" i="18"/>
  <c r="C104" i="19"/>
  <c r="I44" i="18"/>
  <c r="P44" i="18" s="1"/>
  <c r="I36" i="18"/>
  <c r="CJ19" i="17"/>
  <c r="I205" i="18"/>
  <c r="CC18" i="17"/>
  <c r="H182" i="18"/>
  <c r="CD17" i="17"/>
  <c r="H184" i="18"/>
  <c r="BW17" i="17"/>
  <c r="H177" i="18"/>
  <c r="H173" i="18"/>
  <c r="BR17" i="17"/>
  <c r="H172" i="18"/>
  <c r="I9" i="18"/>
  <c r="P9" i="18" s="1"/>
  <c r="H94" i="18"/>
  <c r="O215" i="18" s="1"/>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H142" i="18" l="1"/>
  <c r="DF16" i="17"/>
  <c r="P154" i="18"/>
  <c r="P251" i="18" s="1"/>
  <c r="DC20" i="17"/>
  <c r="DB17" i="17"/>
  <c r="P175" i="18"/>
  <c r="EY30" i="17"/>
  <c r="CF8" i="17"/>
  <c r="CL8" i="17" s="1"/>
  <c r="EP14" i="17"/>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BK13" i="17"/>
  <c r="DL17" i="17"/>
  <c r="O185" i="18"/>
  <c r="DQ16" i="17"/>
  <c r="DP16" i="17"/>
  <c r="DI20" i="17"/>
  <c r="O206" i="18"/>
  <c r="Q46" i="18"/>
  <c r="C113" i="21" s="1"/>
  <c r="K7" i="18"/>
  <c r="R7" i="18" s="1"/>
  <c r="Q7" i="18"/>
  <c r="DK19" i="17"/>
  <c r="P208" i="18" s="1"/>
  <c r="P183" i="18"/>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CK8" i="17" l="1"/>
  <c r="P179" i="18"/>
  <c r="DG19" i="17"/>
  <c r="DQ19" i="17" s="1"/>
  <c r="DF17" i="17"/>
  <c r="Q38" i="18"/>
  <c r="C112" i="21" s="1"/>
  <c r="DW8" i="17"/>
  <c r="DW10" i="17"/>
  <c r="DW16" i="17" s="1"/>
  <c r="CF12" i="17"/>
  <c r="CK12" i="17" s="1"/>
  <c r="DW7" i="17"/>
  <c r="DN8" i="17"/>
  <c r="Q18" i="18" s="1"/>
  <c r="EY14" i="17"/>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CG13" i="17"/>
  <c r="DK20" i="17"/>
  <c r="O208" i="18"/>
  <c r="DL20" i="17"/>
  <c r="O209" i="18"/>
  <c r="DJ20" i="17"/>
  <c r="O207" i="18"/>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CL12" i="17"/>
  <c r="DO13" i="17"/>
  <c r="DR9" i="17"/>
  <c r="DS9" i="17"/>
  <c r="CU14" i="17"/>
  <c r="CH14" i="17"/>
  <c r="I28" i="18" s="1"/>
  <c r="DP19" i="17" l="1"/>
  <c r="DW9" i="17"/>
  <c r="DW17" i="17" s="1"/>
  <c r="DX1" i="17" s="1"/>
  <c r="C37" i="21" s="1"/>
  <c r="EF4" i="17"/>
  <c r="EF21" i="17" s="1"/>
  <c r="EG4" i="17"/>
  <c r="EE3" i="17"/>
  <c r="EG3" i="17"/>
  <c r="EF3" i="17"/>
  <c r="EE4" i="17"/>
  <c r="DX18" i="17"/>
  <c r="P204" i="18"/>
  <c r="DG20" i="17"/>
  <c r="DP20"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S12" i="17"/>
  <c r="DO14" i="17"/>
  <c r="Q28" i="18" s="1"/>
  <c r="F79" i="21" s="1"/>
  <c r="DM14" i="17"/>
  <c r="DR11" i="17"/>
  <c r="DS11" i="17"/>
  <c r="EE7" i="17" l="1"/>
  <c r="EE24" i="17" s="1"/>
  <c r="EE13" i="17"/>
  <c r="EE30" i="17" s="1"/>
  <c r="EE6" i="17"/>
  <c r="EF9" i="17" s="1"/>
  <c r="EE12" i="17"/>
  <c r="EE14" i="17" s="1"/>
  <c r="EE9" i="17"/>
  <c r="EF12" i="17" s="1"/>
  <c r="EF29" i="17" s="1"/>
  <c r="EE10" i="17"/>
  <c r="EG6" i="17"/>
  <c r="EF5" i="17"/>
  <c r="EF20" i="17"/>
  <c r="EF22" i="17" s="1"/>
  <c r="EF6" i="17"/>
  <c r="EU3" i="17"/>
  <c r="EE5" i="17"/>
  <c r="EE20" i="17"/>
  <c r="FB3" i="17"/>
  <c r="EE23" i="17"/>
  <c r="EE25" i="17" s="1"/>
  <c r="EE8" i="17"/>
  <c r="DQ20" i="17"/>
  <c r="EF14" i="17"/>
  <c r="EE21" i="17"/>
  <c r="FB4" i="17"/>
  <c r="EU4" i="17"/>
  <c r="EH6" i="17"/>
  <c r="EG5" i="17"/>
  <c r="EG20" i="17"/>
  <c r="EG21" i="17"/>
  <c r="EH7" i="17"/>
  <c r="EG7" i="17"/>
  <c r="EF10" i="17"/>
  <c r="EE26" i="17"/>
  <c r="EE11" i="17"/>
  <c r="EF13" i="17"/>
  <c r="EE27" i="17"/>
  <c r="D38" i="21"/>
  <c r="D39" i="21"/>
  <c r="D37" i="21"/>
  <c r="C38" i="21"/>
  <c r="C39" i="21"/>
  <c r="EF7"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H20" i="17" l="1"/>
  <c r="EG12" i="17"/>
  <c r="EG29" i="17" s="1"/>
  <c r="EF26" i="17"/>
  <c r="EE28" i="17"/>
  <c r="EE29" i="17"/>
  <c r="EF8" i="17"/>
  <c r="FB7" i="17"/>
  <c r="EG10" i="17"/>
  <c r="EF24" i="17"/>
  <c r="EF23" i="17"/>
  <c r="EG9" i="17"/>
  <c r="FA4" i="17"/>
  <c r="EZ4" i="17"/>
  <c r="FB6" i="17"/>
  <c r="EU20" i="17"/>
  <c r="EE22" i="17"/>
  <c r="FB20" i="17"/>
  <c r="EI10" i="17"/>
  <c r="EH24" i="17"/>
  <c r="EG13" i="17"/>
  <c r="EF27" i="17"/>
  <c r="EF28" i="17" s="1"/>
  <c r="EF11" i="17"/>
  <c r="EG22" i="17"/>
  <c r="EU5" i="17"/>
  <c r="FB5" i="17"/>
  <c r="EI9" i="17"/>
  <c r="EH23" i="17"/>
  <c r="EH8" i="17"/>
  <c r="EF30" i="17"/>
  <c r="EF31" i="17" s="1"/>
  <c r="FB13" i="17"/>
  <c r="EG8" i="17"/>
  <c r="FB8" i="17" s="1"/>
  <c r="EH10" i="17"/>
  <c r="EG24" i="17"/>
  <c r="FB21" i="17"/>
  <c r="EU21" i="17"/>
  <c r="EZ3" i="17"/>
  <c r="FA3" i="17"/>
  <c r="EG23" i="17"/>
  <c r="FB23" i="17" s="1"/>
  <c r="EH9"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E31" i="17" l="1"/>
  <c r="FB29" i="17"/>
  <c r="FB12" i="17"/>
  <c r="DZ13" i="17"/>
  <c r="DZ30" i="17" s="1"/>
  <c r="DZ12" i="17"/>
  <c r="EI11" i="17"/>
  <c r="EJ12" i="17"/>
  <c r="EI26" i="17"/>
  <c r="EJ13" i="17"/>
  <c r="EJ30" i="17" s="1"/>
  <c r="EI27" i="17"/>
  <c r="EG26" i="17"/>
  <c r="FB26" i="17" s="1"/>
  <c r="EH12" i="17"/>
  <c r="FB9" i="17"/>
  <c r="EG11" i="17"/>
  <c r="FB11" i="17" s="1"/>
  <c r="FB10" i="17"/>
  <c r="EH13" i="17"/>
  <c r="EH30" i="17" s="1"/>
  <c r="EG27" i="17"/>
  <c r="EH26" i="17"/>
  <c r="EI12" i="17"/>
  <c r="EH11" i="17"/>
  <c r="EZ21" i="17"/>
  <c r="FA21" i="17"/>
  <c r="EH25" i="17"/>
  <c r="FA20" i="17"/>
  <c r="EZ20" i="17"/>
  <c r="EF25" i="17"/>
  <c r="FB24" i="17"/>
  <c r="EG25" i="17"/>
  <c r="DZ7" i="17"/>
  <c r="DZ6" i="17"/>
  <c r="FB27" i="17"/>
  <c r="EH27" i="17"/>
  <c r="EI13" i="17"/>
  <c r="EI30" i="17" s="1"/>
  <c r="EZ5" i="17"/>
  <c r="FA5" i="17"/>
  <c r="EG30" i="17"/>
  <c r="EG14" i="17"/>
  <c r="FB14" i="17" s="1"/>
  <c r="FB22" i="17"/>
  <c r="EU22" i="17"/>
  <c r="D11" i="19"/>
  <c r="CK18" i="17"/>
  <c r="DS20" i="17"/>
  <c r="DS18" i="17"/>
  <c r="CK19" i="17"/>
  <c r="CL19" i="17"/>
  <c r="CF20" i="17"/>
  <c r="FB25" i="17" l="1"/>
  <c r="EH28" i="17"/>
  <c r="EI29" i="17"/>
  <c r="EI31" i="17" s="1"/>
  <c r="EI14" i="17"/>
  <c r="DZ23" i="17"/>
  <c r="EA9" i="17"/>
  <c r="EU6" i="17"/>
  <c r="DZ8" i="17"/>
  <c r="EU8" i="17" s="1"/>
  <c r="DZ24" i="17"/>
  <c r="EU24" i="17" s="1"/>
  <c r="EA10" i="17"/>
  <c r="EU7" i="17"/>
  <c r="EG28" i="17"/>
  <c r="FB28" i="17" s="1"/>
  <c r="DZ29" i="17"/>
  <c r="DZ31" i="17" s="1"/>
  <c r="DZ14" i="17"/>
  <c r="FA22" i="17"/>
  <c r="EZ22" i="17"/>
  <c r="H36" i="21"/>
  <c r="DZ10" i="17"/>
  <c r="DZ9" i="17"/>
  <c r="EJ14" i="17"/>
  <c r="EJ29" i="17"/>
  <c r="EJ31" i="17" s="1"/>
  <c r="FB30" i="17"/>
  <c r="EG31" i="17"/>
  <c r="FB31" i="17" s="1"/>
  <c r="EH29" i="17"/>
  <c r="EH31" i="17" s="1"/>
  <c r="EH14" i="17"/>
  <c r="EI28" i="17"/>
  <c r="CK20" i="17"/>
  <c r="CL20" i="17"/>
  <c r="FA24" i="17" l="1"/>
  <c r="EZ24" i="17"/>
  <c r="EU9" i="17"/>
  <c r="EB12" i="17"/>
  <c r="EA26" i="17"/>
  <c r="EV9" i="17"/>
  <c r="EA11" i="17"/>
  <c r="EV11" i="17" s="1"/>
  <c r="EU23" i="17"/>
  <c r="DZ25" i="17"/>
  <c r="EU25" i="17" s="1"/>
  <c r="EA12" i="17"/>
  <c r="DZ26" i="17"/>
  <c r="DZ11" i="17"/>
  <c r="EZ7" i="17"/>
  <c r="FA7" i="17"/>
  <c r="EZ8" i="17"/>
  <c r="FA8" i="17"/>
  <c r="DZ27" i="17"/>
  <c r="EA13" i="17"/>
  <c r="EU10" i="17"/>
  <c r="EV10" i="17"/>
  <c r="EA27" i="17"/>
  <c r="EV27" i="17" s="1"/>
  <c r="EB13" i="17"/>
  <c r="EZ6" i="17"/>
  <c r="FA6" i="17"/>
  <c r="EU27" i="17" l="1"/>
  <c r="FA25" i="17"/>
  <c r="EZ25" i="17"/>
  <c r="H37" i="21"/>
  <c r="EA28" i="17"/>
  <c r="EV28" i="17" s="1"/>
  <c r="EV26" i="17"/>
  <c r="EU11" i="17"/>
  <c r="EZ23" i="17"/>
  <c r="FA23" i="17"/>
  <c r="EW12" i="17"/>
  <c r="EB14" i="17"/>
  <c r="EW14" i="17" s="1"/>
  <c r="EB29" i="17"/>
  <c r="EZ10" i="17"/>
  <c r="FA10" i="17"/>
  <c r="DZ28" i="17"/>
  <c r="EU28" i="17" s="1"/>
  <c r="EU26" i="17"/>
  <c r="EZ9" i="17"/>
  <c r="FA9" i="17"/>
  <c r="EV13" i="17"/>
  <c r="EB30" i="17"/>
  <c r="EW30" i="17" s="1"/>
  <c r="EW13" i="17"/>
  <c r="EA30" i="17"/>
  <c r="EU13" i="17"/>
  <c r="EA29" i="17"/>
  <c r="EA14" i="17"/>
  <c r="EU12" i="17"/>
  <c r="EV12" i="17"/>
  <c r="FA13" i="17" l="1"/>
  <c r="EZ13" i="17"/>
  <c r="FA28" i="17"/>
  <c r="EZ28" i="17"/>
  <c r="H38" i="21"/>
  <c r="EZ11" i="17"/>
  <c r="FA11" i="17"/>
  <c r="EZ12" i="17"/>
  <c r="FA12" i="17"/>
  <c r="EV30" i="17"/>
  <c r="EU30" i="17"/>
  <c r="EV14" i="17"/>
  <c r="EU14" i="17"/>
  <c r="EZ27" i="17"/>
  <c r="FA27" i="17"/>
  <c r="EA31" i="17"/>
  <c r="EU29" i="17"/>
  <c r="EV29" i="17"/>
  <c r="EZ26" i="17"/>
  <c r="FA26" i="17"/>
  <c r="EB31" i="17"/>
  <c r="EW31" i="17" s="1"/>
  <c r="EW29" i="17"/>
  <c r="EZ30" i="17" l="1"/>
  <c r="FA30" i="17"/>
  <c r="EZ29" i="17"/>
  <c r="FA29" i="17"/>
  <c r="EZ14" i="17"/>
  <c r="FA14" i="17"/>
  <c r="EV31" i="17"/>
  <c r="EU31" i="17"/>
  <c r="FA31" i="17" l="1"/>
  <c r="H39" i="21"/>
  <c r="EZ31" i="17"/>
</calcChain>
</file>

<file path=xl/sharedStrings.xml><?xml version="1.0" encoding="utf-8"?>
<sst xmlns="http://schemas.openxmlformats.org/spreadsheetml/2006/main" count="1345" uniqueCount="435">
  <si>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</si>
  <si>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</si>
  <si>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</si>
  <si>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</si>
  <si>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</si>
  <si>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</si>
  <si>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</si>
  <si>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</si>
  <si>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</si>
  <si>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</si>
  <si>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</si>
  <si>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</si>
  <si>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</si>
  <si>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</si>
  <si>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</si>
  <si>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</si>
  <si>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</si>
  <si>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</si>
  <si>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</si>
  <si>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</si>
  <si>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</si>
  <si>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</si>
  <si>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</si>
  <si>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</si>
  <si>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</si>
  <si>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</si>
  <si>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</si>
  <si>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</si>
  <si>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</si>
  <si>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</si>
  <si>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</si>
  <si>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</si>
  <si>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</si>
  <si>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</si>
  <si>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</si>
  <si>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</si>
  <si>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</si>
  <si>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</si>
  <si>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</si>
  <si>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</si>
  <si>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</si>
  <si>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</si>
  <si>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</si>
  <si>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</si>
  <si>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</si>
  <si>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</si>
  <si>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</si>
  <si>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</si>
  <si>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</si>
  <si>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</si>
  <si>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</si>
  <si>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</si>
  <si>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</si>
  <si>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</si>
  <si>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</si>
  <si>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</si>
  <si>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</si>
  <si>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</si>
  <si>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</si>
  <si>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</si>
  <si>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</si>
  <si>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</si>
  <si>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</si>
  <si>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</si>
  <si>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</si>
  <si>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</si>
  <si>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</si>
  <si>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</si>
  <si>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</si>
  <si>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</si>
  <si>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</si>
  <si>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</si>
  <si>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</si>
  <si>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</si>
  <si>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</si>
  <si>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</si>
  <si>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</si>
  <si>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</si>
  <si>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</si>
  <si>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</si>
  <si>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</si>
  <si>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</si>
  <si>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</si>
  <si>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</si>
  <si>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</si>
  <si>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</si>
  <si>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</si>
  <si>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</si>
  <si>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</si>
  <si>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</si>
  <si>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</si>
  <si>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</si>
  <si>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</si>
  <si>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</si>
  <si>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</si>
  <si>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</si>
  <si>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</si>
  <si>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</si>
  <si>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</si>
  <si>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</si>
  <si>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</si>
  <si>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</si>
  <si>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</si>
  <si>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</si>
  <si>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</si>
  <si>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</si>
  <si>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</si>
  <si>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</si>
  <si>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</si>
  <si>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</si>
  <si>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</si>
  <si>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</si>
  <si>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</si>
  <si>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</si>
  <si>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</si>
  <si>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</si>
  <si>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</si>
  <si>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</si>
  <si>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</si>
  <si>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</si>
  <si>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</si>
  <si>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</si>
  <si>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</si>
  <si>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</si>
  <si>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</si>
  <si>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</si>
  <si>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</si>
  <si>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</si>
  <si>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</si>
  <si>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</si>
  <si>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</si>
  <si>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</si>
  <si>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</si>
  <si>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</si>
  <si>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</si>
  <si>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</si>
  <si>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</si>
  <si>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</si>
  <si>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</si>
  <si>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</si>
  <si>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</si>
  <si>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</si>
  <si>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</si>
  <si>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</si>
  <si>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</si>
  <si>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</si>
  <si>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</si>
  <si>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</si>
  <si>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</si>
  <si>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</si>
  <si>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</si>
  <si>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</si>
  <si>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</si>
  <si>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</si>
  <si>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</si>
  <si>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</si>
  <si>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</si>
  <si>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</si>
  <si>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</si>
  <si>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</si>
  <si>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</si>
  <si>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</si>
  <si>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</si>
  <si>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</si>
  <si>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</si>
  <si>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</si>
  <si>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</si>
  <si>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</si>
  <si>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</si>
  <si>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</si>
  <si>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</si>
  <si>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</si>
  <si>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</si>
  <si>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</si>
  <si>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</si>
  <si>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</si>
  <si>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</si>
  <si>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</si>
  <si>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</si>
  <si>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</si>
  <si>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</si>
  <si>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</si>
  <si>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</si>
  <si>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</si>
  <si>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</si>
  <si>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</si>
  <si>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</si>
  <si>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</si>
  <si>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</si>
  <si>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</si>
  <si>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</si>
  <si>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</si>
  <si>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</si>
  <si>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</si>
  <si>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</si>
  <si>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</si>
  <si>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</si>
  <si>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</si>
  <si>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</si>
  <si>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</si>
  <si>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</si>
  <si>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</si>
  <si>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</si>
  <si>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</si>
  <si>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</si>
  <si>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</si>
  <si>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</si>
  <si>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</si>
  <si>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</si>
  <si>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</si>
  <si>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</si>
  <si>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</si>
  <si>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</si>
  <si>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</si>
  <si>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</si>
  <si>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</si>
  <si>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</si>
  <si>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</si>
  <si>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</si>
  <si>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</si>
  <si>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</si>
  <si>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</si>
  <si>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</si>
  <si>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</si>
  <si>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</si>
  <si>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</si>
  <si>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</si>
  <si>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</si>
  <si>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</si>
  <si>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</si>
  <si>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</si>
  <si>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</si>
  <si>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</si>
  <si>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</si>
  <si>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</si>
  <si>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</si>
  <si>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</si>
  <si>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</si>
  <si>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</si>
  <si>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</si>
  <si>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</si>
  <si>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</si>
  <si>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</si>
  <si>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</si>
  <si>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</si>
  <si>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</si>
  <si>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</si>
  <si>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</si>
  <si>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</si>
  <si>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</si>
  <si>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</si>
  <si>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</si>
  <si>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</si>
  <si>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</si>
  <si>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</si>
  <si>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</si>
  <si>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</si>
  <si>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</si>
  <si>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</si>
  <si>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</si>
  <si>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</si>
  <si>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</si>
  <si>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</si>
  <si>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</si>
  <si>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</si>
  <si>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</si>
  <si>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</si>
  <si>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</si>
  <si>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</si>
  <si>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</si>
  <si>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</si>
  <si>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</si>
  <si>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</si>
  <si>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</si>
  <si>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</si>
  <si>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</si>
  <si>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</si>
  <si>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</si>
  <si>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</si>
  <si>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</si>
  <si>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</si>
  <si>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</si>
  <si>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</si>
  <si>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</si>
  <si>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</si>
  <si>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</si>
  <si>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</si>
  <si>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</si>
  <si>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</si>
  <si>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</si>
  <si>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</si>
  <si>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</si>
  <si>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</si>
  <si>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</si>
  <si>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</si>
  <si>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</si>
  <si>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</si>
  <si>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</si>
  <si>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</si>
  <si>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</si>
  <si>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</si>
  <si>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</si>
  <si>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</si>
  <si>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</si>
  <si>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</si>
  <si>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</si>
  <si>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</si>
  <si>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</si>
  <si>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</si>
  <si>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</si>
  <si>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</si>
  <si>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</si>
  <si>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</si>
  <si>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</si>
  <si>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</si>
  <si>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</si>
  <si>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</si>
  <si>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</si>
  <si>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</si>
  <si>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</si>
  <si>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</si>
  <si>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</si>
  <si>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</si>
  <si>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</si>
  <si>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</si>
  <si>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</si>
  <si>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</si>
  <si>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</si>
  <si>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</si>
  <si>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</si>
  <si>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</si>
  <si>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</si>
  <si>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</si>
  <si>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</si>
  <si>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</si>
  <si>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</si>
  <si>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</si>
  <si>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</si>
  <si>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</si>
  <si>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</si>
  <si>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</si>
  <si>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</si>
  <si>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</si>
  <si>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</si>
  <si>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</si>
  <si>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</si>
  <si>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</si>
  <si>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</si>
  <si>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</si>
  <si>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</si>
  <si>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</si>
  <si>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</si>
  <si>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</si>
  <si>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</si>
  <si>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</si>
  <si>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</si>
  <si>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</si>
  <si>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</si>
  <si>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</si>
  <si>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</si>
  <si>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</si>
  <si>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</si>
  <si>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</si>
  <si>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</si>
  <si>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</si>
  <si>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</si>
  <si>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</si>
  <si>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</si>
  <si>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</si>
  <si>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</si>
  <si>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</si>
  <si>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</si>
  <si>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</si>
  <si>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</si>
  <si>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</si>
  <si>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</si>
  <si>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</si>
  <si>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</si>
  <si>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</si>
  <si>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</si>
  <si>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</si>
  <si>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</si>
  <si>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</si>
  <si>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</si>
  <si>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</si>
  <si>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</si>
  <si>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</si>
  <si>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</si>
  <si>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</si>
  <si>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</si>
  <si>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</si>
  <si>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</si>
  <si>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</si>
  <si>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</si>
  <si>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</si>
  <si>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</si>
  <si>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</si>
  <si>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</si>
  <si>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</si>
  <si>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</si>
  <si>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</si>
  <si>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</si>
  <si>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</si>
  <si>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</si>
  <si>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</si>
  <si>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</si>
  <si>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</si>
  <si>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</si>
  <si>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</si>
  <si>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</si>
  <si>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</si>
  <si>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</si>
  <si>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</si>
  <si>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</si>
  <si>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</si>
  <si>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</si>
  <si>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</si>
  <si>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</si>
  <si>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</si>
  <si>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</si>
  <si>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</si>
  <si>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</si>
  <si>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</si>
  <si>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</si>
  <si>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</si>
  <si>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</si>
  <si>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</si>
  <si>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</si>
  <si>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</si>
  <si>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45401_1</t>
  </si>
  <si>
    <t>高鍋町</t>
    <rPh sb="0" eb="2">
      <t>タカナベ</t>
    </rPh>
    <rPh sb="2" eb="3">
      <t>チョウ</t>
    </rPh>
    <phoneticPr fontId="1"/>
  </si>
  <si>
    <t>高鍋東中学校区</t>
  </si>
  <si>
    <t>45401_2</t>
  </si>
  <si>
    <t>高鍋西中学校区</t>
  </si>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</sst>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576</c:v>
                </c:pt>
                <c:pt idx="1">
                  <c:v>505</c:v>
                </c:pt>
                <c:pt idx="2">
                  <c:v>531</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96841712"/>
        <c:axId val="96843280"/>
      </c:barChart>
      <c:catAx>
        <c:axId val="968417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96843280"/>
        <c:crosses val="autoZero"/>
        <c:auto val="1"/>
        <c:lblAlgn val="ctr"/>
        <c:lblOffset val="100"/>
        <c:noMultiLvlLbl val="0"/>
      </c:catAx>
      <c:valAx>
        <c:axId val="9684328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968417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305</c:v>
                </c:pt>
                <c:pt idx="1">
                  <c:v>262</c:v>
                </c:pt>
                <c:pt idx="2">
                  <c:v>261</c:v>
                </c:pt>
                <c:pt idx="3">
                  <c:v>258</c:v>
                </c:pt>
                <c:pt idx="4">
                  <c:v>224</c:v>
                </c:pt>
                <c:pt idx="5">
                  <c:v>187</c:v>
                </c:pt>
                <c:pt idx="6">
                  <c:v>162</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177298520"/>
        <c:axId val="177298912"/>
      </c:barChart>
      <c:catAx>
        <c:axId val="1772985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77298912"/>
        <c:crosses val="autoZero"/>
        <c:auto val="1"/>
        <c:lblAlgn val="ctr"/>
        <c:lblOffset val="100"/>
        <c:noMultiLvlLbl val="0"/>
      </c:catAx>
      <c:valAx>
        <c:axId val="1772989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772985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0.25</c:v>
                </c:pt>
                <c:pt idx="1">
                  <c:v>0.3</c:v>
                </c:pt>
                <c:pt idx="2">
                  <c:v>0.33</c:v>
                </c:pt>
                <c:pt idx="3">
                  <c:v>0.34</c:v>
                </c:pt>
                <c:pt idx="4">
                  <c:v>0.35</c:v>
                </c:pt>
                <c:pt idx="5">
                  <c:v>0.36</c:v>
                </c:pt>
                <c:pt idx="6">
                  <c:v>0.37</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62411104"/>
        <c:axId val="462412280"/>
      </c:barChart>
      <c:catAx>
        <c:axId val="4624111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12280"/>
        <c:crosses val="autoZero"/>
        <c:auto val="1"/>
        <c:lblAlgn val="ctr"/>
        <c:lblOffset val="100"/>
        <c:noMultiLvlLbl val="0"/>
      </c:catAx>
      <c:valAx>
        <c:axId val="4624122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1110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0.13</c:v>
                </c:pt>
                <c:pt idx="1">
                  <c:v>0.14000000000000001</c:v>
                </c:pt>
                <c:pt idx="2">
                  <c:v>0.16</c:v>
                </c:pt>
                <c:pt idx="3">
                  <c:v>0.2</c:v>
                </c:pt>
                <c:pt idx="4">
                  <c:v>0.22</c:v>
                </c:pt>
                <c:pt idx="5">
                  <c:v>0.22</c:v>
                </c:pt>
                <c:pt idx="6">
                  <c:v>0.22</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62413064"/>
        <c:axId val="462412672"/>
      </c:barChart>
      <c:catAx>
        <c:axId val="4624130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12672"/>
        <c:crosses val="autoZero"/>
        <c:auto val="1"/>
        <c:lblAlgn val="ctr"/>
        <c:lblOffset val="100"/>
        <c:noMultiLvlLbl val="0"/>
      </c:catAx>
      <c:valAx>
        <c:axId val="4624126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1306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1643966506721085"/>
          <c:y val="2.1489274572511333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20"/>
              <c:layout>
                <c:manualLayout>
                  <c:x val="-3.670775911432337E-2"/>
                  <c:y val="-3.2380394596226115E-5"/>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C77-43AD-950C-2C384B19EF9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146</c:v>
                </c:pt>
                <c:pt idx="1">
                  <c:v>166</c:v>
                </c:pt>
                <c:pt idx="2">
                  <c:v>191</c:v>
                </c:pt>
                <c:pt idx="3">
                  <c:v>209</c:v>
                </c:pt>
                <c:pt idx="4">
                  <c:v>174</c:v>
                </c:pt>
                <c:pt idx="5">
                  <c:v>179</c:v>
                </c:pt>
                <c:pt idx="6">
                  <c:v>206</c:v>
                </c:pt>
                <c:pt idx="7">
                  <c:v>213</c:v>
                </c:pt>
                <c:pt idx="8">
                  <c:v>234</c:v>
                </c:pt>
                <c:pt idx="9">
                  <c:v>247</c:v>
                </c:pt>
                <c:pt idx="10">
                  <c:v>315</c:v>
                </c:pt>
                <c:pt idx="11">
                  <c:v>290</c:v>
                </c:pt>
                <c:pt idx="12">
                  <c:v>250</c:v>
                </c:pt>
                <c:pt idx="13">
                  <c:v>263</c:v>
                </c:pt>
                <c:pt idx="14">
                  <c:v>275</c:v>
                </c:pt>
                <c:pt idx="15">
                  <c:v>298</c:v>
                </c:pt>
                <c:pt idx="16">
                  <c:v>249</c:v>
                </c:pt>
                <c:pt idx="17">
                  <c:v>129</c:v>
                </c:pt>
                <c:pt idx="18">
                  <c:v>52</c:v>
                </c:pt>
                <c:pt idx="19">
                  <c:v>14</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62409928"/>
        <c:axId val="462410320"/>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131</c:v>
                </c:pt>
                <c:pt idx="1">
                  <c:v>137</c:v>
                </c:pt>
                <c:pt idx="2">
                  <c:v>162</c:v>
                </c:pt>
                <c:pt idx="3">
                  <c:v>202</c:v>
                </c:pt>
                <c:pt idx="4">
                  <c:v>156</c:v>
                </c:pt>
                <c:pt idx="5">
                  <c:v>147</c:v>
                </c:pt>
                <c:pt idx="6">
                  <c:v>155</c:v>
                </c:pt>
                <c:pt idx="7">
                  <c:v>184</c:v>
                </c:pt>
                <c:pt idx="8">
                  <c:v>226</c:v>
                </c:pt>
                <c:pt idx="9">
                  <c:v>262</c:v>
                </c:pt>
                <c:pt idx="10">
                  <c:v>325</c:v>
                </c:pt>
                <c:pt idx="11">
                  <c:v>308</c:v>
                </c:pt>
                <c:pt idx="12">
                  <c:v>294</c:v>
                </c:pt>
                <c:pt idx="13">
                  <c:v>282</c:v>
                </c:pt>
                <c:pt idx="14">
                  <c:v>318</c:v>
                </c:pt>
                <c:pt idx="15">
                  <c:v>346</c:v>
                </c:pt>
                <c:pt idx="16">
                  <c:v>358</c:v>
                </c:pt>
                <c:pt idx="17">
                  <c:v>217</c:v>
                </c:pt>
                <c:pt idx="18">
                  <c:v>123</c:v>
                </c:pt>
                <c:pt idx="19">
                  <c:v>39</c:v>
                </c:pt>
                <c:pt idx="20">
                  <c:v>9</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62857520"/>
        <c:axId val="462410712"/>
      </c:barChart>
      <c:catAx>
        <c:axId val="4624099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10320"/>
        <c:crosses val="autoZero"/>
        <c:auto val="1"/>
        <c:lblAlgn val="ctr"/>
        <c:lblOffset val="100"/>
        <c:noMultiLvlLbl val="0"/>
      </c:catAx>
      <c:valAx>
        <c:axId val="462410320"/>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09928"/>
        <c:crosses val="autoZero"/>
        <c:crossBetween val="between"/>
        <c:majorUnit val="500"/>
      </c:valAx>
      <c:valAx>
        <c:axId val="462410712"/>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857520"/>
        <c:crosses val="max"/>
        <c:crossBetween val="between"/>
        <c:majorUnit val="500"/>
      </c:valAx>
      <c:catAx>
        <c:axId val="462857520"/>
        <c:scaling>
          <c:orientation val="minMax"/>
        </c:scaling>
        <c:delete val="1"/>
        <c:axPos val="l"/>
        <c:numFmt formatCode="General" sourceLinked="1"/>
        <c:majorTickMark val="out"/>
        <c:minorTickMark val="none"/>
        <c:tickLblPos val="nextTo"/>
        <c:crossAx val="46241071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20"/>
              <c:layout>
                <c:manualLayout>
                  <c:x val="1.3479540259047861E-3"/>
                  <c:y val="-3.29862234008149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849-4BFC-B218-35C4DE37E10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125</c:v>
                </c:pt>
                <c:pt idx="1">
                  <c:v>137</c:v>
                </c:pt>
                <c:pt idx="2">
                  <c:v>142</c:v>
                </c:pt>
                <c:pt idx="3">
                  <c:v>154</c:v>
                </c:pt>
                <c:pt idx="4">
                  <c:v>147</c:v>
                </c:pt>
                <c:pt idx="5">
                  <c:v>178</c:v>
                </c:pt>
                <c:pt idx="6">
                  <c:v>178</c:v>
                </c:pt>
                <c:pt idx="7">
                  <c:v>179</c:v>
                </c:pt>
                <c:pt idx="8">
                  <c:v>203</c:v>
                </c:pt>
                <c:pt idx="9">
                  <c:v>197</c:v>
                </c:pt>
                <c:pt idx="10">
                  <c:v>220</c:v>
                </c:pt>
                <c:pt idx="11">
                  <c:v>237</c:v>
                </c:pt>
                <c:pt idx="12">
                  <c:v>304</c:v>
                </c:pt>
                <c:pt idx="13">
                  <c:v>277</c:v>
                </c:pt>
                <c:pt idx="14">
                  <c:v>226</c:v>
                </c:pt>
                <c:pt idx="15">
                  <c:v>216</c:v>
                </c:pt>
                <c:pt idx="16">
                  <c:v>178</c:v>
                </c:pt>
                <c:pt idx="17">
                  <c:v>141</c:v>
                </c:pt>
                <c:pt idx="18">
                  <c:v>84</c:v>
                </c:pt>
                <c:pt idx="19">
                  <c:v>13</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62858304"/>
        <c:axId val="462855168"/>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113</c:v>
                </c:pt>
                <c:pt idx="1">
                  <c:v>113</c:v>
                </c:pt>
                <c:pt idx="2">
                  <c:v>121</c:v>
                </c:pt>
                <c:pt idx="3">
                  <c:v>131</c:v>
                </c:pt>
                <c:pt idx="4">
                  <c:v>115</c:v>
                </c:pt>
                <c:pt idx="5">
                  <c:v>148</c:v>
                </c:pt>
                <c:pt idx="6">
                  <c:v>144</c:v>
                </c:pt>
                <c:pt idx="7">
                  <c:v>145</c:v>
                </c:pt>
                <c:pt idx="8">
                  <c:v>150</c:v>
                </c:pt>
                <c:pt idx="9">
                  <c:v>174</c:v>
                </c:pt>
                <c:pt idx="10">
                  <c:v>231</c:v>
                </c:pt>
                <c:pt idx="11">
                  <c:v>253</c:v>
                </c:pt>
                <c:pt idx="12">
                  <c:v>315</c:v>
                </c:pt>
                <c:pt idx="13">
                  <c:v>308</c:v>
                </c:pt>
                <c:pt idx="14">
                  <c:v>277</c:v>
                </c:pt>
                <c:pt idx="15">
                  <c:v>249</c:v>
                </c:pt>
                <c:pt idx="16">
                  <c:v>262</c:v>
                </c:pt>
                <c:pt idx="17">
                  <c:v>233</c:v>
                </c:pt>
                <c:pt idx="18">
                  <c:v>165</c:v>
                </c:pt>
                <c:pt idx="19">
                  <c:v>40</c:v>
                </c:pt>
                <c:pt idx="20">
                  <c:v>9</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62855560"/>
        <c:axId val="462856344"/>
      </c:barChart>
      <c:catAx>
        <c:axId val="46285830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855168"/>
        <c:crosses val="autoZero"/>
        <c:auto val="1"/>
        <c:lblAlgn val="ctr"/>
        <c:lblOffset val="100"/>
        <c:noMultiLvlLbl val="0"/>
      </c:catAx>
      <c:valAx>
        <c:axId val="462855168"/>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858304"/>
        <c:crosses val="autoZero"/>
        <c:crossBetween val="between"/>
        <c:majorUnit val="500"/>
      </c:valAx>
      <c:valAx>
        <c:axId val="462856344"/>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855560"/>
        <c:crosses val="max"/>
        <c:crossBetween val="between"/>
        <c:majorUnit val="500"/>
      </c:valAx>
      <c:catAx>
        <c:axId val="462855560"/>
        <c:scaling>
          <c:orientation val="minMax"/>
        </c:scaling>
        <c:delete val="1"/>
        <c:axPos val="l"/>
        <c:numFmt formatCode="General" sourceLinked="1"/>
        <c:majorTickMark val="out"/>
        <c:minorTickMark val="none"/>
        <c:tickLblPos val="nextTo"/>
        <c:crossAx val="4628563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10371</c:v>
                </c:pt>
                <c:pt idx="1">
                  <c:v>10048</c:v>
                </c:pt>
                <c:pt idx="2">
                  <c:v>9629</c:v>
                </c:pt>
                <c:pt idx="3">
                  <c:v>9096</c:v>
                </c:pt>
                <c:pt idx="4">
                  <c:v>8481</c:v>
                </c:pt>
                <c:pt idx="5">
                  <c:v>7856</c:v>
                </c:pt>
                <c:pt idx="6">
                  <c:v>7232</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F934-4874-977A-B68E9AF16561}"/>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934-4874-977A-B68E9AF16561}"/>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F934-4874-977A-B68E9AF16561}"/>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934-4874-977A-B68E9AF165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9105</c:v>
                </c:pt>
                <c:pt idx="4" formatCode="#,##0_);[Red]\(#,##0\)">
                  <c:v>8500</c:v>
                </c:pt>
                <c:pt idx="5" formatCode="#,##0_);[Red]\(#,##0\)">
                  <c:v>7888</c:v>
                </c:pt>
                <c:pt idx="6" formatCode="#,##0_);[Red]\(#,##0\)">
                  <c:v>7273</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62857128"/>
        <c:axId val="462858696"/>
      </c:barChart>
      <c:catAx>
        <c:axId val="4628571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858696"/>
        <c:crosses val="autoZero"/>
        <c:auto val="1"/>
        <c:lblAlgn val="ctr"/>
        <c:lblOffset val="100"/>
        <c:noMultiLvlLbl val="0"/>
      </c:catAx>
      <c:valAx>
        <c:axId val="4628586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857128"/>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576</c:v>
                </c:pt>
                <c:pt idx="1">
                  <c:v>505</c:v>
                </c:pt>
                <c:pt idx="2">
                  <c:v>531</c:v>
                </c:pt>
                <c:pt idx="3">
                  <c:v>475</c:v>
                </c:pt>
                <c:pt idx="4">
                  <c:v>394</c:v>
                </c:pt>
                <c:pt idx="5">
                  <c:v>339</c:v>
                </c:pt>
                <c:pt idx="6">
                  <c:v>308</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476</c:v>
                </c:pt>
                <c:pt idx="4">
                  <c:v>397</c:v>
                </c:pt>
                <c:pt idx="5">
                  <c:v>344</c:v>
                </c:pt>
                <c:pt idx="6">
                  <c:v>314</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62723392"/>
        <c:axId val="462724960"/>
      </c:barChart>
      <c:catAx>
        <c:axId val="4627233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24960"/>
        <c:crosses val="autoZero"/>
        <c:auto val="1"/>
        <c:lblAlgn val="ctr"/>
        <c:lblOffset val="100"/>
        <c:noMultiLvlLbl val="0"/>
      </c:catAx>
      <c:valAx>
        <c:axId val="4627249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23392"/>
        <c:crosses val="autoZero"/>
        <c:crossBetween val="between"/>
      </c:valAx>
      <c:spPr>
        <a:noFill/>
        <a:ln>
          <a:noFill/>
        </a:ln>
        <a:effectLst/>
      </c:spPr>
    </c:plotArea>
    <c:legend>
      <c:legendPos val="t"/>
      <c:layout>
        <c:manualLayout>
          <c:xMode val="edge"/>
          <c:yMode val="edge"/>
          <c:x val="5.7385836743297169E-2"/>
          <c:y val="0.10654252804081556"/>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0.25</c:v>
                </c:pt>
                <c:pt idx="1">
                  <c:v>0.3</c:v>
                </c:pt>
                <c:pt idx="2">
                  <c:v>0.33</c:v>
                </c:pt>
                <c:pt idx="3">
                  <c:v>0.34</c:v>
                </c:pt>
                <c:pt idx="4">
                  <c:v>0.35</c:v>
                </c:pt>
                <c:pt idx="5">
                  <c:v>0.36</c:v>
                </c:pt>
                <c:pt idx="6">
                  <c:v>0.37</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EB78-4D31-B3EC-9C7E86A5E311}"/>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EB78-4D31-B3EC-9C7E86A5E311}"/>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EB78-4D31-B3EC-9C7E86A5E311}"/>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EB78-4D31-B3EC-9C7E86A5E31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0.34</c:v>
                </c:pt>
                <c:pt idx="4" formatCode="0%">
                  <c:v>0.35</c:v>
                </c:pt>
                <c:pt idx="5" formatCode="0%">
                  <c:v>0.35</c:v>
                </c:pt>
                <c:pt idx="6" formatCode="0%">
                  <c:v>0.37</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62723784"/>
        <c:axId val="462725352"/>
      </c:barChart>
      <c:catAx>
        <c:axId val="4627237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25352"/>
        <c:crosses val="autoZero"/>
        <c:auto val="1"/>
        <c:lblAlgn val="ctr"/>
        <c:lblOffset val="100"/>
        <c:noMultiLvlLbl val="0"/>
      </c:catAx>
      <c:valAx>
        <c:axId val="4627253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2378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0.13</c:v>
                </c:pt>
                <c:pt idx="1">
                  <c:v>0.14000000000000001</c:v>
                </c:pt>
                <c:pt idx="2">
                  <c:v>0.16</c:v>
                </c:pt>
                <c:pt idx="3">
                  <c:v>0.2</c:v>
                </c:pt>
                <c:pt idx="4">
                  <c:v>0.22</c:v>
                </c:pt>
                <c:pt idx="5">
                  <c:v>0.22</c:v>
                </c:pt>
                <c:pt idx="6">
                  <c:v>0.22</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188F-49A8-B3D9-A2CEA0F0B9C3}"/>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188F-49A8-B3D9-A2CEA0F0B9C3}"/>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188F-49A8-B3D9-A2CEA0F0B9C3}"/>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188F-49A8-B3D9-A2CEA0F0B9C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c:v>
                </c:pt>
                <c:pt idx="4" formatCode="0%">
                  <c:v>0.22</c:v>
                </c:pt>
                <c:pt idx="5" formatCode="0%">
                  <c:v>0.22</c:v>
                </c:pt>
                <c:pt idx="6" formatCode="0%">
                  <c:v>0.22</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62724176"/>
        <c:axId val="462724568"/>
      </c:barChart>
      <c:catAx>
        <c:axId val="4627241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24568"/>
        <c:crosses val="autoZero"/>
        <c:auto val="1"/>
        <c:lblAlgn val="ctr"/>
        <c:lblOffset val="100"/>
        <c:noMultiLvlLbl val="0"/>
      </c:catAx>
      <c:valAx>
        <c:axId val="4627245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2417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305</c:v>
                </c:pt>
                <c:pt idx="1">
                  <c:v>262</c:v>
                </c:pt>
                <c:pt idx="2">
                  <c:v>261</c:v>
                </c:pt>
                <c:pt idx="3">
                  <c:v>258</c:v>
                </c:pt>
                <c:pt idx="4">
                  <c:v>224</c:v>
                </c:pt>
                <c:pt idx="5">
                  <c:v>187</c:v>
                </c:pt>
                <c:pt idx="6">
                  <c:v>162</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259</c:v>
                </c:pt>
                <c:pt idx="4">
                  <c:v>225</c:v>
                </c:pt>
                <c:pt idx="5">
                  <c:v>189</c:v>
                </c:pt>
                <c:pt idx="6">
                  <c:v>165</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62723000"/>
        <c:axId val="394265480"/>
      </c:barChart>
      <c:catAx>
        <c:axId val="4627230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265480"/>
        <c:crosses val="autoZero"/>
        <c:auto val="1"/>
        <c:lblAlgn val="ctr"/>
        <c:lblOffset val="100"/>
        <c:noMultiLvlLbl val="0"/>
      </c:catAx>
      <c:valAx>
        <c:axId val="39426548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23000"/>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305</c:v>
                </c:pt>
                <c:pt idx="1">
                  <c:v>262</c:v>
                </c:pt>
                <c:pt idx="2">
                  <c:v>261</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96842888"/>
        <c:axId val="177297736"/>
      </c:barChart>
      <c:catAx>
        <c:axId val="968428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77297736"/>
        <c:crosses val="autoZero"/>
        <c:auto val="1"/>
        <c:lblAlgn val="ctr"/>
        <c:lblOffset val="100"/>
        <c:noMultiLvlLbl val="0"/>
      </c:catAx>
      <c:valAx>
        <c:axId val="17729773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968428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20"/>
              <c:layout>
                <c:manualLayout>
                  <c:x val="-3.6288199021818325E-2"/>
                  <c:y val="-1.2709136789074717E-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62D-4285-9F8A-A028A2F9F41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147</c:v>
                </c:pt>
                <c:pt idx="1">
                  <c:v>167</c:v>
                </c:pt>
                <c:pt idx="2">
                  <c:v>192</c:v>
                </c:pt>
                <c:pt idx="3">
                  <c:v>210</c:v>
                </c:pt>
                <c:pt idx="4">
                  <c:v>174</c:v>
                </c:pt>
                <c:pt idx="5">
                  <c:v>181</c:v>
                </c:pt>
                <c:pt idx="6">
                  <c:v>208</c:v>
                </c:pt>
                <c:pt idx="7">
                  <c:v>213</c:v>
                </c:pt>
                <c:pt idx="8">
                  <c:v>234</c:v>
                </c:pt>
                <c:pt idx="9">
                  <c:v>247</c:v>
                </c:pt>
                <c:pt idx="10">
                  <c:v>315</c:v>
                </c:pt>
                <c:pt idx="11">
                  <c:v>290</c:v>
                </c:pt>
                <c:pt idx="12">
                  <c:v>250</c:v>
                </c:pt>
                <c:pt idx="13">
                  <c:v>263</c:v>
                </c:pt>
                <c:pt idx="14">
                  <c:v>275</c:v>
                </c:pt>
                <c:pt idx="15">
                  <c:v>298</c:v>
                </c:pt>
                <c:pt idx="16">
                  <c:v>249</c:v>
                </c:pt>
                <c:pt idx="17">
                  <c:v>129</c:v>
                </c:pt>
                <c:pt idx="18">
                  <c:v>52</c:v>
                </c:pt>
                <c:pt idx="19">
                  <c:v>14</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394264696"/>
        <c:axId val="394262344"/>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133</c:v>
                </c:pt>
                <c:pt idx="1">
                  <c:v>138</c:v>
                </c:pt>
                <c:pt idx="2">
                  <c:v>163</c:v>
                </c:pt>
                <c:pt idx="3">
                  <c:v>203</c:v>
                </c:pt>
                <c:pt idx="4">
                  <c:v>156</c:v>
                </c:pt>
                <c:pt idx="5">
                  <c:v>149</c:v>
                </c:pt>
                <c:pt idx="6">
                  <c:v>157</c:v>
                </c:pt>
                <c:pt idx="7">
                  <c:v>184</c:v>
                </c:pt>
                <c:pt idx="8">
                  <c:v>227</c:v>
                </c:pt>
                <c:pt idx="9">
                  <c:v>263</c:v>
                </c:pt>
                <c:pt idx="10">
                  <c:v>325</c:v>
                </c:pt>
                <c:pt idx="11">
                  <c:v>308</c:v>
                </c:pt>
                <c:pt idx="12">
                  <c:v>294</c:v>
                </c:pt>
                <c:pt idx="13">
                  <c:v>282</c:v>
                </c:pt>
                <c:pt idx="14">
                  <c:v>318</c:v>
                </c:pt>
                <c:pt idx="15">
                  <c:v>346</c:v>
                </c:pt>
                <c:pt idx="16">
                  <c:v>358</c:v>
                </c:pt>
                <c:pt idx="17">
                  <c:v>217</c:v>
                </c:pt>
                <c:pt idx="18">
                  <c:v>123</c:v>
                </c:pt>
                <c:pt idx="19">
                  <c:v>39</c:v>
                </c:pt>
                <c:pt idx="20">
                  <c:v>9</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394263128"/>
        <c:axId val="394264304"/>
      </c:barChart>
      <c:catAx>
        <c:axId val="3942646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262344"/>
        <c:crosses val="autoZero"/>
        <c:auto val="1"/>
        <c:lblAlgn val="ctr"/>
        <c:lblOffset val="100"/>
        <c:noMultiLvlLbl val="0"/>
      </c:catAx>
      <c:valAx>
        <c:axId val="394262344"/>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264696"/>
        <c:crosses val="autoZero"/>
        <c:crossBetween val="between"/>
        <c:majorUnit val="500"/>
      </c:valAx>
      <c:valAx>
        <c:axId val="394264304"/>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263128"/>
        <c:crosses val="max"/>
        <c:crossBetween val="between"/>
        <c:majorUnit val="500"/>
      </c:valAx>
      <c:catAx>
        <c:axId val="394263128"/>
        <c:scaling>
          <c:orientation val="minMax"/>
        </c:scaling>
        <c:delete val="1"/>
        <c:axPos val="l"/>
        <c:numFmt formatCode="General" sourceLinked="1"/>
        <c:majorTickMark val="out"/>
        <c:minorTickMark val="none"/>
        <c:tickLblPos val="nextTo"/>
        <c:crossAx val="39426430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20"/>
              <c:layout>
                <c:manualLayout>
                  <c:x val="-3.6288199021818325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99A-44EF-89B4-7898BF12D5E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128</c:v>
                </c:pt>
                <c:pt idx="1">
                  <c:v>139</c:v>
                </c:pt>
                <c:pt idx="2">
                  <c:v>145</c:v>
                </c:pt>
                <c:pt idx="3">
                  <c:v>156</c:v>
                </c:pt>
                <c:pt idx="4">
                  <c:v>148</c:v>
                </c:pt>
                <c:pt idx="5">
                  <c:v>180</c:v>
                </c:pt>
                <c:pt idx="6">
                  <c:v>180</c:v>
                </c:pt>
                <c:pt idx="7">
                  <c:v>181</c:v>
                </c:pt>
                <c:pt idx="8">
                  <c:v>205</c:v>
                </c:pt>
                <c:pt idx="9">
                  <c:v>197</c:v>
                </c:pt>
                <c:pt idx="10">
                  <c:v>220</c:v>
                </c:pt>
                <c:pt idx="11">
                  <c:v>237</c:v>
                </c:pt>
                <c:pt idx="12">
                  <c:v>304</c:v>
                </c:pt>
                <c:pt idx="13">
                  <c:v>277</c:v>
                </c:pt>
                <c:pt idx="14">
                  <c:v>226</c:v>
                </c:pt>
                <c:pt idx="15">
                  <c:v>216</c:v>
                </c:pt>
                <c:pt idx="16">
                  <c:v>178</c:v>
                </c:pt>
                <c:pt idx="17">
                  <c:v>141</c:v>
                </c:pt>
                <c:pt idx="18">
                  <c:v>84</c:v>
                </c:pt>
                <c:pt idx="19">
                  <c:v>13</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94263912"/>
        <c:axId val="394261952"/>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115</c:v>
                </c:pt>
                <c:pt idx="1">
                  <c:v>115</c:v>
                </c:pt>
                <c:pt idx="2">
                  <c:v>123</c:v>
                </c:pt>
                <c:pt idx="3">
                  <c:v>133</c:v>
                </c:pt>
                <c:pt idx="4">
                  <c:v>116</c:v>
                </c:pt>
                <c:pt idx="5">
                  <c:v>151</c:v>
                </c:pt>
                <c:pt idx="6">
                  <c:v>146</c:v>
                </c:pt>
                <c:pt idx="7">
                  <c:v>147</c:v>
                </c:pt>
                <c:pt idx="8">
                  <c:v>153</c:v>
                </c:pt>
                <c:pt idx="9">
                  <c:v>175</c:v>
                </c:pt>
                <c:pt idx="10">
                  <c:v>232</c:v>
                </c:pt>
                <c:pt idx="11">
                  <c:v>254</c:v>
                </c:pt>
                <c:pt idx="12">
                  <c:v>315</c:v>
                </c:pt>
                <c:pt idx="13">
                  <c:v>308</c:v>
                </c:pt>
                <c:pt idx="14">
                  <c:v>277</c:v>
                </c:pt>
                <c:pt idx="15">
                  <c:v>249</c:v>
                </c:pt>
                <c:pt idx="16">
                  <c:v>262</c:v>
                </c:pt>
                <c:pt idx="17">
                  <c:v>233</c:v>
                </c:pt>
                <c:pt idx="18">
                  <c:v>165</c:v>
                </c:pt>
                <c:pt idx="19">
                  <c:v>40</c:v>
                </c:pt>
                <c:pt idx="20">
                  <c:v>9</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94344288"/>
        <c:axId val="394265088"/>
      </c:barChart>
      <c:catAx>
        <c:axId val="3942639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261952"/>
        <c:crosses val="autoZero"/>
        <c:auto val="1"/>
        <c:lblAlgn val="ctr"/>
        <c:lblOffset val="100"/>
        <c:noMultiLvlLbl val="0"/>
      </c:catAx>
      <c:valAx>
        <c:axId val="394261952"/>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263912"/>
        <c:crosses val="autoZero"/>
        <c:crossBetween val="between"/>
        <c:majorUnit val="500"/>
      </c:valAx>
      <c:valAx>
        <c:axId val="394265088"/>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344288"/>
        <c:crosses val="max"/>
        <c:crossBetween val="between"/>
        <c:majorUnit val="500"/>
      </c:valAx>
      <c:catAx>
        <c:axId val="394344288"/>
        <c:scaling>
          <c:orientation val="minMax"/>
        </c:scaling>
        <c:delete val="1"/>
        <c:axPos val="l"/>
        <c:numFmt formatCode="General" sourceLinked="1"/>
        <c:majorTickMark val="out"/>
        <c:minorTickMark val="none"/>
        <c:tickLblPos val="nextTo"/>
        <c:crossAx val="39426508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277</c:v>
                </c:pt>
                <c:pt idx="1">
                  <c:v>303</c:v>
                </c:pt>
                <c:pt idx="2">
                  <c:v>353</c:v>
                </c:pt>
                <c:pt idx="3">
                  <c:v>411</c:v>
                </c:pt>
                <c:pt idx="4">
                  <c:v>330</c:v>
                </c:pt>
                <c:pt idx="5">
                  <c:v>326</c:v>
                </c:pt>
                <c:pt idx="6">
                  <c:v>361</c:v>
                </c:pt>
                <c:pt idx="7">
                  <c:v>397</c:v>
                </c:pt>
                <c:pt idx="8">
                  <c:v>460</c:v>
                </c:pt>
                <c:pt idx="9">
                  <c:v>509</c:v>
                </c:pt>
                <c:pt idx="10">
                  <c:v>640</c:v>
                </c:pt>
                <c:pt idx="11">
                  <c:v>598</c:v>
                </c:pt>
                <c:pt idx="12">
                  <c:v>544</c:v>
                </c:pt>
                <c:pt idx="13">
                  <c:v>545</c:v>
                </c:pt>
                <c:pt idx="14">
                  <c:v>593</c:v>
                </c:pt>
                <c:pt idx="15">
                  <c:v>644</c:v>
                </c:pt>
                <c:pt idx="16">
                  <c:v>607</c:v>
                </c:pt>
                <c:pt idx="17">
                  <c:v>346</c:v>
                </c:pt>
                <c:pt idx="18">
                  <c:v>175</c:v>
                </c:pt>
                <c:pt idx="19">
                  <c:v>53</c:v>
                </c:pt>
                <c:pt idx="20">
                  <c:v>9</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94346248"/>
        <c:axId val="394345856"/>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280</c:v>
                </c:pt>
                <c:pt idx="1">
                  <c:v>305</c:v>
                </c:pt>
                <c:pt idx="2">
                  <c:v>355</c:v>
                </c:pt>
                <c:pt idx="3">
                  <c:v>413</c:v>
                </c:pt>
                <c:pt idx="4">
                  <c:v>330</c:v>
                </c:pt>
                <c:pt idx="5">
                  <c:v>330</c:v>
                </c:pt>
                <c:pt idx="6">
                  <c:v>365</c:v>
                </c:pt>
                <c:pt idx="7">
                  <c:v>397</c:v>
                </c:pt>
                <c:pt idx="8">
                  <c:v>461</c:v>
                </c:pt>
                <c:pt idx="9">
                  <c:v>510</c:v>
                </c:pt>
                <c:pt idx="10">
                  <c:v>640</c:v>
                </c:pt>
                <c:pt idx="11">
                  <c:v>598</c:v>
                </c:pt>
                <c:pt idx="12">
                  <c:v>544</c:v>
                </c:pt>
                <c:pt idx="13">
                  <c:v>545</c:v>
                </c:pt>
                <c:pt idx="14">
                  <c:v>593</c:v>
                </c:pt>
                <c:pt idx="15">
                  <c:v>644</c:v>
                </c:pt>
                <c:pt idx="16">
                  <c:v>607</c:v>
                </c:pt>
                <c:pt idx="17">
                  <c:v>346</c:v>
                </c:pt>
                <c:pt idx="18">
                  <c:v>175</c:v>
                </c:pt>
                <c:pt idx="19">
                  <c:v>53</c:v>
                </c:pt>
                <c:pt idx="20">
                  <c:v>9</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94347032"/>
        <c:axId val="394345464"/>
      </c:barChart>
      <c:catAx>
        <c:axId val="39434624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345856"/>
        <c:crosses val="autoZero"/>
        <c:auto val="1"/>
        <c:lblAlgn val="ctr"/>
        <c:lblOffset val="100"/>
        <c:noMultiLvlLbl val="0"/>
      </c:catAx>
      <c:valAx>
        <c:axId val="394345856"/>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346248"/>
        <c:crosses val="autoZero"/>
        <c:crossBetween val="between"/>
        <c:majorUnit val="500"/>
      </c:valAx>
      <c:valAx>
        <c:axId val="394345464"/>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347032"/>
        <c:crosses val="max"/>
        <c:crossBetween val="between"/>
        <c:majorUnit val="500"/>
      </c:valAx>
      <c:catAx>
        <c:axId val="394347032"/>
        <c:scaling>
          <c:orientation val="minMax"/>
        </c:scaling>
        <c:delete val="1"/>
        <c:axPos val="l"/>
        <c:numFmt formatCode="General" sourceLinked="1"/>
        <c:majorTickMark val="out"/>
        <c:minorTickMark val="none"/>
        <c:tickLblPos val="nextTo"/>
        <c:crossAx val="394345464"/>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238</c:v>
                </c:pt>
                <c:pt idx="1">
                  <c:v>250</c:v>
                </c:pt>
                <c:pt idx="2">
                  <c:v>263</c:v>
                </c:pt>
                <c:pt idx="3">
                  <c:v>285</c:v>
                </c:pt>
                <c:pt idx="4">
                  <c:v>262</c:v>
                </c:pt>
                <c:pt idx="5">
                  <c:v>326</c:v>
                </c:pt>
                <c:pt idx="6">
                  <c:v>322</c:v>
                </c:pt>
                <c:pt idx="7">
                  <c:v>324</c:v>
                </c:pt>
                <c:pt idx="8">
                  <c:v>353</c:v>
                </c:pt>
                <c:pt idx="9">
                  <c:v>371</c:v>
                </c:pt>
                <c:pt idx="10">
                  <c:v>451</c:v>
                </c:pt>
                <c:pt idx="11">
                  <c:v>490</c:v>
                </c:pt>
                <c:pt idx="12">
                  <c:v>619</c:v>
                </c:pt>
                <c:pt idx="13">
                  <c:v>585</c:v>
                </c:pt>
                <c:pt idx="14">
                  <c:v>503</c:v>
                </c:pt>
                <c:pt idx="15">
                  <c:v>465</c:v>
                </c:pt>
                <c:pt idx="16">
                  <c:v>440</c:v>
                </c:pt>
                <c:pt idx="17">
                  <c:v>374</c:v>
                </c:pt>
                <c:pt idx="18">
                  <c:v>249</c:v>
                </c:pt>
                <c:pt idx="19">
                  <c:v>53</c:v>
                </c:pt>
                <c:pt idx="20">
                  <c:v>9</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94343896"/>
        <c:axId val="394345072"/>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243</c:v>
                </c:pt>
                <c:pt idx="1">
                  <c:v>254</c:v>
                </c:pt>
                <c:pt idx="2">
                  <c:v>268</c:v>
                </c:pt>
                <c:pt idx="3">
                  <c:v>289</c:v>
                </c:pt>
                <c:pt idx="4">
                  <c:v>264</c:v>
                </c:pt>
                <c:pt idx="5">
                  <c:v>331</c:v>
                </c:pt>
                <c:pt idx="6">
                  <c:v>326</c:v>
                </c:pt>
                <c:pt idx="7">
                  <c:v>328</c:v>
                </c:pt>
                <c:pt idx="8">
                  <c:v>358</c:v>
                </c:pt>
                <c:pt idx="9">
                  <c:v>372</c:v>
                </c:pt>
                <c:pt idx="10">
                  <c:v>452</c:v>
                </c:pt>
                <c:pt idx="11">
                  <c:v>491</c:v>
                </c:pt>
                <c:pt idx="12">
                  <c:v>619</c:v>
                </c:pt>
                <c:pt idx="13">
                  <c:v>585</c:v>
                </c:pt>
                <c:pt idx="14">
                  <c:v>503</c:v>
                </c:pt>
                <c:pt idx="15">
                  <c:v>465</c:v>
                </c:pt>
                <c:pt idx="16">
                  <c:v>440</c:v>
                </c:pt>
                <c:pt idx="17">
                  <c:v>374</c:v>
                </c:pt>
                <c:pt idx="18">
                  <c:v>249</c:v>
                </c:pt>
                <c:pt idx="19">
                  <c:v>53</c:v>
                </c:pt>
                <c:pt idx="20">
                  <c:v>9</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3212368"/>
        <c:axId val="394346640"/>
      </c:barChart>
      <c:catAx>
        <c:axId val="3943438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345072"/>
        <c:crosses val="autoZero"/>
        <c:auto val="1"/>
        <c:lblAlgn val="ctr"/>
        <c:lblOffset val="100"/>
        <c:noMultiLvlLbl val="0"/>
      </c:catAx>
      <c:valAx>
        <c:axId val="394345072"/>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343896"/>
        <c:crosses val="autoZero"/>
        <c:crossBetween val="between"/>
        <c:majorUnit val="500"/>
      </c:valAx>
      <c:valAx>
        <c:axId val="394346640"/>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212368"/>
        <c:crosses val="max"/>
        <c:crossBetween val="between"/>
        <c:majorUnit val="500"/>
      </c:valAx>
      <c:catAx>
        <c:axId val="463212368"/>
        <c:scaling>
          <c:orientation val="minMax"/>
        </c:scaling>
        <c:delete val="1"/>
        <c:axPos val="l"/>
        <c:numFmt formatCode="General" sourceLinked="1"/>
        <c:majorTickMark val="out"/>
        <c:minorTickMark val="none"/>
        <c:tickLblPos val="nextTo"/>
        <c:crossAx val="394346640"/>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高鍋町平均</c:v>
                </c:pt>
                <c:pt idx="2">
                  <c:v>高鍋東中学校区</c:v>
                </c:pt>
              </c:strCache>
            </c:strRef>
          </c:cat>
          <c:val>
            <c:numRef>
              <c:f>管理者用地域特徴シート!$H$3:$H$5</c:f>
              <c:numCache>
                <c:formatCode>0.0%</c:formatCode>
                <c:ptCount val="3"/>
                <c:pt idx="0">
                  <c:v>0.46108733927332846</c:v>
                </c:pt>
                <c:pt idx="1">
                  <c:v>0.48075811857159367</c:v>
                </c:pt>
                <c:pt idx="2">
                  <c:v>0.4552590266875981</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3213544"/>
        <c:axId val="463214720"/>
      </c:barChart>
      <c:catAx>
        <c:axId val="4632135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214720"/>
        <c:crosses val="autoZero"/>
        <c:auto val="1"/>
        <c:lblAlgn val="ctr"/>
        <c:lblOffset val="100"/>
        <c:noMultiLvlLbl val="0"/>
      </c:catAx>
      <c:valAx>
        <c:axId val="46321472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21354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高鍋町平均</c:v>
                </c:pt>
                <c:pt idx="2">
                  <c:v>高鍋東中学校区</c:v>
                </c:pt>
              </c:strCache>
            </c:strRef>
          </c:cat>
          <c:val>
            <c:numRef>
              <c:f>管理者用地域特徴シート!$J$3:$J$5</c:f>
              <c:numCache>
                <c:formatCode>0.0%</c:formatCode>
                <c:ptCount val="3"/>
                <c:pt idx="0">
                  <c:v>0.15075281438403673</c:v>
                </c:pt>
                <c:pt idx="1">
                  <c:v>0.15277938287299203</c:v>
                </c:pt>
                <c:pt idx="2">
                  <c:v>0.15653734021080959</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3215112"/>
        <c:axId val="463211584"/>
      </c:barChart>
      <c:catAx>
        <c:axId val="46321511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211584"/>
        <c:crosses val="autoZero"/>
        <c:auto val="1"/>
        <c:lblAlgn val="ctr"/>
        <c:lblOffset val="100"/>
        <c:noMultiLvlLbl val="0"/>
      </c:catAx>
      <c:valAx>
        <c:axId val="46321158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2151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15:layout/>
                </c:ext>
              </c:extLst>
            </c:dLbl>
            <c:dLbl>
              <c:idx val="1"/>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15:layout/>
                </c:ext>
              </c:extLst>
            </c:dLbl>
            <c:dLbl>
              <c:idx val="2"/>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高鍋町平均</c:v>
                </c:pt>
                <c:pt idx="2">
                  <c:v>高鍋東中学校区</c:v>
                </c:pt>
              </c:strCache>
            </c:strRef>
          </c:cat>
          <c:val>
            <c:numRef>
              <c:f>管理者用地域特徴シート!$P$3:$P$5</c:f>
              <c:numCache>
                <c:formatCode>0.0%</c:formatCode>
                <c:ptCount val="3"/>
                <c:pt idx="0">
                  <c:v>0.34758352842621743</c:v>
                </c:pt>
                <c:pt idx="1">
                  <c:v>0.36783455476357796</c:v>
                </c:pt>
                <c:pt idx="2">
                  <c:v>0.37962193601994182</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3211976"/>
        <c:axId val="463213152"/>
      </c:barChart>
      <c:catAx>
        <c:axId val="46321197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213152"/>
        <c:crosses val="autoZero"/>
        <c:auto val="1"/>
        <c:lblAlgn val="ctr"/>
        <c:lblOffset val="100"/>
        <c:noMultiLvlLbl val="0"/>
      </c:catAx>
      <c:valAx>
        <c:axId val="46321315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21197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高鍋町平均</c:v>
                </c:pt>
                <c:pt idx="2">
                  <c:v>高鍋東中学校区</c:v>
                </c:pt>
              </c:strCache>
            </c:strRef>
          </c:cat>
          <c:val>
            <c:numRef>
              <c:f>管理者用地域特徴シート!$AO$3:$AO$5</c:f>
              <c:numCache>
                <c:formatCode>0.0%</c:formatCode>
                <c:ptCount val="3"/>
                <c:pt idx="0">
                  <c:v>0.5259093009439566</c:v>
                </c:pt>
                <c:pt idx="1">
                  <c:v>0.50521285838401386</c:v>
                </c:pt>
                <c:pt idx="2">
                  <c:v>0.5096277278562259</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3897360"/>
        <c:axId val="463896968"/>
      </c:barChart>
      <c:catAx>
        <c:axId val="4638973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96968"/>
        <c:crosses val="autoZero"/>
        <c:auto val="1"/>
        <c:lblAlgn val="ctr"/>
        <c:lblOffset val="100"/>
        <c:noMultiLvlLbl val="0"/>
      </c:catAx>
      <c:valAx>
        <c:axId val="46389696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9736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高鍋東中学校区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7.9947860091244841E-2</c:v>
                </c:pt>
                <c:pt idx="1">
                  <c:v>1.0862480990658267E-3</c:v>
                </c:pt>
                <c:pt idx="2">
                  <c:v>0</c:v>
                </c:pt>
                <c:pt idx="3">
                  <c:v>6.0178144688246796E-2</c:v>
                </c:pt>
                <c:pt idx="4">
                  <c:v>0.14707799261351293</c:v>
                </c:pt>
                <c:pt idx="5">
                  <c:v>8.472735172713448E-3</c:v>
                </c:pt>
                <c:pt idx="6">
                  <c:v>7.3864870736476207E-3</c:v>
                </c:pt>
                <c:pt idx="7">
                  <c:v>4.1277427764501412E-2</c:v>
                </c:pt>
                <c:pt idx="8">
                  <c:v>0.14273300021724961</c:v>
                </c:pt>
                <c:pt idx="9">
                  <c:v>1.998696502281121E-2</c:v>
                </c:pt>
                <c:pt idx="10">
                  <c:v>1.0645231370845101E-2</c:v>
                </c:pt>
                <c:pt idx="11">
                  <c:v>1.8031718444492723E-2</c:v>
                </c:pt>
                <c:pt idx="12">
                  <c:v>5.8657397349554635E-2</c:v>
                </c:pt>
                <c:pt idx="13">
                  <c:v>4.4753421681512057E-2</c:v>
                </c:pt>
                <c:pt idx="14">
                  <c:v>6.0178144688246796E-2</c:v>
                </c:pt>
                <c:pt idx="15">
                  <c:v>0.16836845535520312</c:v>
                </c:pt>
                <c:pt idx="16">
                  <c:v>1.7379969585053227E-2</c:v>
                </c:pt>
                <c:pt idx="17">
                  <c:v>5.0836411036280685E-2</c:v>
                </c:pt>
                <c:pt idx="18">
                  <c:v>5.3877905713664999E-2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高鍋町平均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0.11444830856781536</c:v>
                </c:pt>
                <c:pt idx="1">
                  <c:v>1.4753925598060913E-3</c:v>
                </c:pt>
                <c:pt idx="2">
                  <c:v>0</c:v>
                </c:pt>
                <c:pt idx="3">
                  <c:v>5.8804932026557066E-2</c:v>
                </c:pt>
                <c:pt idx="4">
                  <c:v>0.14111075982716831</c:v>
                </c:pt>
                <c:pt idx="5">
                  <c:v>7.9038887132469177E-3</c:v>
                </c:pt>
                <c:pt idx="6">
                  <c:v>7.1661924333438721E-3</c:v>
                </c:pt>
                <c:pt idx="7">
                  <c:v>3.6674043629465698E-2</c:v>
                </c:pt>
                <c:pt idx="8">
                  <c:v>0.14205922647275793</c:v>
                </c:pt>
                <c:pt idx="9">
                  <c:v>1.8547792180419433E-2</c:v>
                </c:pt>
                <c:pt idx="10">
                  <c:v>9.0631257245231325E-3</c:v>
                </c:pt>
                <c:pt idx="11">
                  <c:v>1.9180103277479186E-2</c:v>
                </c:pt>
                <c:pt idx="12">
                  <c:v>5.7224154283907681E-2</c:v>
                </c:pt>
                <c:pt idx="13">
                  <c:v>3.9940984297607757E-2</c:v>
                </c:pt>
                <c:pt idx="14">
                  <c:v>5.7751080198124145E-2</c:v>
                </c:pt>
                <c:pt idx="15">
                  <c:v>0.15723469280219202</c:v>
                </c:pt>
                <c:pt idx="16">
                  <c:v>1.7493940351986512E-2</c:v>
                </c:pt>
                <c:pt idx="17">
                  <c:v>4.7423332279481506E-2</c:v>
                </c:pt>
                <c:pt idx="18">
                  <c:v>5.7013383918221097E-2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3898536"/>
        <c:axId val="463899320"/>
      </c:barChart>
      <c:catAx>
        <c:axId val="4638985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99320"/>
        <c:crosses val="autoZero"/>
        <c:auto val="1"/>
        <c:lblAlgn val="ctr"/>
        <c:lblOffset val="100"/>
        <c:noMultiLvlLbl val="0"/>
      </c:catAx>
      <c:valAx>
        <c:axId val="463899320"/>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98536"/>
        <c:crosses val="autoZero"/>
        <c:crossBetween val="between"/>
      </c:valAx>
      <c:spPr>
        <a:noFill/>
        <a:ln>
          <a:noFill/>
        </a:ln>
        <a:effectLst/>
      </c:spPr>
    </c:plotArea>
    <c:legend>
      <c:legendPos val="b"/>
      <c:layout>
        <c:manualLayout>
          <c:xMode val="edge"/>
          <c:yMode val="edge"/>
          <c:x val="0.53078806698458469"/>
          <c:y val="8.0517000674031891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高鍋町平均</c:v>
                </c:pt>
                <c:pt idx="2">
                  <c:v>高鍋東中学校区</c:v>
                </c:pt>
              </c:strCache>
            </c:strRef>
          </c:cat>
          <c:val>
            <c:numRef>
              <c:f>管理者用地域特徴シート!$CK$3:$CK$5</c:f>
              <c:numCache>
                <c:formatCode>0.0%</c:formatCode>
                <c:ptCount val="3"/>
                <c:pt idx="0">
                  <c:v>0.82747216160708559</c:v>
                </c:pt>
                <c:pt idx="1">
                  <c:v>0.55896300980082203</c:v>
                </c:pt>
                <c:pt idx="2">
                  <c:v>0.55594177710189008</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3894616"/>
        <c:axId val="463897752"/>
      </c:barChart>
      <c:catAx>
        <c:axId val="46389461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97752"/>
        <c:crosses val="autoZero"/>
        <c:auto val="1"/>
        <c:lblAlgn val="ctr"/>
        <c:lblOffset val="100"/>
        <c:noMultiLvlLbl val="0"/>
      </c:catAx>
      <c:valAx>
        <c:axId val="46389775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9461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0.25</c:v>
                </c:pt>
                <c:pt idx="1">
                  <c:v>0.3</c:v>
                </c:pt>
                <c:pt idx="2">
                  <c:v>0.33</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177295776"/>
        <c:axId val="177299304"/>
      </c:barChart>
      <c:catAx>
        <c:axId val="1772957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77299304"/>
        <c:crosses val="autoZero"/>
        <c:auto val="1"/>
        <c:lblAlgn val="ctr"/>
        <c:lblOffset val="100"/>
        <c:noMultiLvlLbl val="0"/>
      </c:catAx>
      <c:valAx>
        <c:axId val="1772993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7729577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0.13</c:v>
                </c:pt>
                <c:pt idx="1">
                  <c:v>0.14000000000000001</c:v>
                </c:pt>
                <c:pt idx="2">
                  <c:v>0.16</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177296168"/>
        <c:axId val="177296952"/>
      </c:barChart>
      <c:catAx>
        <c:axId val="1772961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77296952"/>
        <c:crosses val="autoZero"/>
        <c:auto val="1"/>
        <c:lblAlgn val="ctr"/>
        <c:lblOffset val="100"/>
        <c:noMultiLvlLbl val="0"/>
      </c:catAx>
      <c:valAx>
        <c:axId val="1772969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7729616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4.0233740884454347E-3"/>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793-4D0A-AD29-23BEC9FC3E3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207</c:v>
                </c:pt>
                <c:pt idx="1">
                  <c:v>232</c:v>
                </c:pt>
                <c:pt idx="2">
                  <c:v>259</c:v>
                </c:pt>
                <c:pt idx="3">
                  <c:v>263</c:v>
                </c:pt>
                <c:pt idx="4">
                  <c:v>239</c:v>
                </c:pt>
                <c:pt idx="5">
                  <c:v>259</c:v>
                </c:pt>
                <c:pt idx="6">
                  <c:v>331</c:v>
                </c:pt>
                <c:pt idx="7">
                  <c:v>363</c:v>
                </c:pt>
                <c:pt idx="8">
                  <c:v>277</c:v>
                </c:pt>
                <c:pt idx="9">
                  <c:v>277</c:v>
                </c:pt>
                <c:pt idx="10">
                  <c:v>317</c:v>
                </c:pt>
                <c:pt idx="11">
                  <c:v>368</c:v>
                </c:pt>
                <c:pt idx="12">
                  <c:v>433</c:v>
                </c:pt>
                <c:pt idx="13">
                  <c:v>333</c:v>
                </c:pt>
                <c:pt idx="14">
                  <c:v>257</c:v>
                </c:pt>
                <c:pt idx="15">
                  <c:v>230</c:v>
                </c:pt>
                <c:pt idx="16">
                  <c:v>139</c:v>
                </c:pt>
                <c:pt idx="17">
                  <c:v>73</c:v>
                </c:pt>
                <c:pt idx="18">
                  <c:v>30</c:v>
                </c:pt>
                <c:pt idx="19">
                  <c:v>6</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8281656"/>
        <c:axId val="39828244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225</c:v>
                </c:pt>
                <c:pt idx="1">
                  <c:v>228</c:v>
                </c:pt>
                <c:pt idx="2">
                  <c:v>242</c:v>
                </c:pt>
                <c:pt idx="3">
                  <c:v>262</c:v>
                </c:pt>
                <c:pt idx="4">
                  <c:v>241</c:v>
                </c:pt>
                <c:pt idx="5">
                  <c:v>269</c:v>
                </c:pt>
                <c:pt idx="6">
                  <c:v>340</c:v>
                </c:pt>
                <c:pt idx="7">
                  <c:v>336</c:v>
                </c:pt>
                <c:pt idx="8">
                  <c:v>292</c:v>
                </c:pt>
                <c:pt idx="9">
                  <c:v>295</c:v>
                </c:pt>
                <c:pt idx="10">
                  <c:v>354</c:v>
                </c:pt>
                <c:pt idx="11">
                  <c:v>382</c:v>
                </c:pt>
                <c:pt idx="12">
                  <c:v>473</c:v>
                </c:pt>
                <c:pt idx="13">
                  <c:v>356</c:v>
                </c:pt>
                <c:pt idx="14">
                  <c:v>320</c:v>
                </c:pt>
                <c:pt idx="15">
                  <c:v>320</c:v>
                </c:pt>
                <c:pt idx="16">
                  <c:v>270</c:v>
                </c:pt>
                <c:pt idx="17">
                  <c:v>166</c:v>
                </c:pt>
                <c:pt idx="18">
                  <c:v>80</c:v>
                </c:pt>
                <c:pt idx="19">
                  <c:v>24</c:v>
                </c:pt>
                <c:pt idx="20">
                  <c:v>3</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8282832"/>
        <c:axId val="398282048"/>
      </c:barChart>
      <c:catAx>
        <c:axId val="39828165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82440"/>
        <c:crosses val="autoZero"/>
        <c:auto val="1"/>
        <c:lblAlgn val="ctr"/>
        <c:lblOffset val="100"/>
        <c:noMultiLvlLbl val="0"/>
      </c:catAx>
      <c:valAx>
        <c:axId val="398282440"/>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81656"/>
        <c:crosses val="autoZero"/>
        <c:crossBetween val="between"/>
        <c:majorUnit val="500"/>
      </c:valAx>
      <c:valAx>
        <c:axId val="398282048"/>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82832"/>
        <c:crosses val="max"/>
        <c:crossBetween val="between"/>
        <c:majorUnit val="500"/>
      </c:valAx>
      <c:catAx>
        <c:axId val="398282832"/>
        <c:scaling>
          <c:orientation val="minMax"/>
        </c:scaling>
        <c:delete val="1"/>
        <c:axPos val="l"/>
        <c:numFmt formatCode="General" sourceLinked="1"/>
        <c:majorTickMark val="out"/>
        <c:minorTickMark val="none"/>
        <c:tickLblPos val="nextTo"/>
        <c:crossAx val="39828204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4893</c:v>
                </c:pt>
                <c:pt idx="1">
                  <c:v>4725</c:v>
                </c:pt>
                <c:pt idx="2">
                  <c:v>4614</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5478</c:v>
                </c:pt>
                <c:pt idx="1">
                  <c:v>5323</c:v>
                </c:pt>
                <c:pt idx="2">
                  <c:v>5015</c:v>
                </c:pt>
              </c:numCache>
            </c:numRef>
          </c:val>
          <c:extLst xmlns:c16r2="http://schemas.microsoft.com/office/drawing/2015/06/chart">
            <c:ext xmlns:c16="http://schemas.microsoft.com/office/drawing/2014/chart" uri="{C3380CC4-5D6E-409C-BE32-E72D297353CC}">
              <c16:uniqueId val="{00000000-CA22-45D3-88A4-4FC739F31944}"/>
            </c:ext>
          </c:extLst>
        </c:ser>
        <c:dLbls>
          <c:showLegendKey val="0"/>
          <c:showVal val="0"/>
          <c:showCatName val="0"/>
          <c:showSerName val="0"/>
          <c:showPercent val="0"/>
          <c:showBubbleSize val="0"/>
        </c:dLbls>
        <c:gapWidth val="219"/>
        <c:overlap val="100"/>
        <c:axId val="398284400"/>
        <c:axId val="397872992"/>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8.2404589743101206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A22-45D3-88A4-4FC739F31944}"/>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10371</c:v>
                </c:pt>
                <c:pt idx="1">
                  <c:v>10048</c:v>
                </c:pt>
                <c:pt idx="2">
                  <c:v>9629</c:v>
                </c:pt>
              </c:numCache>
            </c:numRef>
          </c:val>
          <c:smooth val="0"/>
          <c:extLst xmlns:c16r2="http://schemas.microsoft.com/office/drawing/2015/06/chart">
            <c:ext xmlns:c16="http://schemas.microsoft.com/office/drawing/2014/chart" uri="{C3380CC4-5D6E-409C-BE32-E72D297353CC}">
              <c16:uniqueId val="{00000002-CA22-45D3-88A4-4FC739F31944}"/>
            </c:ext>
          </c:extLst>
        </c:ser>
        <c:dLbls>
          <c:showLegendKey val="0"/>
          <c:showVal val="0"/>
          <c:showCatName val="0"/>
          <c:showSerName val="0"/>
          <c:showPercent val="0"/>
          <c:showBubbleSize val="0"/>
        </c:dLbls>
        <c:marker val="1"/>
        <c:smooth val="0"/>
        <c:axId val="398284400"/>
        <c:axId val="397872992"/>
      </c:lineChart>
      <c:catAx>
        <c:axId val="3982844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872992"/>
        <c:crosses val="autoZero"/>
        <c:auto val="1"/>
        <c:lblAlgn val="ctr"/>
        <c:lblOffset val="100"/>
        <c:noMultiLvlLbl val="0"/>
      </c:catAx>
      <c:valAx>
        <c:axId val="39787299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84400"/>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4.1160357632296647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65B-48D9-ABF8-983570C43F0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196</c:v>
                </c:pt>
                <c:pt idx="1">
                  <c:v>227</c:v>
                </c:pt>
                <c:pt idx="2">
                  <c:v>226</c:v>
                </c:pt>
                <c:pt idx="3">
                  <c:v>211</c:v>
                </c:pt>
                <c:pt idx="4">
                  <c:v>201</c:v>
                </c:pt>
                <c:pt idx="5">
                  <c:v>213</c:v>
                </c:pt>
                <c:pt idx="6">
                  <c:v>238</c:v>
                </c:pt>
                <c:pt idx="7">
                  <c:v>268</c:v>
                </c:pt>
                <c:pt idx="8">
                  <c:v>335</c:v>
                </c:pt>
                <c:pt idx="9">
                  <c:v>303</c:v>
                </c:pt>
                <c:pt idx="10">
                  <c:v>259</c:v>
                </c:pt>
                <c:pt idx="11">
                  <c:v>275</c:v>
                </c:pt>
                <c:pt idx="12">
                  <c:v>304</c:v>
                </c:pt>
                <c:pt idx="13">
                  <c:v>364</c:v>
                </c:pt>
                <c:pt idx="14">
                  <c:v>385</c:v>
                </c:pt>
                <c:pt idx="15">
                  <c:v>272</c:v>
                </c:pt>
                <c:pt idx="16">
                  <c:v>155</c:v>
                </c:pt>
                <c:pt idx="17">
                  <c:v>131</c:v>
                </c:pt>
                <c:pt idx="18">
                  <c:v>44</c:v>
                </c:pt>
                <c:pt idx="19">
                  <c:v>7</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7873776"/>
        <c:axId val="39787338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177</c:v>
                </c:pt>
                <c:pt idx="1">
                  <c:v>212</c:v>
                </c:pt>
                <c:pt idx="2">
                  <c:v>221</c:v>
                </c:pt>
                <c:pt idx="3">
                  <c:v>201</c:v>
                </c:pt>
                <c:pt idx="4">
                  <c:v>168</c:v>
                </c:pt>
                <c:pt idx="5">
                  <c:v>187</c:v>
                </c:pt>
                <c:pt idx="6">
                  <c:v>233</c:v>
                </c:pt>
                <c:pt idx="7">
                  <c:v>277</c:v>
                </c:pt>
                <c:pt idx="8">
                  <c:v>317</c:v>
                </c:pt>
                <c:pt idx="9">
                  <c:v>318</c:v>
                </c:pt>
                <c:pt idx="10">
                  <c:v>303</c:v>
                </c:pt>
                <c:pt idx="11">
                  <c:v>282</c:v>
                </c:pt>
                <c:pt idx="12">
                  <c:v>337</c:v>
                </c:pt>
                <c:pt idx="13">
                  <c:v>392</c:v>
                </c:pt>
                <c:pt idx="14">
                  <c:v>434</c:v>
                </c:pt>
                <c:pt idx="15">
                  <c:v>322</c:v>
                </c:pt>
                <c:pt idx="16">
                  <c:v>266</c:v>
                </c:pt>
                <c:pt idx="17">
                  <c:v>212</c:v>
                </c:pt>
                <c:pt idx="18">
                  <c:v>123</c:v>
                </c:pt>
                <c:pt idx="19">
                  <c:v>28</c:v>
                </c:pt>
                <c:pt idx="20">
                  <c:v>5</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7875736"/>
        <c:axId val="397875344"/>
      </c:barChart>
      <c:catAx>
        <c:axId val="39787377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873384"/>
        <c:crosses val="autoZero"/>
        <c:auto val="1"/>
        <c:lblAlgn val="ctr"/>
        <c:lblOffset val="100"/>
        <c:noMultiLvlLbl val="0"/>
      </c:catAx>
      <c:valAx>
        <c:axId val="397873384"/>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873776"/>
        <c:crosses val="autoZero"/>
        <c:crossBetween val="between"/>
        <c:majorUnit val="500"/>
      </c:valAx>
      <c:valAx>
        <c:axId val="397875344"/>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875736"/>
        <c:crosses val="max"/>
        <c:crossBetween val="between"/>
        <c:majorUnit val="500"/>
      </c:valAx>
      <c:catAx>
        <c:axId val="397875736"/>
        <c:scaling>
          <c:orientation val="minMax"/>
        </c:scaling>
        <c:delete val="1"/>
        <c:axPos val="l"/>
        <c:numFmt formatCode="General" sourceLinked="1"/>
        <c:majorTickMark val="out"/>
        <c:minorTickMark val="none"/>
        <c:tickLblPos val="nextTo"/>
        <c:crossAx val="3978753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5C1A-447B-8FE7-5A5E14F0C392}"/>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5C1A-447B-8FE7-5A5E14F0C392}"/>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5C1A-447B-8FE7-5A5E14F0C392}"/>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C1A-447B-8FE7-5A5E14F0C392}"/>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C1A-447B-8FE7-5A5E14F0C392}"/>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4893</c:v>
                </c:pt>
                <c:pt idx="1">
                  <c:v>4725</c:v>
                </c:pt>
                <c:pt idx="2">
                  <c:v>4614</c:v>
                </c:pt>
                <c:pt idx="3">
                  <c:v>4381</c:v>
                </c:pt>
                <c:pt idx="4">
                  <c:v>4100</c:v>
                </c:pt>
                <c:pt idx="5">
                  <c:v>3816</c:v>
                </c:pt>
                <c:pt idx="6">
                  <c:v>3536</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5C1A-447B-8FE7-5A5E14F0C392}"/>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5C1A-447B-8FE7-5A5E14F0C392}"/>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5C1A-447B-8FE7-5A5E14F0C392}"/>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5478</c:v>
                </c:pt>
                <c:pt idx="1">
                  <c:v>5323</c:v>
                </c:pt>
                <c:pt idx="2">
                  <c:v>5015</c:v>
                </c:pt>
                <c:pt idx="3">
                  <c:v>4715</c:v>
                </c:pt>
                <c:pt idx="4">
                  <c:v>4381</c:v>
                </c:pt>
                <c:pt idx="5">
                  <c:v>4040</c:v>
                </c:pt>
                <c:pt idx="6">
                  <c:v>3696</c:v>
                </c:pt>
              </c:numCache>
            </c:numRef>
          </c:val>
          <c:extLst xmlns:c16r2="http://schemas.microsoft.com/office/drawing/2015/06/chart">
            <c:ext xmlns:c16="http://schemas.microsoft.com/office/drawing/2014/chart" uri="{C3380CC4-5D6E-409C-BE32-E72D297353CC}">
              <c16:uniqueId val="{00000010-5C1A-447B-8FE7-5A5E14F0C392}"/>
            </c:ext>
          </c:extLst>
        </c:ser>
        <c:dLbls>
          <c:showLegendKey val="0"/>
          <c:showVal val="0"/>
          <c:showCatName val="0"/>
          <c:showSerName val="0"/>
          <c:showPercent val="0"/>
          <c:showBubbleSize val="0"/>
        </c:dLbls>
        <c:gapWidth val="219"/>
        <c:overlap val="100"/>
        <c:axId val="397874560"/>
        <c:axId val="397874952"/>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10371</c:v>
                </c:pt>
                <c:pt idx="1">
                  <c:v>10048</c:v>
                </c:pt>
                <c:pt idx="2">
                  <c:v>9629</c:v>
                </c:pt>
                <c:pt idx="3">
                  <c:v>9096</c:v>
                </c:pt>
                <c:pt idx="4">
                  <c:v>8481</c:v>
                </c:pt>
                <c:pt idx="5">
                  <c:v>7856</c:v>
                </c:pt>
                <c:pt idx="6">
                  <c:v>7232</c:v>
                </c:pt>
              </c:numCache>
            </c:numRef>
          </c:val>
          <c:smooth val="0"/>
          <c:extLst xmlns:c16r2="http://schemas.microsoft.com/office/drawing/2015/06/chart">
            <c:ext xmlns:c16="http://schemas.microsoft.com/office/drawing/2014/chart" uri="{C3380CC4-5D6E-409C-BE32-E72D297353CC}">
              <c16:uniqueId val="{00000011-5C1A-447B-8FE7-5A5E14F0C392}"/>
            </c:ext>
          </c:extLst>
        </c:ser>
        <c:dLbls>
          <c:showLegendKey val="0"/>
          <c:showVal val="0"/>
          <c:showCatName val="0"/>
          <c:showSerName val="0"/>
          <c:showPercent val="0"/>
          <c:showBubbleSize val="0"/>
        </c:dLbls>
        <c:marker val="1"/>
        <c:smooth val="0"/>
        <c:axId val="397874560"/>
        <c:axId val="397874952"/>
      </c:lineChart>
      <c:catAx>
        <c:axId val="3978745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874952"/>
        <c:crosses val="autoZero"/>
        <c:auto val="1"/>
        <c:lblAlgn val="ctr"/>
        <c:lblOffset val="100"/>
        <c:noMultiLvlLbl val="0"/>
      </c:catAx>
      <c:valAx>
        <c:axId val="3978749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874560"/>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576</c:v>
                </c:pt>
                <c:pt idx="1">
                  <c:v>505</c:v>
                </c:pt>
                <c:pt idx="2">
                  <c:v>531</c:v>
                </c:pt>
                <c:pt idx="3">
                  <c:v>475</c:v>
                </c:pt>
                <c:pt idx="4">
                  <c:v>394</c:v>
                </c:pt>
                <c:pt idx="5">
                  <c:v>339</c:v>
                </c:pt>
                <c:pt idx="6">
                  <c:v>308</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8283616"/>
        <c:axId val="398280872"/>
      </c:barChart>
      <c:catAx>
        <c:axId val="398283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80872"/>
        <c:crosses val="autoZero"/>
        <c:auto val="1"/>
        <c:lblAlgn val="ctr"/>
        <c:lblOffset val="100"/>
        <c:noMultiLvlLbl val="0"/>
      </c:catAx>
      <c:valAx>
        <c:axId val="3982808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8361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高鍋東中学校区</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5"/>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296" t="s">
        <v>131</v>
      </c>
      <c r="L1" s="296"/>
      <c r="M1" s="296"/>
      <c r="N1" s="296"/>
      <c r="O1" s="296"/>
      <c r="P1" s="296"/>
      <c r="Q1" s="296"/>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高鍋町平均</v>
      </c>
      <c r="C4" s="88" t="str">
        <f>B4</f>
        <v>高鍋町平均</v>
      </c>
      <c r="D4" s="185">
        <f>SUM(D7:D70)</f>
        <v>8653</v>
      </c>
      <c r="E4" s="186">
        <f>SUM(E7:E70)</f>
        <v>4160</v>
      </c>
      <c r="F4" s="186">
        <f>SUM(F7:F70)</f>
        <v>1387</v>
      </c>
      <c r="G4" s="187">
        <f>SUM(G7:G70)</f>
        <v>1322</v>
      </c>
      <c r="H4" s="148">
        <f>E4/D4</f>
        <v>0.48075811857159367</v>
      </c>
      <c r="I4" s="149">
        <f>F4/D4</f>
        <v>0.16029122847567318</v>
      </c>
      <c r="J4" s="150">
        <f>G4/D4</f>
        <v>0.15277938287299203</v>
      </c>
      <c r="K4" s="185">
        <f>SUM(K7:K70)</f>
        <v>19922</v>
      </c>
      <c r="L4" s="186">
        <f>SUM(L7:L70)</f>
        <v>1904</v>
      </c>
      <c r="M4" s="186">
        <f>SUM(M7:M70)</f>
        <v>7328</v>
      </c>
      <c r="N4" s="187">
        <f>SUM(N7:N70)</f>
        <v>9680</v>
      </c>
      <c r="O4" s="148">
        <f>L4/K4</f>
        <v>9.5572733661278983E-2</v>
      </c>
      <c r="P4" s="149">
        <f>M4/K4</f>
        <v>0.36783455476357796</v>
      </c>
      <c r="Q4" s="150">
        <f>N4/K4</f>
        <v>0.48589499046280493</v>
      </c>
      <c r="R4" s="185">
        <f>SUM(R7:R70)</f>
        <v>19922</v>
      </c>
      <c r="S4" s="145">
        <f>SUM(S7:S70)</f>
        <v>2047</v>
      </c>
      <c r="T4" s="145">
        <f>SUM(T7:T70)</f>
        <v>1759</v>
      </c>
      <c r="U4" s="144">
        <f>SUM(U7:U70)</f>
        <v>743</v>
      </c>
      <c r="V4" s="144">
        <f>SUM(V7:V70)</f>
        <v>55</v>
      </c>
      <c r="W4" s="146">
        <f>S4+T4+U4+V4</f>
        <v>4604</v>
      </c>
      <c r="X4" s="143">
        <f>SUM(X7:X70)</f>
        <v>9497</v>
      </c>
      <c r="Y4" s="144">
        <f>SUM(Y7:Y70)</f>
        <v>912</v>
      </c>
      <c r="Z4" s="144">
        <f>SUM(Z7:Z70)</f>
        <v>921</v>
      </c>
      <c r="AA4" s="144">
        <f>SUM(AA7:AA70)</f>
        <v>421</v>
      </c>
      <c r="AB4" s="144">
        <f>SUM(AB7:AB70)</f>
        <v>24</v>
      </c>
      <c r="AC4" s="146">
        <f>Y4+Z4+AA4+AB4</f>
        <v>2278</v>
      </c>
      <c r="AD4" s="143">
        <f>SUM(AD7:AD70)</f>
        <v>10425</v>
      </c>
      <c r="AE4" s="143">
        <f t="shared" ref="AE4:AH4" si="0">SUM(AE7:AE70)</f>
        <v>1135</v>
      </c>
      <c r="AF4" s="143">
        <f t="shared" si="0"/>
        <v>838</v>
      </c>
      <c r="AG4" s="143">
        <f t="shared" si="0"/>
        <v>322</v>
      </c>
      <c r="AH4" s="143">
        <f t="shared" si="0"/>
        <v>31</v>
      </c>
      <c r="AI4" s="146">
        <f>AE4+AF4+AG4+AH4</f>
        <v>2326</v>
      </c>
      <c r="AJ4" s="148">
        <f>W4/R4</f>
        <v>0.23110129505069771</v>
      </c>
      <c r="AK4" s="149">
        <f>T4/W4</f>
        <v>0.38205907906168551</v>
      </c>
      <c r="AL4" s="149">
        <f>U4/W4</f>
        <v>0.16138140747176369</v>
      </c>
      <c r="AM4" s="149">
        <f>V4/W4</f>
        <v>1.1946133796698523E-2</v>
      </c>
      <c r="AN4" s="147">
        <f>AC4/W4</f>
        <v>0.49478714161598608</v>
      </c>
      <c r="AO4" s="150">
        <f>AI4/W4</f>
        <v>0.50521285838401386</v>
      </c>
      <c r="AP4" s="143">
        <f>SUM(AP7:AP70)</f>
        <v>9489</v>
      </c>
      <c r="AQ4" s="144">
        <f t="shared" ref="AQ4:BI4" si="1">SUM(AQ7:AQ70)</f>
        <v>1086</v>
      </c>
      <c r="AR4" s="144">
        <f t="shared" si="1"/>
        <v>14</v>
      </c>
      <c r="AS4" s="144">
        <f t="shared" si="1"/>
        <v>0</v>
      </c>
      <c r="AT4" s="144">
        <f t="shared" si="1"/>
        <v>558</v>
      </c>
      <c r="AU4" s="144">
        <f t="shared" si="1"/>
        <v>1339</v>
      </c>
      <c r="AV4" s="144">
        <f t="shared" si="1"/>
        <v>75</v>
      </c>
      <c r="AW4" s="144">
        <f t="shared" si="1"/>
        <v>68</v>
      </c>
      <c r="AX4" s="144">
        <f t="shared" si="1"/>
        <v>348</v>
      </c>
      <c r="AY4" s="144">
        <f t="shared" si="1"/>
        <v>1348</v>
      </c>
      <c r="AZ4" s="144">
        <f t="shared" si="1"/>
        <v>176</v>
      </c>
      <c r="BA4" s="144">
        <f t="shared" si="1"/>
        <v>86</v>
      </c>
      <c r="BB4" s="144">
        <f t="shared" si="1"/>
        <v>182</v>
      </c>
      <c r="BC4" s="144">
        <f t="shared" si="1"/>
        <v>543</v>
      </c>
      <c r="BD4" s="144">
        <f t="shared" si="1"/>
        <v>379</v>
      </c>
      <c r="BE4" s="144">
        <f t="shared" si="1"/>
        <v>548</v>
      </c>
      <c r="BF4" s="144">
        <f t="shared" si="1"/>
        <v>1492</v>
      </c>
      <c r="BG4" s="144">
        <f t="shared" si="1"/>
        <v>166</v>
      </c>
      <c r="BH4" s="144">
        <f t="shared" si="1"/>
        <v>450</v>
      </c>
      <c r="BI4" s="146">
        <f t="shared" si="1"/>
        <v>541</v>
      </c>
      <c r="BJ4" s="147">
        <f>IF($AP4=0,0,AQ4/$AP4)</f>
        <v>0.11444830856781536</v>
      </c>
      <c r="BK4" s="149">
        <f t="shared" ref="BK4:CB4" si="2">IF($AP4=0,0,AR4/$AP4)</f>
        <v>1.4753925598060913E-3</v>
      </c>
      <c r="BL4" s="149">
        <f t="shared" si="2"/>
        <v>0</v>
      </c>
      <c r="BM4" s="149">
        <f t="shared" si="2"/>
        <v>5.8804932026557066E-2</v>
      </c>
      <c r="BN4" s="149">
        <f t="shared" si="2"/>
        <v>0.14111075982716831</v>
      </c>
      <c r="BO4" s="149">
        <f t="shared" si="2"/>
        <v>7.9038887132469177E-3</v>
      </c>
      <c r="BP4" s="149">
        <f t="shared" si="2"/>
        <v>7.1661924333438721E-3</v>
      </c>
      <c r="BQ4" s="149">
        <f t="shared" si="2"/>
        <v>3.6674043629465698E-2</v>
      </c>
      <c r="BR4" s="149">
        <f t="shared" si="2"/>
        <v>0.14205922647275793</v>
      </c>
      <c r="BS4" s="149">
        <f t="shared" si="2"/>
        <v>1.8547792180419433E-2</v>
      </c>
      <c r="BT4" s="149">
        <f t="shared" si="2"/>
        <v>9.0631257245231325E-3</v>
      </c>
      <c r="BU4" s="149">
        <f t="shared" si="2"/>
        <v>1.9180103277479186E-2</v>
      </c>
      <c r="BV4" s="149">
        <f t="shared" si="2"/>
        <v>5.7224154283907681E-2</v>
      </c>
      <c r="BW4" s="149">
        <f t="shared" si="2"/>
        <v>3.9940984297607757E-2</v>
      </c>
      <c r="BX4" s="149">
        <f t="shared" si="2"/>
        <v>5.7751080198124145E-2</v>
      </c>
      <c r="BY4" s="149">
        <f t="shared" si="2"/>
        <v>0.15723469280219202</v>
      </c>
      <c r="BZ4" s="149">
        <f t="shared" si="2"/>
        <v>1.7493940351986512E-2</v>
      </c>
      <c r="CA4" s="149">
        <f t="shared" si="2"/>
        <v>4.7423332279481506E-2</v>
      </c>
      <c r="CB4" s="150">
        <f t="shared" si="2"/>
        <v>5.7013383918221097E-2</v>
      </c>
      <c r="CC4" s="143">
        <f>SUM(CC7:CC70)</f>
        <v>9489</v>
      </c>
      <c r="CD4" s="144">
        <f t="shared" ref="CD4:CI4" si="3">SUM(CD7:CD70)</f>
        <v>5304</v>
      </c>
      <c r="CE4" s="144">
        <f t="shared" si="3"/>
        <v>4066</v>
      </c>
      <c r="CF4" s="144">
        <f t="shared" si="3"/>
        <v>39</v>
      </c>
      <c r="CG4" s="143">
        <f t="shared" si="3"/>
        <v>944</v>
      </c>
      <c r="CH4" s="144">
        <f t="shared" si="3"/>
        <v>611</v>
      </c>
      <c r="CI4" s="144">
        <f t="shared" si="3"/>
        <v>300</v>
      </c>
      <c r="CJ4" s="144">
        <f>SUM(CJ7:CJ70)</f>
        <v>16</v>
      </c>
      <c r="CK4" s="148">
        <f t="shared" ref="CK4:CM4" si="4">IF($CC4=0,0,CD4/$CC4)</f>
        <v>0.55896300980082203</v>
      </c>
      <c r="CL4" s="149">
        <f t="shared" si="4"/>
        <v>0.4284961534408262</v>
      </c>
      <c r="CM4" s="150">
        <f t="shared" si="4"/>
        <v>4.110022130888397E-3</v>
      </c>
      <c r="CN4" s="148">
        <f t="shared" ref="CN4:CP4" si="5">IF($CG4=0,0,CH4/$CG4)</f>
        <v>0.6472457627118644</v>
      </c>
      <c r="CO4" s="149">
        <f t="shared" si="5"/>
        <v>0.31779661016949151</v>
      </c>
      <c r="CP4" s="150">
        <f t="shared" si="5"/>
        <v>1.6949152542372881E-2</v>
      </c>
    </row>
    <row r="5" spans="1:94" s="181" customFormat="1" x14ac:dyDescent="0.15">
      <c r="A5" s="183" t="str">
        <f>管理者入力シート!B2</f>
        <v>45401_1</v>
      </c>
      <c r="B5" s="201" t="str">
        <f>VLOOKUP($A$5,$A$7:$CP$50,2,FALSE)</f>
        <v>高鍋町</v>
      </c>
      <c r="C5" s="201" t="str">
        <f>VLOOKUP($A$5,$A$7:$CP$50,3,FALSE)</f>
        <v>高鍋東中学校区</v>
      </c>
      <c r="D5" s="188">
        <f>VLOOKUP($A$5,$A$7:$CP$70,4,FALSE)</f>
        <v>4459</v>
      </c>
      <c r="E5" s="189">
        <f>VLOOKUP($A$5,$A$7:$CP$70,5,FALSE)</f>
        <v>2030</v>
      </c>
      <c r="F5" s="189">
        <f>VLOOKUP($A$5,$A$7:$CP$70,6,FALSE)</f>
        <v>688</v>
      </c>
      <c r="G5" s="190">
        <f>VLOOKUP($A$5,$A$7:$CP$70,7,FALSE)</f>
        <v>698</v>
      </c>
      <c r="H5" s="178">
        <f>VLOOKUP($A$5,$A$7:$CP$70,8,FALSE)</f>
        <v>0.4552590266875981</v>
      </c>
      <c r="I5" s="179">
        <f>VLOOKUP($A$5,$A$7:$CP$70,9,FALSE)</f>
        <v>0.1542946849069298</v>
      </c>
      <c r="J5" s="180">
        <f>VLOOKUP($A$5,$A$7:$CP$70,10,FALSE)</f>
        <v>0.15653734021080959</v>
      </c>
      <c r="K5" s="188">
        <f>VLOOKUP($A$5,$A$7:$CP$70,11,FALSE)</f>
        <v>9628</v>
      </c>
      <c r="L5" s="189">
        <f>VLOOKUP($A$5,$A$7:$CP$70,12,FALSE)</f>
        <v>844</v>
      </c>
      <c r="M5" s="189">
        <f>VLOOKUP($A$5,$A$7:$CP$70,13,FALSE)</f>
        <v>3655</v>
      </c>
      <c r="N5" s="190">
        <f>VLOOKUP($A$5,$A$7:$CP$70,14,FALSE)</f>
        <v>4550</v>
      </c>
      <c r="O5" s="178">
        <f>VLOOKUP($A$5,$A$7:$CP$70,15,FALSE)</f>
        <v>8.7660988782717081E-2</v>
      </c>
      <c r="P5" s="179">
        <f>VLOOKUP($A$5,$A$7:$CP$70,16,FALSE)</f>
        <v>0.37962193601994182</v>
      </c>
      <c r="Q5" s="180">
        <f>VLOOKUP($A$5,$A$7:$CP$70,17,FALSE)</f>
        <v>0.47257997507270461</v>
      </c>
      <c r="R5" s="188">
        <f>VLOOKUP($A$5,$A$7:$CP$70,18,FALSE)</f>
        <v>9628</v>
      </c>
      <c r="S5" s="189">
        <f>VLOOKUP($A$5,$A$7:$CP$70,19,FALSE)</f>
        <v>1106</v>
      </c>
      <c r="T5" s="189">
        <f>VLOOKUP($A$5,$A$7:$CP$70,20,FALSE)</f>
        <v>820</v>
      </c>
      <c r="U5" s="189">
        <f>VLOOKUP($A$5,$A$7:$CP$70,21,FALSE)</f>
        <v>393</v>
      </c>
      <c r="V5" s="189">
        <f>VLOOKUP($A$5,$A$7:$CP$70,22,FALSE)</f>
        <v>18</v>
      </c>
      <c r="W5" s="190">
        <f>VLOOKUP($A$5,$A$7:$CP$70,23,FALSE)</f>
        <v>2337</v>
      </c>
      <c r="X5" s="188">
        <f>VLOOKUP($A$5,$A$7:$CP$70,24,FALSE)</f>
        <v>4612</v>
      </c>
      <c r="Y5" s="189">
        <f>VLOOKUP($A$5,$A$7:$CP$70,25,FALSE)</f>
        <v>498</v>
      </c>
      <c r="Z5" s="189">
        <f>VLOOKUP($A$5,$A$7:$CP$70,26,FALSE)</f>
        <v>417</v>
      </c>
      <c r="AA5" s="189">
        <f>VLOOKUP($A$5,$A$7:$CP$70,27,FALSE)</f>
        <v>221</v>
      </c>
      <c r="AB5" s="189">
        <f>VLOOKUP($A$5,$A$7:$CP$70,28,FALSE)</f>
        <v>10</v>
      </c>
      <c r="AC5" s="191">
        <f>VLOOKUP($A$5,$A$7:$CP$70,29,FALSE)</f>
        <v>1146</v>
      </c>
      <c r="AD5" s="188">
        <f>VLOOKUP($A$5,$A$7:$CP$70,30,FALSE)</f>
        <v>5016</v>
      </c>
      <c r="AE5" s="189">
        <f>VLOOKUP($A$5,$A$7:$CP$70,31,FALSE)</f>
        <v>608</v>
      </c>
      <c r="AF5" s="189">
        <f>VLOOKUP($A$5,$A$7:$CP$70,32,FALSE)</f>
        <v>403</v>
      </c>
      <c r="AG5" s="189">
        <f>VLOOKUP($A$5,$A$7:$CP$70,33,FALSE)</f>
        <v>172</v>
      </c>
      <c r="AH5" s="189">
        <f>VLOOKUP($A$5,$A$7:$CP$70,34,FALSE)</f>
        <v>8</v>
      </c>
      <c r="AI5" s="191">
        <f>VLOOKUP($A$5,$A$7:$CP$70,35,FALSE)</f>
        <v>1191</v>
      </c>
      <c r="AJ5" s="178">
        <f>VLOOKUP($A$5,$A$7:$CP$70,36,FALSE)</f>
        <v>0.24272953884503531</v>
      </c>
      <c r="AK5" s="179">
        <f>VLOOKUP($A$5,$A$7:$CP$70,37,FALSE)</f>
        <v>0.35087719298245612</v>
      </c>
      <c r="AL5" s="179">
        <f>VLOOKUP($A$5,$A$7:$CP$70,38,FALSE)</f>
        <v>0.16816431322207959</v>
      </c>
      <c r="AM5" s="179">
        <f>VLOOKUP($A$5,$A$7:$CP$70,39,FALSE)</f>
        <v>7.7021822849807449E-3</v>
      </c>
      <c r="AN5" s="182">
        <f>VLOOKUP($A$5,$A$7:$CP$70,40,FALSE)</f>
        <v>0.49037227214377405</v>
      </c>
      <c r="AO5" s="180">
        <f>VLOOKUP($A$5,$A$7:$CP$70,41,FALSE)</f>
        <v>0.5096277278562259</v>
      </c>
      <c r="AP5" s="192">
        <f>VLOOKUP($A$5,$A$7:$CP$70,42,FALSE)</f>
        <v>4603</v>
      </c>
      <c r="AQ5" s="189">
        <f>VLOOKUP($A$5,$A$7:$CP$70,43,FALSE)</f>
        <v>368</v>
      </c>
      <c r="AR5" s="189">
        <f>VLOOKUP($A$5,$A$7:$CP$70,44,FALSE)</f>
        <v>5</v>
      </c>
      <c r="AS5" s="189">
        <f>VLOOKUP($A$5,$A$7:$CP$70,45,FALSE)</f>
        <v>0</v>
      </c>
      <c r="AT5" s="189">
        <f>VLOOKUP($A$5,$A$7:$CP$70,46,FALSE)</f>
        <v>277</v>
      </c>
      <c r="AU5" s="189">
        <f>VLOOKUP($A$5,$A$7:$CP$70,47,FALSE)</f>
        <v>677</v>
      </c>
      <c r="AV5" s="189">
        <f>VLOOKUP($A$5,$A$7:$CP$70,48,FALSE)</f>
        <v>39</v>
      </c>
      <c r="AW5" s="189">
        <f>VLOOKUP($A$5,$A$7:$CP$70,49,FALSE)</f>
        <v>34</v>
      </c>
      <c r="AX5" s="189">
        <f>VLOOKUP($A$5,$A$7:$CP$70,50,FALSE)</f>
        <v>190</v>
      </c>
      <c r="AY5" s="189">
        <f>VLOOKUP($A$5,$A$7:$CP$70,51,FALSE)</f>
        <v>657</v>
      </c>
      <c r="AZ5" s="189">
        <f>VLOOKUP($A$5,$A$7:$CP$70,52,FALSE)</f>
        <v>92</v>
      </c>
      <c r="BA5" s="189">
        <f>VLOOKUP($A$5,$A$7:$CP$70,53,FALSE)</f>
        <v>49</v>
      </c>
      <c r="BB5" s="189">
        <f>VLOOKUP($A$5,$A$7:$CP$70,54,FALSE)</f>
        <v>83</v>
      </c>
      <c r="BC5" s="189">
        <f>VLOOKUP($A$5,$A$7:$CP$70,55,FALSE)</f>
        <v>270</v>
      </c>
      <c r="BD5" s="189">
        <f>VLOOKUP($A$5,$A$7:$CP$70,56,FALSE)</f>
        <v>206</v>
      </c>
      <c r="BE5" s="189">
        <f>VLOOKUP($A$5,$A$7:$CP$70,57,FALSE)</f>
        <v>277</v>
      </c>
      <c r="BF5" s="189">
        <f>VLOOKUP($A$5,$A$7:$CP$70,58,FALSE)</f>
        <v>775</v>
      </c>
      <c r="BG5" s="189">
        <f>VLOOKUP($A$5,$A$7:$CP$70,59,FALSE)</f>
        <v>80</v>
      </c>
      <c r="BH5" s="189">
        <f>VLOOKUP($A$5,$A$7:$CP$70,60,FALSE)</f>
        <v>234</v>
      </c>
      <c r="BI5" s="189">
        <f>VLOOKUP($A$5,$A$7:$CP$70,61,FALSE)</f>
        <v>248</v>
      </c>
      <c r="BJ5" s="178">
        <f>VLOOKUP($A$5,$A$7:$CP$70,62,FALSE)</f>
        <v>7.9947860091244841E-2</v>
      </c>
      <c r="BK5" s="179">
        <f>VLOOKUP($A$5,$A$7:$CP$70,63,FALSE)</f>
        <v>1.0862480990658267E-3</v>
      </c>
      <c r="BL5" s="179">
        <f>VLOOKUP($A$5,$A$7:$CP$70,64,FALSE)</f>
        <v>0</v>
      </c>
      <c r="BM5" s="179">
        <f>VLOOKUP($A$5,$A$7:$CP$70,65,FALSE)</f>
        <v>6.0178144688246796E-2</v>
      </c>
      <c r="BN5" s="179">
        <f>VLOOKUP($A$5,$A$7:$CP$70,66,FALSE)</f>
        <v>0.14707799261351293</v>
      </c>
      <c r="BO5" s="179">
        <f>VLOOKUP($A$5,$A$7:$CP$70,67,FALSE)</f>
        <v>8.472735172713448E-3</v>
      </c>
      <c r="BP5" s="179">
        <f>VLOOKUP($A$5,$A$7:$CP$70,68,FALSE)</f>
        <v>7.3864870736476207E-3</v>
      </c>
      <c r="BQ5" s="179">
        <f>VLOOKUP($A$5,$A$7:$CP$70,69,FALSE)</f>
        <v>4.1277427764501412E-2</v>
      </c>
      <c r="BR5" s="179">
        <f>VLOOKUP($A$5,$A$7:$CP$70,70,FALSE)</f>
        <v>0.14273300021724961</v>
      </c>
      <c r="BS5" s="179">
        <f>VLOOKUP($A$5,$A$7:$CP$70,71,FALSE)</f>
        <v>1.998696502281121E-2</v>
      </c>
      <c r="BT5" s="179">
        <f>VLOOKUP($A$5,$A$7:$CP$70,72,FALSE)</f>
        <v>1.0645231370845101E-2</v>
      </c>
      <c r="BU5" s="179">
        <f>VLOOKUP($A$5,$A$7:$CP$70,73,FALSE)</f>
        <v>1.8031718444492723E-2</v>
      </c>
      <c r="BV5" s="179">
        <f>VLOOKUP($A$5,$A$7:$CP$70,74,FALSE)</f>
        <v>5.8657397349554635E-2</v>
      </c>
      <c r="BW5" s="179">
        <f>VLOOKUP($A$5,$A$7:$CP$70,75,FALSE)</f>
        <v>4.4753421681512057E-2</v>
      </c>
      <c r="BX5" s="179">
        <f>VLOOKUP($A$5,$A$7:$CP$70,76,FALSE)</f>
        <v>6.0178144688246796E-2</v>
      </c>
      <c r="BY5" s="179">
        <f>VLOOKUP($A$5,$A$7:$CP$70,77,FALSE)</f>
        <v>0.16836845535520312</v>
      </c>
      <c r="BZ5" s="179">
        <f>VLOOKUP($A$5,$A$7:$CP$70,78,FALSE)</f>
        <v>1.7379969585053227E-2</v>
      </c>
      <c r="CA5" s="179">
        <f>VLOOKUP($A$5,$A$7:$CP$70,79,FALSE)</f>
        <v>5.0836411036280685E-2</v>
      </c>
      <c r="CB5" s="180">
        <f>VLOOKUP($A$5,$A$7:$CP$70,80,FALSE)</f>
        <v>5.3877905713664999E-2</v>
      </c>
      <c r="CC5" s="188">
        <f>VLOOKUP($A$5,$A$7:$CP$70,81,FALSE)</f>
        <v>4603</v>
      </c>
      <c r="CD5" s="190">
        <f>VLOOKUP($A$5,$A$7:$CP$70,82,FALSE)</f>
        <v>2559</v>
      </c>
      <c r="CE5" s="189">
        <f>VLOOKUP($A$5,$A$7:$CP$70,83,FALSE)</f>
        <v>1989</v>
      </c>
      <c r="CF5" s="191">
        <f>VLOOKUP($A$5,$A$7:$CP$70,84,FALSE)</f>
        <v>22</v>
      </c>
      <c r="CG5" s="188">
        <f>VLOOKUP($A$5,$A$7:$CP$70,85,FALSE)</f>
        <v>348</v>
      </c>
      <c r="CH5" s="189">
        <f>VLOOKUP($A$5,$A$7:$CP$70,86,FALSE)</f>
        <v>179</v>
      </c>
      <c r="CI5" s="189">
        <f>VLOOKUP($A$5,$A$7:$CP$70,87,FALSE)</f>
        <v>157</v>
      </c>
      <c r="CJ5" s="191">
        <f>VLOOKUP($A$5,$A$7:$CP$70,88,FALSE)</f>
        <v>7</v>
      </c>
      <c r="CK5" s="178">
        <f>VLOOKUP($A$5,$A$7:$CP$70,89,FALSE)</f>
        <v>0.55594177710189008</v>
      </c>
      <c r="CL5" s="179">
        <f>VLOOKUP($A$5,$A$7:$CP$70,90,FALSE)</f>
        <v>0.43210949380838581</v>
      </c>
      <c r="CM5" s="180">
        <f>VLOOKUP($A$5,$A$7:$CP$70,91,FALSE)</f>
        <v>4.7794916358896372E-3</v>
      </c>
      <c r="CN5" s="178">
        <f>VLOOKUP($A$5,$A$7:$CP$70,92,FALSE)</f>
        <v>0.51436781609195403</v>
      </c>
      <c r="CO5" s="179">
        <f>VLOOKUP($A$5,$A$7:$CP$70,93,FALSE)</f>
        <v>0.4511494252873563</v>
      </c>
      <c r="CP5" s="180">
        <f>VLOOKUP($A$5,$A$7:$CP$70,94,FALSE)</f>
        <v>2.0114942528735632E-2</v>
      </c>
    </row>
    <row r="6" spans="1:94" s="242" customFormat="1" x14ac:dyDescent="0.15"/>
    <row r="7" spans="1:94" x14ac:dyDescent="0.15">
      <c r="A7" t="s">
        <v>429</v>
      </c>
      <c r="B7" t="s">
        <v>430</v>
      </c>
      <c r="C7" t="s">
        <v>431</v>
      </c>
      <c r="D7">
        <v>4459</v>
      </c>
      <c r="E7">
        <v>2030</v>
      </c>
      <c r="F7">
        <v>688</v>
      </c>
      <c r="G7">
        <v>698</v>
      </c>
      <c r="H7">
        <v>0.4552590266875981</v>
      </c>
      <c r="I7">
        <v>0.1542946849069298</v>
      </c>
      <c r="J7">
        <v>0.15653734021080959</v>
      </c>
      <c r="K7">
        <v>9628</v>
      </c>
      <c r="L7">
        <v>844</v>
      </c>
      <c r="M7">
        <v>3655</v>
      </c>
      <c r="N7">
        <v>4550</v>
      </c>
      <c r="O7">
        <v>8.7660988782717081E-2</v>
      </c>
      <c r="P7">
        <v>0.37962193601994182</v>
      </c>
      <c r="Q7">
        <v>0.47257997507270461</v>
      </c>
      <c r="R7">
        <v>9628</v>
      </c>
      <c r="S7">
        <v>1106</v>
      </c>
      <c r="T7">
        <v>820</v>
      </c>
      <c r="U7">
        <v>393</v>
      </c>
      <c r="V7">
        <v>18</v>
      </c>
      <c r="W7">
        <v>2337</v>
      </c>
      <c r="X7">
        <v>4612</v>
      </c>
      <c r="Y7">
        <v>498</v>
      </c>
      <c r="Z7">
        <v>417</v>
      </c>
      <c r="AA7">
        <v>221</v>
      </c>
      <c r="AB7">
        <v>10</v>
      </c>
      <c r="AC7">
        <v>1146</v>
      </c>
      <c r="AD7">
        <v>5016</v>
      </c>
      <c r="AE7">
        <v>608</v>
      </c>
      <c r="AF7">
        <v>403</v>
      </c>
      <c r="AG7">
        <v>172</v>
      </c>
      <c r="AH7">
        <v>8</v>
      </c>
      <c r="AI7">
        <v>1191</v>
      </c>
      <c r="AJ7">
        <v>0.24272953884503531</v>
      </c>
      <c r="AK7">
        <v>0.35087719298245612</v>
      </c>
      <c r="AL7">
        <v>0.16816431322207959</v>
      </c>
      <c r="AM7">
        <v>7.7021822849807449E-3</v>
      </c>
      <c r="AN7">
        <v>0.49037227214377405</v>
      </c>
      <c r="AO7">
        <v>0.5096277278562259</v>
      </c>
      <c r="AP7">
        <v>4603</v>
      </c>
      <c r="AQ7">
        <v>368</v>
      </c>
      <c r="AR7">
        <v>5</v>
      </c>
      <c r="AS7">
        <v>0</v>
      </c>
      <c r="AT7">
        <v>277</v>
      </c>
      <c r="AU7">
        <v>677</v>
      </c>
      <c r="AV7">
        <v>39</v>
      </c>
      <c r="AW7">
        <v>34</v>
      </c>
      <c r="AX7">
        <v>190</v>
      </c>
      <c r="AY7">
        <v>657</v>
      </c>
      <c r="AZ7">
        <v>92</v>
      </c>
      <c r="BA7">
        <v>49</v>
      </c>
      <c r="BB7">
        <v>83</v>
      </c>
      <c r="BC7">
        <v>270</v>
      </c>
      <c r="BD7">
        <v>206</v>
      </c>
      <c r="BE7">
        <v>277</v>
      </c>
      <c r="BF7">
        <v>775</v>
      </c>
      <c r="BG7">
        <v>80</v>
      </c>
      <c r="BH7">
        <v>234</v>
      </c>
      <c r="BI7">
        <v>248</v>
      </c>
      <c r="BJ7">
        <v>7.9947860091244841E-2</v>
      </c>
      <c r="BK7">
        <v>1.0862480990658267E-3</v>
      </c>
      <c r="BL7">
        <v>0</v>
      </c>
      <c r="BM7">
        <v>6.0178144688246796E-2</v>
      </c>
      <c r="BN7">
        <v>0.14707799261351293</v>
      </c>
      <c r="BO7">
        <v>8.472735172713448E-3</v>
      </c>
      <c r="BP7">
        <v>7.3864870736476207E-3</v>
      </c>
      <c r="BQ7">
        <v>4.1277427764501412E-2</v>
      </c>
      <c r="BR7">
        <v>0.14273300021724961</v>
      </c>
      <c r="BS7">
        <v>1.998696502281121E-2</v>
      </c>
      <c r="BT7">
        <v>1.0645231370845101E-2</v>
      </c>
      <c r="BU7">
        <v>1.8031718444492723E-2</v>
      </c>
      <c r="BV7">
        <v>5.8657397349554635E-2</v>
      </c>
      <c r="BW7">
        <v>4.4753421681512057E-2</v>
      </c>
      <c r="BX7">
        <v>6.0178144688246796E-2</v>
      </c>
      <c r="BY7">
        <v>0.16836845535520312</v>
      </c>
      <c r="BZ7">
        <v>1.7379969585053227E-2</v>
      </c>
      <c r="CA7">
        <v>5.0836411036280685E-2</v>
      </c>
      <c r="CB7">
        <v>5.3877905713664999E-2</v>
      </c>
      <c r="CC7">
        <v>4603</v>
      </c>
      <c r="CD7">
        <v>2559</v>
      </c>
      <c r="CE7">
        <v>1989</v>
      </c>
      <c r="CF7">
        <v>22</v>
      </c>
      <c r="CG7">
        <v>348</v>
      </c>
      <c r="CH7">
        <v>179</v>
      </c>
      <c r="CI7">
        <v>157</v>
      </c>
      <c r="CJ7">
        <v>7</v>
      </c>
      <c r="CK7">
        <v>0.55594177710189008</v>
      </c>
      <c r="CL7">
        <v>0.43210949380838581</v>
      </c>
      <c r="CM7">
        <v>4.7794916358896372E-3</v>
      </c>
      <c r="CN7">
        <v>0.51436781609195403</v>
      </c>
      <c r="CO7">
        <v>0.4511494252873563</v>
      </c>
      <c r="CP7">
        <v>2.0114942528735632E-2</v>
      </c>
    </row>
    <row r="8" spans="1:94" x14ac:dyDescent="0.15">
      <c r="A8" t="s">
        <v>432</v>
      </c>
      <c r="B8" t="s">
        <v>430</v>
      </c>
      <c r="C8" t="s">
        <v>433</v>
      </c>
      <c r="D8">
        <v>4194</v>
      </c>
      <c r="E8">
        <v>2130</v>
      </c>
      <c r="F8">
        <v>699</v>
      </c>
      <c r="G8">
        <v>624</v>
      </c>
      <c r="H8">
        <v>0.50786838340486407</v>
      </c>
      <c r="I8">
        <v>0.16666666666666666</v>
      </c>
      <c r="J8">
        <v>0.14878397711015737</v>
      </c>
      <c r="K8">
        <v>10294</v>
      </c>
      <c r="L8">
        <v>1060</v>
      </c>
      <c r="M8">
        <v>3673</v>
      </c>
      <c r="N8">
        <v>5130</v>
      </c>
      <c r="O8">
        <v>0.10297260540120458</v>
      </c>
      <c r="P8">
        <v>0.35680979211190983</v>
      </c>
      <c r="Q8">
        <v>0.49834855255488636</v>
      </c>
      <c r="R8">
        <v>10294</v>
      </c>
      <c r="S8">
        <v>941</v>
      </c>
      <c r="T8">
        <v>939</v>
      </c>
      <c r="U8">
        <v>350</v>
      </c>
      <c r="V8">
        <v>37</v>
      </c>
      <c r="W8">
        <v>2267</v>
      </c>
      <c r="X8">
        <v>4885</v>
      </c>
      <c r="Y8">
        <v>414</v>
      </c>
      <c r="Z8">
        <v>504</v>
      </c>
      <c r="AA8">
        <v>200</v>
      </c>
      <c r="AB8">
        <v>14</v>
      </c>
      <c r="AC8">
        <v>1132</v>
      </c>
      <c r="AD8">
        <v>5409</v>
      </c>
      <c r="AE8">
        <v>527</v>
      </c>
      <c r="AF8">
        <v>435</v>
      </c>
      <c r="AG8">
        <v>150</v>
      </c>
      <c r="AH8">
        <v>23</v>
      </c>
      <c r="AI8">
        <v>1135</v>
      </c>
      <c r="AJ8">
        <v>0.22022537400427433</v>
      </c>
      <c r="AK8">
        <v>0.41420379355977061</v>
      </c>
      <c r="AL8">
        <v>0.15438906043228937</v>
      </c>
      <c r="AM8">
        <v>1.6321129245699163E-2</v>
      </c>
      <c r="AN8">
        <v>0.49933833259814731</v>
      </c>
      <c r="AO8">
        <v>0.50066166740185269</v>
      </c>
      <c r="AP8">
        <v>4886</v>
      </c>
      <c r="AQ8">
        <v>718</v>
      </c>
      <c r="AR8">
        <v>9</v>
      </c>
      <c r="AS8">
        <v>0</v>
      </c>
      <c r="AT8">
        <v>281</v>
      </c>
      <c r="AU8">
        <v>662</v>
      </c>
      <c r="AV8">
        <v>36</v>
      </c>
      <c r="AW8">
        <v>34</v>
      </c>
      <c r="AX8">
        <v>158</v>
      </c>
      <c r="AY8">
        <v>691</v>
      </c>
      <c r="AZ8">
        <v>84</v>
      </c>
      <c r="BA8">
        <v>37</v>
      </c>
      <c r="BB8">
        <v>99</v>
      </c>
      <c r="BC8">
        <v>273</v>
      </c>
      <c r="BD8">
        <v>173</v>
      </c>
      <c r="BE8">
        <v>271</v>
      </c>
      <c r="BF8">
        <v>717</v>
      </c>
      <c r="BG8">
        <v>86</v>
      </c>
      <c r="BH8">
        <v>216</v>
      </c>
      <c r="BI8">
        <v>293</v>
      </c>
      <c r="BJ8">
        <v>0.1469504707327057</v>
      </c>
      <c r="BK8">
        <v>1.8419975440032747E-3</v>
      </c>
      <c r="BL8">
        <v>0</v>
      </c>
      <c r="BM8">
        <v>5.7511256651657801E-2</v>
      </c>
      <c r="BN8">
        <v>0.13548915268112977</v>
      </c>
      <c r="BO8">
        <v>7.3679901760130987E-3</v>
      </c>
      <c r="BP8">
        <v>6.9586573884568154E-3</v>
      </c>
      <c r="BQ8">
        <v>3.2337290216946375E-2</v>
      </c>
      <c r="BR8">
        <v>0.14142447810069586</v>
      </c>
      <c r="BS8">
        <v>1.7191977077363897E-2</v>
      </c>
      <c r="BT8">
        <v>7.5726565697912399E-3</v>
      </c>
      <c r="BU8">
        <v>2.0261972984036022E-2</v>
      </c>
      <c r="BV8">
        <v>5.5873925501432664E-2</v>
      </c>
      <c r="BW8">
        <v>3.54072861236185E-2</v>
      </c>
      <c r="BX8">
        <v>5.5464592713876382E-2</v>
      </c>
      <c r="BY8">
        <v>0.14674580433892756</v>
      </c>
      <c r="BZ8">
        <v>1.760130986492018E-2</v>
      </c>
      <c r="CA8">
        <v>4.4207941056078594E-2</v>
      </c>
      <c r="CB8">
        <v>5.9967253376995495E-2</v>
      </c>
      <c r="CC8">
        <v>4886</v>
      </c>
      <c r="CD8">
        <v>2745</v>
      </c>
      <c r="CE8">
        <v>2077</v>
      </c>
      <c r="CF8">
        <v>17</v>
      </c>
      <c r="CG8">
        <v>596</v>
      </c>
      <c r="CH8">
        <v>432</v>
      </c>
      <c r="CI8">
        <v>143</v>
      </c>
      <c r="CJ8">
        <v>9</v>
      </c>
      <c r="CK8">
        <v>0.56180925092099876</v>
      </c>
      <c r="CL8">
        <v>0.42509209987720015</v>
      </c>
      <c r="CM8">
        <v>3.4793286942284077E-3</v>
      </c>
      <c r="CN8">
        <v>0.72483221476510062</v>
      </c>
      <c r="CO8">
        <v>0.23993288590604026</v>
      </c>
      <c r="CP8">
        <v>1.5100671140939598E-2</v>
      </c>
    </row>
    <row r="15" spans="1:94" x14ac:dyDescent="0.15">
      <c r="D15" s="202"/>
      <c r="E15" s="202"/>
      <c r="F15" s="202"/>
      <c r="G15" s="202"/>
      <c r="H15" s="202"/>
      <c r="I15" s="202"/>
      <c r="J15" s="202"/>
      <c r="K15" s="202"/>
      <c r="L15" s="202"/>
      <c r="M15" s="202"/>
      <c r="N15" s="202"/>
      <c r="O15" s="202"/>
      <c r="P15" s="202"/>
      <c r="Q15" s="202"/>
      <c r="R15" s="202"/>
      <c r="S15" s="202"/>
      <c r="T15" s="202"/>
      <c r="U15" s="202"/>
      <c r="V15" s="202"/>
      <c r="W15" s="202"/>
      <c r="X15" s="202"/>
      <c r="Y15" s="202"/>
      <c r="Z15" s="202"/>
      <c r="AA15" s="202"/>
      <c r="AB15" s="202"/>
      <c r="AC15" s="202"/>
      <c r="AD15" s="202"/>
      <c r="AE15" s="202"/>
      <c r="AF15" s="202"/>
      <c r="AG15" s="202"/>
      <c r="AH15" s="202"/>
      <c r="AI15" s="202"/>
      <c r="AJ15" s="202"/>
      <c r="AK15" s="202"/>
      <c r="AL15" s="202"/>
      <c r="AM15" s="202"/>
      <c r="AN15" s="202"/>
      <c r="AO15" s="202"/>
      <c r="AP15" s="202"/>
      <c r="AQ15" s="202"/>
      <c r="AR15" s="202"/>
      <c r="AS15" s="202"/>
      <c r="AT15" s="202"/>
      <c r="AU15" s="202"/>
      <c r="AV15" s="202"/>
      <c r="AW15" s="202"/>
      <c r="AX15" s="202"/>
      <c r="AY15" s="202"/>
      <c r="AZ15" s="202"/>
      <c r="BA15" s="202"/>
      <c r="BB15" s="202"/>
      <c r="BC15" s="202"/>
      <c r="BD15" s="202"/>
      <c r="BE15" s="202"/>
      <c r="BF15" s="202"/>
      <c r="BG15" s="202"/>
      <c r="BH15" s="202"/>
      <c r="BI15" s="202"/>
      <c r="BJ15" s="202"/>
      <c r="BK15" s="202"/>
      <c r="BL15" s="202"/>
      <c r="BM15" s="202"/>
      <c r="BN15" s="202"/>
      <c r="BO15" s="202"/>
      <c r="BP15" s="202"/>
      <c r="BQ15" s="202"/>
      <c r="BR15" s="202"/>
      <c r="BS15" s="202"/>
      <c r="BT15" s="202"/>
      <c r="BU15" s="202"/>
      <c r="BV15" s="202"/>
      <c r="BW15" s="202"/>
      <c r="BX15" s="202"/>
      <c r="BY15" s="202"/>
      <c r="BZ15" s="202"/>
      <c r="CA15" s="202"/>
      <c r="CB15" s="202"/>
      <c r="CC15" s="202"/>
      <c r="CD15" s="202"/>
      <c r="CE15" s="202"/>
      <c r="CF15" s="202"/>
      <c r="CG15" s="202"/>
      <c r="CH15" s="202"/>
      <c r="CI15" s="202"/>
      <c r="CJ15" s="202"/>
      <c r="CK15" s="202"/>
      <c r="CL15" s="202"/>
      <c r="CM15" s="202"/>
      <c r="CN15" s="202"/>
      <c r="CO15" s="202"/>
      <c r="CP15" s="202"/>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4" t="str">
        <f>管理者入力シート!B4</f>
        <v>高鍋東中学校区</v>
      </c>
      <c r="C2" s="254"/>
      <c r="D2" s="254"/>
      <c r="E2" s="253" t="s">
        <v>225</v>
      </c>
      <c r="F2" s="253"/>
      <c r="G2" s="253"/>
      <c r="H2" s="253"/>
      <c r="I2" s="253"/>
    </row>
    <row r="3" spans="1:10" ht="22.5" customHeight="1" x14ac:dyDescent="0.15">
      <c r="B3" s="254"/>
      <c r="C3" s="254"/>
      <c r="D3" s="254"/>
      <c r="E3" s="253"/>
      <c r="F3" s="253"/>
      <c r="G3" s="253"/>
      <c r="H3" s="253"/>
      <c r="I3" s="253"/>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7">
        <f>管理者用グラフシート!E6</f>
        <v>9629</v>
      </c>
      <c r="F6" s="257"/>
      <c r="G6" s="20" t="s">
        <v>54</v>
      </c>
    </row>
    <row r="7" spans="1:10" ht="22.5" customHeight="1" x14ac:dyDescent="0.15">
      <c r="A7" s="249">
        <f>管理者用グラフシート!B4</f>
        <v>2010</v>
      </c>
      <c r="B7" s="249"/>
      <c r="C7" s="82" t="s">
        <v>226</v>
      </c>
      <c r="D7" s="251">
        <f>E6-管理者用グラフシート!E4</f>
        <v>-742</v>
      </c>
      <c r="E7" s="251"/>
      <c r="F7" s="20" t="s">
        <v>356</v>
      </c>
    </row>
    <row r="8" spans="1:10" ht="22.5" customHeight="1" x14ac:dyDescent="0.15">
      <c r="A8" s="248" t="s">
        <v>380</v>
      </c>
      <c r="B8" s="248"/>
      <c r="C8" s="204">
        <f>管理者用グラフシート!C6-管理者用グラフシート!C4</f>
        <v>-279</v>
      </c>
      <c r="D8" s="207" t="s">
        <v>381</v>
      </c>
      <c r="F8" s="204">
        <f>管理者用グラフシート!D6-管理者用グラフシート!D4</f>
        <v>-463</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0">
        <f>管理者用グラフシート!C12</f>
        <v>531</v>
      </c>
      <c r="G36" s="250"/>
      <c r="H36" s="20" t="s">
        <v>54</v>
      </c>
    </row>
    <row r="37" spans="1:9" ht="22.5" customHeight="1" x14ac:dyDescent="0.15">
      <c r="A37" s="20" t="s">
        <v>66</v>
      </c>
      <c r="F37" s="250">
        <f>管理者用グラフシート!C16</f>
        <v>261</v>
      </c>
      <c r="G37" s="250"/>
      <c r="H37" s="20" t="s">
        <v>54</v>
      </c>
    </row>
    <row r="38" spans="1:9" ht="22.5" customHeight="1" x14ac:dyDescent="0.15">
      <c r="D38" s="252"/>
      <c r="E38" s="252"/>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51">
        <f>F36-管理者用グラフシート!C10</f>
        <v>-45</v>
      </c>
      <c r="E40" s="251"/>
      <c r="F40" s="20" t="s">
        <v>60</v>
      </c>
    </row>
    <row r="41" spans="1:9" ht="22.5" customHeight="1" x14ac:dyDescent="0.15">
      <c r="B41" s="20" t="s">
        <v>69</v>
      </c>
      <c r="D41" s="251">
        <f>F37-管理者用グラフシート!C14</f>
        <v>-44</v>
      </c>
      <c r="E41" s="251"/>
      <c r="F41" s="20" t="s">
        <v>70</v>
      </c>
    </row>
    <row r="53" spans="1:13" ht="22.5" customHeight="1" x14ac:dyDescent="0.15">
      <c r="M53" s="72"/>
    </row>
    <row r="62" spans="1:13" ht="22.5" customHeight="1" thickBot="1" x14ac:dyDescent="0.2"/>
    <row r="63" spans="1:13" ht="22.5" customHeight="1" x14ac:dyDescent="0.15">
      <c r="A63" s="243" t="s">
        <v>427</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0">
        <f>管理者用グラフシート!C22</f>
        <v>3140</v>
      </c>
      <c r="D70" s="250"/>
      <c r="E70" s="20" t="s">
        <v>76</v>
      </c>
      <c r="F70" s="37"/>
      <c r="G70" s="255">
        <f>管理者用グラフシート!C32</f>
        <v>0.33</v>
      </c>
      <c r="H70" s="255"/>
      <c r="I70" s="20" t="s">
        <v>77</v>
      </c>
    </row>
    <row r="71" spans="1:9" ht="22.5" customHeight="1" x14ac:dyDescent="0.15">
      <c r="A71" s="20" t="s">
        <v>78</v>
      </c>
      <c r="C71" s="250">
        <f>管理者用グラフシート!C26</f>
        <v>1565</v>
      </c>
      <c r="D71" s="250"/>
      <c r="E71" s="20" t="s">
        <v>76</v>
      </c>
      <c r="F71" s="37"/>
      <c r="G71" s="255">
        <f>管理者用グラフシート!C36</f>
        <v>0.16</v>
      </c>
      <c r="H71" s="255"/>
      <c r="I71" s="20" t="s">
        <v>77</v>
      </c>
    </row>
    <row r="72" spans="1:9" ht="22.5" customHeight="1" x14ac:dyDescent="0.15">
      <c r="D72" s="252"/>
      <c r="E72" s="252"/>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0"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8ポイント上昇</v>
      </c>
      <c r="F74" s="250"/>
      <c r="G74" s="250"/>
      <c r="H74" s="20" t="s">
        <v>82</v>
      </c>
    </row>
    <row r="75" spans="1:9" ht="22.5" customHeight="1" x14ac:dyDescent="0.15">
      <c r="B75" s="20" t="s">
        <v>83</v>
      </c>
      <c r="D75" s="37"/>
      <c r="E75" s="256"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3ポイント上昇</v>
      </c>
      <c r="F75" s="256"/>
      <c r="G75" s="256"/>
      <c r="H75" s="20" t="s">
        <v>77</v>
      </c>
    </row>
    <row r="95" spans="1:9" ht="22.5" customHeight="1" thickBot="1" x14ac:dyDescent="0.2"/>
    <row r="96" spans="1:9" ht="22.5" customHeight="1" x14ac:dyDescent="0.15">
      <c r="A96" s="97" t="s">
        <v>426</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6">
        <f>SUM(管理者用グラフシート!B93:C94)-SUM(管理者用グラフシート!B45:C46)</f>
        <v>-239</v>
      </c>
      <c r="G135" s="208" t="s">
        <v>386</v>
      </c>
      <c r="H135" s="111"/>
    </row>
    <row r="136" spans="1:8" ht="22.5" customHeight="1" x14ac:dyDescent="0.15">
      <c r="A136" s="35" t="s">
        <v>387</v>
      </c>
      <c r="C136" s="206">
        <f>SUM(管理者用グラフシート!B95:C96)-SUM(管理者用グラフシート!B47:C48)</f>
        <v>-354</v>
      </c>
      <c r="D136" s="20" t="s">
        <v>388</v>
      </c>
      <c r="E136" s="34"/>
      <c r="F136" s="206">
        <f>SUM(管理者用グラフシート!B97:C98)-SUM(管理者用グラフシート!B49:C50)</f>
        <v>132</v>
      </c>
      <c r="G136" s="20" t="s">
        <v>386</v>
      </c>
    </row>
    <row r="137" spans="1:8" ht="18.75" x14ac:dyDescent="0.15">
      <c r="A137" s="20" t="s">
        <v>389</v>
      </c>
      <c r="C137" s="206">
        <f>SUM(管理者用グラフシート!B99:C100)-SUM(管理者用グラフシート!B51:C52)</f>
        <v>-302</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4" t="str">
        <f>管理者入力シート!B4</f>
        <v>高鍋東中学校区</v>
      </c>
      <c r="B2" s="254"/>
      <c r="C2" s="254"/>
      <c r="D2" s="253" t="s">
        <v>230</v>
      </c>
      <c r="E2" s="253"/>
      <c r="F2" s="253"/>
      <c r="G2" s="253"/>
      <c r="H2" s="253"/>
      <c r="I2" s="253"/>
    </row>
    <row r="3" spans="1:9" ht="27.75" customHeight="1" x14ac:dyDescent="0.15">
      <c r="A3" s="254"/>
      <c r="B3" s="254"/>
      <c r="C3" s="254"/>
      <c r="D3" s="253"/>
      <c r="E3" s="253"/>
      <c r="F3" s="253"/>
      <c r="G3" s="253"/>
      <c r="H3" s="253"/>
      <c r="I3" s="253"/>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0">
        <f>管理者用グラフシート!K8</f>
        <v>8481</v>
      </c>
      <c r="E6" s="250"/>
      <c r="F6" s="20" t="s">
        <v>231</v>
      </c>
      <c r="H6" s="34"/>
      <c r="I6" s="34"/>
    </row>
    <row r="7" spans="1:9" ht="22.5" customHeight="1" x14ac:dyDescent="0.15">
      <c r="A7" s="249">
        <f>管理者入力シート!B5</f>
        <v>2020</v>
      </c>
      <c r="B7" s="249"/>
      <c r="C7" s="195" t="s">
        <v>362</v>
      </c>
      <c r="D7" s="251">
        <f>D6-現況シート!E6</f>
        <v>-1148</v>
      </c>
      <c r="E7" s="251"/>
      <c r="F7" s="20" t="s">
        <v>232</v>
      </c>
      <c r="I7" s="34"/>
    </row>
    <row r="8" spans="1:9" ht="22.5" customHeight="1" x14ac:dyDescent="0.15">
      <c r="A8" s="248" t="s">
        <v>397</v>
      </c>
      <c r="B8" s="248"/>
      <c r="C8" s="206">
        <f>管理者用グラフシート!I8-管理者用グラフシート!C6</f>
        <v>-514</v>
      </c>
      <c r="D8" s="207" t="s">
        <v>398</v>
      </c>
      <c r="F8" s="261">
        <f>管理者用グラフシート!J8-管理者用グラフシート!D6</f>
        <v>-634</v>
      </c>
      <c r="G8" s="261"/>
      <c r="H8" s="20" t="s">
        <v>399</v>
      </c>
    </row>
    <row r="10" spans="1:9" ht="22.5" customHeight="1" x14ac:dyDescent="0.15">
      <c r="A10" s="249">
        <f>管理者入力シート!B11</f>
        <v>2040</v>
      </c>
      <c r="B10" s="249"/>
      <c r="C10" s="20" t="s">
        <v>361</v>
      </c>
      <c r="D10" s="250">
        <f>管理者用グラフシート!K10</f>
        <v>7232</v>
      </c>
      <c r="E10" s="250"/>
      <c r="F10" s="20" t="s">
        <v>231</v>
      </c>
      <c r="H10" s="34"/>
    </row>
    <row r="11" spans="1:9" ht="22.5" customHeight="1" x14ac:dyDescent="0.15">
      <c r="A11" s="249">
        <f>管理者入力シート!B5</f>
        <v>2020</v>
      </c>
      <c r="B11" s="249"/>
      <c r="C11" s="195" t="s">
        <v>362</v>
      </c>
      <c r="D11" s="251">
        <f>D10-現況シート!E6</f>
        <v>-2397</v>
      </c>
      <c r="E11" s="251"/>
      <c r="F11" s="20" t="s">
        <v>232</v>
      </c>
      <c r="H11" s="34"/>
    </row>
    <row r="12" spans="1:9" ht="22.5" customHeight="1" x14ac:dyDescent="0.15">
      <c r="A12" s="248" t="s">
        <v>397</v>
      </c>
      <c r="B12" s="248"/>
      <c r="C12" s="206">
        <f>管理者用グラフシート!I10-管理者用グラフシート!C6</f>
        <v>-1078</v>
      </c>
      <c r="D12" s="207" t="s">
        <v>398</v>
      </c>
      <c r="F12" s="261">
        <f>管理者用グラフシート!J10-管理者用グラフシート!D6</f>
        <v>-1319</v>
      </c>
      <c r="G12" s="261"/>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8" t="s">
        <v>363</v>
      </c>
      <c r="D35" s="258"/>
      <c r="F35" s="36"/>
      <c r="G35" s="36"/>
      <c r="H35" s="257"/>
      <c r="I35" s="252"/>
    </row>
    <row r="36" spans="1:9" ht="22.5" customHeight="1" x14ac:dyDescent="0.15">
      <c r="A36" s="20" t="s">
        <v>237</v>
      </c>
      <c r="F36" s="250">
        <f>管理者用グラフシート!I20</f>
        <v>308</v>
      </c>
      <c r="G36" s="250"/>
      <c r="H36" s="82" t="s">
        <v>233</v>
      </c>
      <c r="I36" s="34"/>
    </row>
    <row r="37" spans="1:9" ht="22.5" customHeight="1" x14ac:dyDescent="0.15">
      <c r="A37" s="20" t="s">
        <v>234</v>
      </c>
      <c r="F37" s="250">
        <f>管理者用グラフシート!I28</f>
        <v>162</v>
      </c>
      <c r="G37" s="250"/>
      <c r="H37" s="109" t="s">
        <v>235</v>
      </c>
      <c r="I37" s="86"/>
    </row>
    <row r="38" spans="1:9" ht="22.5" customHeight="1" x14ac:dyDescent="0.15">
      <c r="D38" s="252"/>
      <c r="E38" s="252"/>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1">
        <f>F36-現況シート!F36</f>
        <v>-223</v>
      </c>
      <c r="G40" s="251"/>
      <c r="H40" s="35" t="s">
        <v>60</v>
      </c>
    </row>
    <row r="41" spans="1:9" ht="22.5" customHeight="1" x14ac:dyDescent="0.15">
      <c r="A41" s="20" t="s">
        <v>69</v>
      </c>
      <c r="C41" s="199">
        <f>管理者入力シート!B5</f>
        <v>2020</v>
      </c>
      <c r="D41" s="20" t="s">
        <v>374</v>
      </c>
      <c r="F41" s="251">
        <f>F37-現況シート!F37</f>
        <v>-99</v>
      </c>
      <c r="G41" s="251"/>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9">
        <f>管理者用グラフシート!H38</f>
        <v>2040</v>
      </c>
      <c r="B69" s="249"/>
      <c r="C69" s="258" t="s">
        <v>363</v>
      </c>
      <c r="D69" s="258"/>
      <c r="F69" s="34"/>
      <c r="G69" s="37"/>
      <c r="H69" s="67"/>
      <c r="I69" s="71"/>
    </row>
    <row r="70" spans="1:9" ht="22.5" customHeight="1" x14ac:dyDescent="0.15">
      <c r="A70" s="20" t="s">
        <v>238</v>
      </c>
      <c r="C70" s="250">
        <f>管理者用グラフシート!I38</f>
        <v>2678</v>
      </c>
      <c r="D70" s="250"/>
      <c r="E70" s="82" t="s">
        <v>239</v>
      </c>
      <c r="F70" s="34"/>
      <c r="G70" s="255">
        <f>管理者用グラフシート!I56</f>
        <v>0.37</v>
      </c>
      <c r="H70" s="255"/>
      <c r="I70" s="110" t="s">
        <v>240</v>
      </c>
    </row>
    <row r="71" spans="1:9" ht="22.5" customHeight="1" x14ac:dyDescent="0.15">
      <c r="A71" s="20" t="s">
        <v>241</v>
      </c>
      <c r="C71" s="250">
        <f>管理者用グラフシート!I46</f>
        <v>1590</v>
      </c>
      <c r="D71" s="250"/>
      <c r="E71" s="20" t="s">
        <v>239</v>
      </c>
      <c r="G71" s="259">
        <f>管理者用グラフシート!I64</f>
        <v>0.22</v>
      </c>
      <c r="H71" s="252"/>
      <c r="I71" s="20" t="s">
        <v>242</v>
      </c>
    </row>
    <row r="72" spans="1:9" ht="27.75" customHeight="1" x14ac:dyDescent="0.15">
      <c r="C72" s="81"/>
      <c r="D72" s="81"/>
      <c r="G72" s="260" t="s">
        <v>236</v>
      </c>
      <c r="H72" s="260"/>
      <c r="I72" s="260"/>
    </row>
    <row r="73" spans="1:9" ht="22.5" customHeight="1" x14ac:dyDescent="0.15">
      <c r="A73" s="249">
        <f>管理者入力シート!B5</f>
        <v>2020</v>
      </c>
      <c r="B73" s="249"/>
      <c r="C73" s="20" t="s">
        <v>228</v>
      </c>
      <c r="D73" s="34"/>
      <c r="E73" s="34"/>
      <c r="F73" s="35"/>
    </row>
    <row r="74" spans="1:9" ht="22.5" customHeight="1" x14ac:dyDescent="0.15">
      <c r="B74" s="20" t="s">
        <v>81</v>
      </c>
      <c r="D74" s="37"/>
      <c r="E74" s="250"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4ポイント上昇</v>
      </c>
      <c r="F74" s="250"/>
      <c r="G74" s="250"/>
      <c r="H74" s="20" t="s">
        <v>82</v>
      </c>
    </row>
    <row r="75" spans="1:9" ht="22.5" customHeight="1" x14ac:dyDescent="0.15">
      <c r="B75" s="20" t="s">
        <v>83</v>
      </c>
      <c r="D75" s="37"/>
      <c r="E75" s="256"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6ポイント上昇</v>
      </c>
      <c r="F75" s="256"/>
      <c r="G75" s="256"/>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6"/>
    </row>
    <row r="103" spans="1:8" ht="27.75" customHeight="1" x14ac:dyDescent="0.15">
      <c r="A103" s="249">
        <f>管理者入力シート!B5</f>
        <v>2020</v>
      </c>
      <c r="B103" s="249"/>
      <c r="C103" s="20" t="s">
        <v>385</v>
      </c>
      <c r="D103" s="36"/>
      <c r="G103" s="206">
        <f>SUM(管理者用グラフシート!H97:I98)-SUM(管理者用グラフシート!B93:C94)</f>
        <v>-113</v>
      </c>
      <c r="H103" s="208" t="s">
        <v>60</v>
      </c>
    </row>
    <row r="104" spans="1:8" ht="22.5" customHeight="1" x14ac:dyDescent="0.15">
      <c r="A104" s="35" t="s">
        <v>387</v>
      </c>
      <c r="C104" s="206">
        <f>SUM(管理者用グラフシート!H99:I100)-SUM(管理者用グラフシート!B95:C96)</f>
        <v>-258</v>
      </c>
      <c r="D104" s="20" t="s">
        <v>423</v>
      </c>
      <c r="E104" s="34"/>
      <c r="G104" s="206">
        <f>SUM(管理者用グラフシート!H101:I102)-SUM(管理者用グラフシート!B97:C98)</f>
        <v>-304</v>
      </c>
      <c r="H104" s="20" t="s">
        <v>60</v>
      </c>
    </row>
    <row r="105" spans="1:8" ht="22.5" customHeight="1" x14ac:dyDescent="0.15">
      <c r="A105" s="20" t="s">
        <v>389</v>
      </c>
      <c r="C105" s="206">
        <f>SUM(管理者用グラフシート!H103:I104)-SUM(管理者用グラフシート!B99:C100)</f>
        <v>119</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6">
        <f>SUM(管理者用グラフシート!H145:I146)-SUM(管理者用グラフシート!B93:C94)</f>
        <v>-181</v>
      </c>
      <c r="H137" s="208" t="s">
        <v>60</v>
      </c>
    </row>
    <row r="138" spans="1:8" ht="22.5" customHeight="1" x14ac:dyDescent="0.15">
      <c r="A138" s="35" t="s">
        <v>387</v>
      </c>
      <c r="C138" s="206">
        <f>SUM(管理者用グラフシート!H147:I148)-SUM(管理者用グラフシート!B95:C96)</f>
        <v>-370</v>
      </c>
      <c r="D138" s="20" t="s">
        <v>423</v>
      </c>
      <c r="E138" s="34"/>
      <c r="G138" s="206">
        <f>SUM(管理者用グラフシート!H149:I150)-SUM(管理者用グラフシート!B97:C98)</f>
        <v>-549</v>
      </c>
      <c r="H138" s="20" t="s">
        <v>60</v>
      </c>
    </row>
    <row r="139" spans="1:8" ht="22.5" customHeight="1" x14ac:dyDescent="0.15">
      <c r="A139" s="20" t="s">
        <v>389</v>
      </c>
      <c r="C139" s="206">
        <f>SUM(管理者用グラフシート!H151:I152)-SUM(管理者用グラフシート!B99:C100)</f>
        <v>-178</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3" t="str">
        <f>管理者入力シート!B4</f>
        <v>高鍋東中学校区</v>
      </c>
      <c r="B2" s="273"/>
      <c r="C2" s="273"/>
      <c r="D2" s="253" t="s">
        <v>249</v>
      </c>
      <c r="E2" s="253"/>
      <c r="F2" s="253"/>
      <c r="G2" s="253"/>
      <c r="H2" s="253"/>
      <c r="I2" s="253"/>
    </row>
    <row r="3" spans="1:9" ht="31.5" customHeight="1" x14ac:dyDescent="0.15">
      <c r="A3" s="273"/>
      <c r="B3" s="273"/>
      <c r="C3" s="273"/>
      <c r="D3" s="253"/>
      <c r="E3" s="253"/>
      <c r="F3" s="253"/>
      <c r="G3" s="253"/>
      <c r="H3" s="253"/>
      <c r="I3" s="253"/>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7" t="s">
        <v>254</v>
      </c>
      <c r="B15" s="277"/>
      <c r="C15" s="277"/>
      <c r="D15" s="278" t="s">
        <v>258</v>
      </c>
      <c r="E15" s="279"/>
      <c r="F15" s="274" t="s">
        <v>257</v>
      </c>
      <c r="G15" s="275"/>
      <c r="H15" s="276"/>
    </row>
    <row r="16" spans="1:9" ht="17.25" customHeight="1" x14ac:dyDescent="0.15">
      <c r="A16" s="124" t="s">
        <v>254</v>
      </c>
      <c r="B16" s="124" t="s">
        <v>21</v>
      </c>
      <c r="C16" s="124" t="s">
        <v>22</v>
      </c>
      <c r="D16" s="278"/>
      <c r="E16" s="279"/>
      <c r="F16" s="126"/>
      <c r="G16" s="127" t="s">
        <v>21</v>
      </c>
      <c r="H16" s="128" t="s">
        <v>22</v>
      </c>
    </row>
    <row r="17" spans="1:9" ht="18.75" customHeight="1" x14ac:dyDescent="0.15">
      <c r="A17" s="125" t="s">
        <v>0</v>
      </c>
      <c r="B17" s="116">
        <v>1</v>
      </c>
      <c r="C17" s="116">
        <v>1</v>
      </c>
      <c r="D17" s="278"/>
      <c r="E17" s="279"/>
      <c r="F17" s="119" t="s">
        <v>0</v>
      </c>
      <c r="G17" s="116">
        <v>1</v>
      </c>
      <c r="H17" s="118">
        <v>1</v>
      </c>
    </row>
    <row r="18" spans="1:9" ht="18.75" customHeight="1" x14ac:dyDescent="0.15">
      <c r="A18" s="125" t="s">
        <v>1</v>
      </c>
      <c r="B18" s="116"/>
      <c r="C18" s="116"/>
      <c r="D18" s="278"/>
      <c r="E18" s="279"/>
      <c r="F18" s="119" t="s">
        <v>1</v>
      </c>
      <c r="G18" s="116"/>
      <c r="H18" s="118"/>
    </row>
    <row r="19" spans="1:9" ht="18.75" customHeight="1" x14ac:dyDescent="0.15">
      <c r="A19" s="125" t="s">
        <v>2</v>
      </c>
      <c r="B19" s="73">
        <v>1</v>
      </c>
      <c r="C19" s="73">
        <v>1</v>
      </c>
      <c r="D19" s="278"/>
      <c r="E19" s="279"/>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63">
        <f>管理者入力シート!B5</f>
        <v>2020</v>
      </c>
      <c r="C31" s="263"/>
      <c r="D31" s="83" t="s">
        <v>412</v>
      </c>
      <c r="E31" s="131"/>
      <c r="F31" s="131"/>
      <c r="G31" s="131"/>
      <c r="H31" s="131"/>
      <c r="I31" s="237"/>
    </row>
    <row r="32" spans="1:9" s="131" customFormat="1" ht="17.25" customHeight="1" x14ac:dyDescent="0.15">
      <c r="A32" s="159" t="s">
        <v>409</v>
      </c>
      <c r="B32" s="262">
        <f>管理者入力シート!B5</f>
        <v>2020</v>
      </c>
      <c r="C32" s="262"/>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0" t="s">
        <v>257</v>
      </c>
      <c r="C35" s="271"/>
      <c r="D35" s="272"/>
      <c r="F35" s="162"/>
      <c r="G35" s="240"/>
      <c r="H35" s="264" t="s">
        <v>410</v>
      </c>
      <c r="I35" s="265"/>
    </row>
    <row r="36" spans="1:9" s="132" customFormat="1" ht="17.25" customHeight="1" x14ac:dyDescent="0.15">
      <c r="A36" s="160"/>
      <c r="B36" s="215"/>
      <c r="C36" s="127" t="s">
        <v>21</v>
      </c>
      <c r="D36" s="216" t="s">
        <v>22</v>
      </c>
      <c r="F36" s="162"/>
      <c r="G36" s="238">
        <f>管理者入力シート!B8</f>
        <v>2025</v>
      </c>
      <c r="H36" s="266">
        <f>管理者用人口入力シート!EU22</f>
        <v>9582</v>
      </c>
      <c r="I36" s="267"/>
    </row>
    <row r="37" spans="1:9" s="130" customFormat="1" ht="17.25" customHeight="1" x14ac:dyDescent="0.15">
      <c r="A37" s="165"/>
      <c r="B37" s="226" t="s">
        <v>5</v>
      </c>
      <c r="C37" s="227">
        <f>管理者用人口入力シート!DX1</f>
        <v>81</v>
      </c>
      <c r="D37" s="228">
        <f>C37</f>
        <v>81</v>
      </c>
      <c r="F37" s="162"/>
      <c r="G37" s="238">
        <f>管理者入力シート!B9</f>
        <v>2030</v>
      </c>
      <c r="H37" s="266">
        <f>管理者用人口入力シート!EU25</f>
        <v>9615</v>
      </c>
      <c r="I37" s="267"/>
    </row>
    <row r="38" spans="1:9" s="132" customFormat="1" ht="17.25" customHeight="1" x14ac:dyDescent="0.15">
      <c r="A38" s="160"/>
      <c r="B38" s="226" t="s">
        <v>6</v>
      </c>
      <c r="C38" s="227">
        <f>C37</f>
        <v>81</v>
      </c>
      <c r="D38" s="228">
        <f>C37</f>
        <v>81</v>
      </c>
      <c r="F38" s="162"/>
      <c r="G38" s="238">
        <f>管理者入力シート!B10</f>
        <v>2035</v>
      </c>
      <c r="H38" s="266">
        <f>管理者用人口入力シート!EU28</f>
        <v>9664</v>
      </c>
      <c r="I38" s="267"/>
    </row>
    <row r="39" spans="1:9" ht="17.25" customHeight="1" thickBot="1" x14ac:dyDescent="0.2">
      <c r="A39" s="166"/>
      <c r="B39" s="229" t="s">
        <v>7</v>
      </c>
      <c r="C39" s="230">
        <f>C37</f>
        <v>81</v>
      </c>
      <c r="D39" s="231">
        <f>C37</f>
        <v>81</v>
      </c>
      <c r="F39" s="162"/>
      <c r="G39" s="239">
        <f>管理者入力シート!B11</f>
        <v>2040</v>
      </c>
      <c r="H39" s="268">
        <f>管理者用人口入力シート!EU31</f>
        <v>9697</v>
      </c>
      <c r="I39" s="269"/>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9">
        <f>管理者入力シート!B9</f>
        <v>2030</v>
      </c>
      <c r="B43" s="249"/>
      <c r="C43" s="20" t="s">
        <v>417</v>
      </c>
      <c r="D43" s="250">
        <f>管理者用グラフシート!U8</f>
        <v>8500</v>
      </c>
      <c r="E43" s="250"/>
      <c r="F43" s="20" t="s">
        <v>231</v>
      </c>
      <c r="H43" s="34"/>
      <c r="I43" s="34"/>
    </row>
    <row r="44" spans="1:9" ht="22.5" customHeight="1" x14ac:dyDescent="0.15">
      <c r="A44" s="249">
        <f>管理者入力シート!B11</f>
        <v>2040</v>
      </c>
      <c r="B44" s="249"/>
      <c r="C44" s="20" t="s">
        <v>417</v>
      </c>
      <c r="D44" s="250">
        <f>管理者用グラフシート!U10</f>
        <v>7273</v>
      </c>
      <c r="E44" s="250"/>
      <c r="F44" s="20" t="s">
        <v>231</v>
      </c>
      <c r="H44" s="34"/>
      <c r="I44" s="34"/>
    </row>
    <row r="45" spans="1:9" ht="22.5" customHeight="1" x14ac:dyDescent="0.15">
      <c r="A45" s="20" t="s">
        <v>121</v>
      </c>
    </row>
    <row r="46" spans="1:9" ht="22.5" customHeight="1" x14ac:dyDescent="0.15">
      <c r="A46" s="249">
        <f>管理者入力シート!B9</f>
        <v>2030</v>
      </c>
      <c r="B46" s="249"/>
      <c r="C46" s="20" t="s">
        <v>418</v>
      </c>
      <c r="D46" s="257">
        <f>D43-将来予測シート①!D6</f>
        <v>19</v>
      </c>
      <c r="E46" s="257"/>
      <c r="F46" s="20" t="s">
        <v>122</v>
      </c>
    </row>
    <row r="47" spans="1:9" ht="22.5" customHeight="1" x14ac:dyDescent="0.15">
      <c r="A47" s="249">
        <f>管理者入力シート!B11</f>
        <v>2040</v>
      </c>
      <c r="B47" s="249"/>
      <c r="C47" s="20" t="s">
        <v>418</v>
      </c>
      <c r="D47" s="257">
        <f>D44-将来予測シート①!D10</f>
        <v>41</v>
      </c>
      <c r="E47" s="257"/>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0">
        <f>管理者用グラフシート!Q20</f>
        <v>314</v>
      </c>
      <c r="G78" s="250"/>
      <c r="H78" s="82" t="s">
        <v>264</v>
      </c>
      <c r="I78" s="34"/>
    </row>
    <row r="79" spans="1:9" ht="22.5" customHeight="1" x14ac:dyDescent="0.15">
      <c r="A79" s="20" t="s">
        <v>234</v>
      </c>
      <c r="F79" s="250">
        <f>管理者用グラフシート!Q28</f>
        <v>165</v>
      </c>
      <c r="G79" s="250"/>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1">
        <f>F78-将来予測シート①!F36</f>
        <v>6</v>
      </c>
      <c r="D82" s="251"/>
      <c r="E82" s="20" t="s">
        <v>60</v>
      </c>
    </row>
    <row r="83" spans="1:13" ht="22.5" customHeight="1" x14ac:dyDescent="0.15">
      <c r="A83" s="20" t="s">
        <v>69</v>
      </c>
      <c r="C83" s="251">
        <f>F79-将来予測シート①!F37</f>
        <v>3</v>
      </c>
      <c r="D83" s="251"/>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0">
        <f>管理者用グラフシート!Q38</f>
        <v>2678</v>
      </c>
      <c r="D112" s="250"/>
      <c r="E112" s="20" t="s">
        <v>270</v>
      </c>
      <c r="F112" s="36"/>
      <c r="G112" s="111">
        <f>管理者用グラフシート!Q56</f>
        <v>0.37</v>
      </c>
      <c r="H112" s="82" t="s">
        <v>271</v>
      </c>
      <c r="I112" s="34"/>
    </row>
    <row r="113" spans="1:9" ht="22.5" customHeight="1" x14ac:dyDescent="0.15">
      <c r="A113" s="20" t="s">
        <v>268</v>
      </c>
      <c r="C113" s="250">
        <f>管理者用グラフシート!Q46</f>
        <v>1590</v>
      </c>
      <c r="D113" s="250"/>
      <c r="E113" s="82" t="s">
        <v>270</v>
      </c>
      <c r="F113" s="34"/>
      <c r="G113" s="111">
        <f>管理者用グラフシート!Q64</f>
        <v>0.22</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0"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0"/>
      <c r="G116" s="250"/>
      <c r="H116" s="20" t="s">
        <v>82</v>
      </c>
    </row>
    <row r="117" spans="1:9" ht="22.5" customHeight="1" x14ac:dyDescent="0.15">
      <c r="B117" s="20" t="s">
        <v>83</v>
      </c>
      <c r="D117" s="37"/>
      <c r="E117" s="256"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6"/>
      <c r="G117" s="256"/>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0"/>
      <c r="F178" s="260"/>
      <c r="G178" s="260"/>
      <c r="H178" s="260"/>
      <c r="I178" s="260"/>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4" t="str">
        <f>管理者入力シート!B4</f>
        <v>高鍋東中学校区</v>
      </c>
      <c r="B1" s="254"/>
      <c r="C1" s="254"/>
      <c r="D1" s="253" t="s">
        <v>278</v>
      </c>
      <c r="E1" s="253"/>
      <c r="F1" s="253"/>
      <c r="G1" s="253"/>
      <c r="H1" s="253"/>
    </row>
    <row r="2" spans="1:8" ht="22.5" customHeight="1" x14ac:dyDescent="0.15">
      <c r="A2" s="254"/>
      <c r="B2" s="254"/>
      <c r="C2" s="254"/>
      <c r="D2" s="253"/>
      <c r="E2" s="253"/>
      <c r="F2" s="253"/>
      <c r="G2" s="253"/>
      <c r="H2" s="253"/>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0.4552590266875981</v>
      </c>
      <c r="G7" s="280"/>
      <c r="H7" s="20" t="s">
        <v>282</v>
      </c>
    </row>
    <row r="8" spans="1:8" ht="22.5" customHeight="1" x14ac:dyDescent="0.15">
      <c r="A8" s="34" t="str">
        <f>管理者入力シート!B3</f>
        <v>高鍋町</v>
      </c>
      <c r="B8" s="20" t="s">
        <v>293</v>
      </c>
      <c r="D8" s="34" t="str">
        <f>IF(管理者用地域特徴シート!H5-管理者用地域特徴シート!H4&gt;0.01,"高く、",IF(管理者用地域特徴シート!H5-管理者用地域特徴シート!H4&lt;-0.01,"低く、","同程度で、"))</f>
        <v>低く、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同程度です。</v>
      </c>
    </row>
    <row r="10" spans="1:8" ht="22.5" customHeight="1" x14ac:dyDescent="0.15">
      <c r="A10" s="20" t="s">
        <v>415</v>
      </c>
    </row>
    <row r="11" spans="1:8" ht="22.5" customHeight="1" x14ac:dyDescent="0.15">
      <c r="A11" s="252" t="str">
        <f>地域特徴シート!A1</f>
        <v>高鍋東中学校区</v>
      </c>
      <c r="B11" s="252"/>
      <c r="C11" s="257">
        <f>管理者用地域特徴シート!D5</f>
        <v>4459</v>
      </c>
      <c r="D11" s="252"/>
      <c r="E11" s="20" t="s">
        <v>413</v>
      </c>
    </row>
    <row r="12" spans="1:8" ht="22.5" customHeight="1" x14ac:dyDescent="0.15">
      <c r="A12" s="252" t="str">
        <f>A8</f>
        <v>高鍋町</v>
      </c>
      <c r="B12" s="252"/>
      <c r="C12" s="257">
        <f>管理者用地域特徴シート!D4</f>
        <v>8653</v>
      </c>
      <c r="D12" s="252"/>
      <c r="E12" s="20" t="s">
        <v>413</v>
      </c>
    </row>
    <row r="13" spans="1:8" ht="22.5" customHeight="1" x14ac:dyDescent="0.15">
      <c r="A13" s="252" t="s">
        <v>414</v>
      </c>
      <c r="B13" s="252"/>
      <c r="C13" s="257">
        <f>管理者用地域特徴シート!D3</f>
        <v>468575.00000000006</v>
      </c>
      <c r="D13" s="252"/>
      <c r="E13" s="20" t="s">
        <v>416</v>
      </c>
    </row>
    <row r="23" spans="1:8" ht="22.5" customHeight="1" x14ac:dyDescent="0.15">
      <c r="A23" s="20" t="s">
        <v>285</v>
      </c>
      <c r="G23" s="241">
        <f>管理者用地域特徴シート!J5</f>
        <v>0.15653734021080959</v>
      </c>
      <c r="H23" s="35" t="s">
        <v>286</v>
      </c>
    </row>
    <row r="24" spans="1:8" ht="22.5" customHeight="1" x14ac:dyDescent="0.15">
      <c r="A24" s="34" t="str">
        <f>管理者入力シート!B3</f>
        <v>高鍋町</v>
      </c>
      <c r="B24" s="20" t="s">
        <v>293</v>
      </c>
      <c r="D24" s="152" t="str">
        <f>IF(管理者用地域特徴シート!J5-管理者用地域特徴シート!J4&gt;0.01,"高く、",IF(管理者用地域特徴シート!J5-管理者用地域特徴シート!J4&lt;-0.01,"低く、","同程度で、"))</f>
        <v>同程度で、</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同程度です。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0.37962193601994182</v>
      </c>
      <c r="G37" s="280"/>
      <c r="H37" s="20" t="s">
        <v>286</v>
      </c>
    </row>
    <row r="38" spans="1:8" ht="22.5" customHeight="1" x14ac:dyDescent="0.15">
      <c r="A38" s="34" t="str">
        <f>管理者入力シート!B3</f>
        <v>高鍋町</v>
      </c>
      <c r="B38" s="20" t="s">
        <v>293</v>
      </c>
      <c r="D38" s="152" t="str">
        <f>IF(管理者用地域特徴シート!P5-管理者用地域特徴シート!P4&gt;0.01,"高く、",IF(管理者用地域特徴シート!P5-管理者用地域特徴シート!P4&lt;-0.01,"低く、","同程度で、"))</f>
        <v>高く、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高くなっています。</v>
      </c>
    </row>
    <row r="40" spans="1:8" ht="22.5" customHeight="1" x14ac:dyDescent="0.15">
      <c r="D40" s="34"/>
    </row>
    <row r="41" spans="1:8" ht="22.5" customHeight="1" x14ac:dyDescent="0.15">
      <c r="A41" s="34" t="str">
        <f>管理者入力シート!B3</f>
        <v>高鍋町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新しい居住者の割合が高い地域です。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新しい居住者の割合が高い地域です。</v>
      </c>
    </row>
    <row r="69" spans="1:8" s="113" customFormat="1" ht="40.5" customHeight="1" x14ac:dyDescent="0.15">
      <c r="A69" s="108" t="s">
        <v>207</v>
      </c>
    </row>
    <row r="70" spans="1:8" ht="22.5" customHeight="1" x14ac:dyDescent="0.15">
      <c r="A70" s="20" t="s">
        <v>289</v>
      </c>
      <c r="B70" s="34"/>
      <c r="E70" s="282">
        <f>管理者用地域特徴シート!W5</f>
        <v>2337</v>
      </c>
      <c r="F70" s="282"/>
      <c r="G70" s="20" t="s">
        <v>290</v>
      </c>
    </row>
    <row r="71" spans="1:8" ht="22.5" customHeight="1" x14ac:dyDescent="0.15">
      <c r="A71" s="20" t="s">
        <v>295</v>
      </c>
      <c r="F71" s="280">
        <f>管理者用地域特徴シート!AK5</f>
        <v>0.35087719298245612</v>
      </c>
      <c r="G71" s="280"/>
      <c r="H71" s="20" t="s">
        <v>271</v>
      </c>
    </row>
    <row r="72" spans="1:8" ht="22.5" customHeight="1" x14ac:dyDescent="0.15">
      <c r="A72" s="20" t="s">
        <v>296</v>
      </c>
      <c r="F72" s="280">
        <f>管理者用地域特徴シート!AL5</f>
        <v>0.16816431322207959</v>
      </c>
      <c r="G72" s="280"/>
      <c r="H72" s="20" t="s">
        <v>297</v>
      </c>
    </row>
    <row r="73" spans="1:8" ht="22.5" customHeight="1" x14ac:dyDescent="0.15">
      <c r="A73" s="20" t="s">
        <v>298</v>
      </c>
      <c r="E73" s="280"/>
      <c r="F73" s="280"/>
    </row>
    <row r="74" spans="1:8" ht="22.5" customHeight="1" x14ac:dyDescent="0.15">
      <c r="A74" s="20" t="s">
        <v>339</v>
      </c>
      <c r="C74" s="177">
        <f>管理者用地域特徴シート!AN5</f>
        <v>0.49037227214377405</v>
      </c>
      <c r="D74" s="156" t="s">
        <v>299</v>
      </c>
      <c r="E74" s="177">
        <f>管理者用地域特徴シート!AO5</f>
        <v>0.5096277278562259</v>
      </c>
      <c r="F74" s="20" t="s">
        <v>291</v>
      </c>
    </row>
    <row r="76" spans="1:8" ht="22.5" customHeight="1" x14ac:dyDescent="0.15">
      <c r="A76" s="34" t="str">
        <f>管理者入力シート!B3</f>
        <v>高鍋町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平均と同程度の地域です。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0.55594177710189008</v>
      </c>
      <c r="D139" s="280"/>
      <c r="E139" s="20" t="s">
        <v>316</v>
      </c>
      <c r="F139" s="157" t="str">
        <f>管理者入力シート!B3</f>
        <v>高鍋町</v>
      </c>
      <c r="G139" s="158" t="s">
        <v>317</v>
      </c>
    </row>
    <row r="140" spans="1:8" ht="22.5" customHeight="1" x14ac:dyDescent="0.15">
      <c r="A140" s="20" t="s">
        <v>318</v>
      </c>
    </row>
    <row r="141" spans="1:8" ht="22.5" customHeight="1" x14ac:dyDescent="0.15">
      <c r="C141" s="280">
        <f>管理者用地域特徴シート!CN5</f>
        <v>0.51436781609195403</v>
      </c>
      <c r="D141" s="280"/>
      <c r="E141" s="20" t="s">
        <v>316</v>
      </c>
      <c r="F141" s="157" t="str">
        <f>管理者入力シート!B3</f>
        <v>高鍋町</v>
      </c>
      <c r="G141" s="158" t="s">
        <v>317</v>
      </c>
    </row>
    <row r="142" spans="1:8" ht="22.5" customHeight="1" x14ac:dyDescent="0.15">
      <c r="A142" s="281" t="s">
        <v>319</v>
      </c>
      <c r="B142" s="281"/>
      <c r="C142" s="281"/>
      <c r="D142" s="281"/>
      <c r="E142" s="281"/>
      <c r="F142" s="281"/>
      <c r="G142" s="281"/>
      <c r="H142" s="281"/>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429</v>
      </c>
    </row>
    <row r="3" spans="1:3" x14ac:dyDescent="0.15">
      <c r="A3" s="203" t="s">
        <v>292</v>
      </c>
      <c r="B3" s="32" t="str">
        <f>管理者用地域特徴シート!B5</f>
        <v>高鍋町</v>
      </c>
    </row>
    <row r="4" spans="1:3" x14ac:dyDescent="0.15">
      <c r="A4" s="153" t="s">
        <v>24</v>
      </c>
      <c r="B4" s="154" t="str">
        <f>管理者用地域特徴シート!C5</f>
        <v>高鍋東中学校区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45401_1</v>
      </c>
      <c r="B1" s="24" t="s">
        <v>44</v>
      </c>
      <c r="C1" s="25"/>
      <c r="D1" s="293" t="s">
        <v>0</v>
      </c>
      <c r="E1" s="293" t="s">
        <v>1</v>
      </c>
      <c r="F1" s="293" t="s">
        <v>2</v>
      </c>
      <c r="G1" s="293" t="s">
        <v>3</v>
      </c>
      <c r="H1" s="293" t="s">
        <v>4</v>
      </c>
      <c r="I1" s="293" t="s">
        <v>5</v>
      </c>
      <c r="J1" s="293" t="s">
        <v>6</v>
      </c>
      <c r="K1" s="293" t="s">
        <v>7</v>
      </c>
      <c r="L1" s="293" t="s">
        <v>8</v>
      </c>
      <c r="M1" s="293" t="s">
        <v>9</v>
      </c>
      <c r="N1" s="293" t="s">
        <v>10</v>
      </c>
      <c r="O1" s="293" t="s">
        <v>11</v>
      </c>
      <c r="P1" s="293" t="s">
        <v>12</v>
      </c>
      <c r="Q1" s="293" t="s">
        <v>13</v>
      </c>
      <c r="R1" s="293" t="s">
        <v>14</v>
      </c>
      <c r="S1" s="293" t="s">
        <v>15</v>
      </c>
      <c r="T1" s="293" t="s">
        <v>16</v>
      </c>
      <c r="U1" s="293" t="s">
        <v>17</v>
      </c>
      <c r="V1" s="293" t="s">
        <v>18</v>
      </c>
      <c r="W1" s="293" t="s">
        <v>19</v>
      </c>
      <c r="X1" s="293" t="s">
        <v>20</v>
      </c>
      <c r="Y1" s="293" t="s">
        <v>23</v>
      </c>
      <c r="Z1" s="294" t="s">
        <v>50</v>
      </c>
      <c r="AA1" s="294" t="s">
        <v>51</v>
      </c>
      <c r="AB1" s="297" t="s">
        <v>79</v>
      </c>
      <c r="AC1" s="297" t="s">
        <v>80</v>
      </c>
      <c r="AD1" s="294" t="s">
        <v>48</v>
      </c>
      <c r="AE1" s="294" t="s">
        <v>49</v>
      </c>
      <c r="AF1" s="294" t="s">
        <v>97</v>
      </c>
      <c r="AH1" s="7"/>
      <c r="AI1" s="42" t="s">
        <v>25</v>
      </c>
      <c r="AJ1" s="40" t="s">
        <v>90</v>
      </c>
      <c r="AK1" s="41"/>
      <c r="AL1" s="296" t="s">
        <v>89</v>
      </c>
      <c r="AM1" s="295" t="s">
        <v>27</v>
      </c>
      <c r="AN1" s="295" t="s">
        <v>28</v>
      </c>
      <c r="AO1" s="295" t="s">
        <v>26</v>
      </c>
      <c r="AP1" s="295" t="s">
        <v>29</v>
      </c>
      <c r="AQ1" s="295" t="s">
        <v>30</v>
      </c>
      <c r="AR1" s="295" t="s">
        <v>31</v>
      </c>
      <c r="AS1" s="295" t="s">
        <v>32</v>
      </c>
      <c r="AT1" s="295" t="s">
        <v>33</v>
      </c>
      <c r="AU1" s="295" t="s">
        <v>34</v>
      </c>
      <c r="AV1" s="295" t="s">
        <v>35</v>
      </c>
      <c r="AW1" s="295" t="s">
        <v>36</v>
      </c>
      <c r="AX1" s="295" t="s">
        <v>37</v>
      </c>
      <c r="AY1" s="295" t="s">
        <v>38</v>
      </c>
      <c r="AZ1" s="295" t="s">
        <v>39</v>
      </c>
      <c r="BA1" s="295" t="s">
        <v>40</v>
      </c>
      <c r="BB1" s="295" t="s">
        <v>45</v>
      </c>
      <c r="BC1" s="295" t="s">
        <v>41</v>
      </c>
      <c r="BD1" s="295" t="s">
        <v>42</v>
      </c>
      <c r="BE1" s="295" t="s">
        <v>46</v>
      </c>
      <c r="BF1" s="295" t="s">
        <v>43</v>
      </c>
      <c r="BI1" s="56" t="s">
        <v>44</v>
      </c>
      <c r="BJ1" s="57"/>
      <c r="BK1" s="299" t="s">
        <v>0</v>
      </c>
      <c r="BL1" s="299" t="s">
        <v>1</v>
      </c>
      <c r="BM1" s="299" t="s">
        <v>2</v>
      </c>
      <c r="BN1" s="299" t="s">
        <v>3</v>
      </c>
      <c r="BO1" s="299" t="s">
        <v>4</v>
      </c>
      <c r="BP1" s="299" t="s">
        <v>5</v>
      </c>
      <c r="BQ1" s="299" t="s">
        <v>6</v>
      </c>
      <c r="BR1" s="299" t="s">
        <v>7</v>
      </c>
      <c r="BS1" s="299" t="s">
        <v>8</v>
      </c>
      <c r="BT1" s="299" t="s">
        <v>9</v>
      </c>
      <c r="BU1" s="299" t="s">
        <v>10</v>
      </c>
      <c r="BV1" s="299" t="s">
        <v>11</v>
      </c>
      <c r="BW1" s="299" t="s">
        <v>12</v>
      </c>
      <c r="BX1" s="299" t="s">
        <v>13</v>
      </c>
      <c r="BY1" s="299" t="s">
        <v>14</v>
      </c>
      <c r="BZ1" s="299" t="s">
        <v>15</v>
      </c>
      <c r="CA1" s="299" t="s">
        <v>16</v>
      </c>
      <c r="CB1" s="299" t="s">
        <v>17</v>
      </c>
      <c r="CC1" s="299" t="s">
        <v>18</v>
      </c>
      <c r="CD1" s="299" t="s">
        <v>19</v>
      </c>
      <c r="CE1" s="299" t="s">
        <v>20</v>
      </c>
      <c r="CF1" s="299" t="s">
        <v>23</v>
      </c>
      <c r="CG1" s="300" t="s">
        <v>50</v>
      </c>
      <c r="CH1" s="300" t="s">
        <v>51</v>
      </c>
      <c r="CI1" s="302" t="s">
        <v>79</v>
      </c>
      <c r="CJ1" s="302" t="s">
        <v>80</v>
      </c>
      <c r="CK1" s="300" t="s">
        <v>48</v>
      </c>
      <c r="CL1" s="300" t="s">
        <v>49</v>
      </c>
      <c r="CM1" s="300" t="s">
        <v>97</v>
      </c>
      <c r="CP1" s="74" t="s">
        <v>44</v>
      </c>
      <c r="CQ1" s="75"/>
      <c r="CR1" s="301" t="s">
        <v>0</v>
      </c>
      <c r="CS1" s="301" t="s">
        <v>1</v>
      </c>
      <c r="CT1" s="301" t="s">
        <v>2</v>
      </c>
      <c r="CU1" s="301" t="s">
        <v>3</v>
      </c>
      <c r="CV1" s="301" t="s">
        <v>4</v>
      </c>
      <c r="CW1" s="301" t="s">
        <v>5</v>
      </c>
      <c r="CX1" s="301" t="s">
        <v>6</v>
      </c>
      <c r="CY1" s="301" t="s">
        <v>7</v>
      </c>
      <c r="CZ1" s="301" t="s">
        <v>8</v>
      </c>
      <c r="DA1" s="301" t="s">
        <v>9</v>
      </c>
      <c r="DB1" s="301" t="s">
        <v>10</v>
      </c>
      <c r="DC1" s="301" t="s">
        <v>11</v>
      </c>
      <c r="DD1" s="301" t="s">
        <v>12</v>
      </c>
      <c r="DE1" s="301" t="s">
        <v>13</v>
      </c>
      <c r="DF1" s="301" t="s">
        <v>14</v>
      </c>
      <c r="DG1" s="301" t="s">
        <v>15</v>
      </c>
      <c r="DH1" s="301" t="s">
        <v>16</v>
      </c>
      <c r="DI1" s="301" t="s">
        <v>17</v>
      </c>
      <c r="DJ1" s="301" t="s">
        <v>18</v>
      </c>
      <c r="DK1" s="301" t="s">
        <v>19</v>
      </c>
      <c r="DL1" s="301" t="s">
        <v>20</v>
      </c>
      <c r="DM1" s="301" t="s">
        <v>23</v>
      </c>
      <c r="DN1" s="304" t="s">
        <v>50</v>
      </c>
      <c r="DO1" s="304" t="s">
        <v>51</v>
      </c>
      <c r="DP1" s="305" t="s">
        <v>79</v>
      </c>
      <c r="DQ1" s="305" t="s">
        <v>80</v>
      </c>
      <c r="DR1" s="304" t="s">
        <v>48</v>
      </c>
      <c r="DS1" s="304" t="s">
        <v>49</v>
      </c>
      <c r="DT1" s="304" t="s">
        <v>97</v>
      </c>
      <c r="DV1" s="288" t="s">
        <v>434</v>
      </c>
      <c r="DW1" s="289"/>
      <c r="DX1" s="284">
        <f>DW17</f>
        <v>81</v>
      </c>
      <c r="DY1" s="285"/>
      <c r="DZ1" s="290" t="s">
        <v>0</v>
      </c>
      <c r="EA1" s="290" t="s">
        <v>1</v>
      </c>
      <c r="EB1" s="290" t="s">
        <v>2</v>
      </c>
      <c r="EC1" s="290" t="s">
        <v>3</v>
      </c>
      <c r="ED1" s="290" t="s">
        <v>4</v>
      </c>
      <c r="EE1" s="290" t="s">
        <v>5</v>
      </c>
      <c r="EF1" s="290" t="s">
        <v>6</v>
      </c>
      <c r="EG1" s="290" t="s">
        <v>7</v>
      </c>
      <c r="EH1" s="290" t="s">
        <v>8</v>
      </c>
      <c r="EI1" s="290" t="s">
        <v>9</v>
      </c>
      <c r="EJ1" s="290" t="s">
        <v>10</v>
      </c>
      <c r="EK1" s="290" t="s">
        <v>11</v>
      </c>
      <c r="EL1" s="290" t="s">
        <v>12</v>
      </c>
      <c r="EM1" s="290" t="s">
        <v>13</v>
      </c>
      <c r="EN1" s="290" t="s">
        <v>14</v>
      </c>
      <c r="EO1" s="290" t="s">
        <v>15</v>
      </c>
      <c r="EP1" s="290" t="s">
        <v>16</v>
      </c>
      <c r="EQ1" s="290" t="s">
        <v>17</v>
      </c>
      <c r="ER1" s="290" t="s">
        <v>18</v>
      </c>
      <c r="ES1" s="290" t="s">
        <v>19</v>
      </c>
      <c r="ET1" s="290" t="s">
        <v>20</v>
      </c>
      <c r="EU1" s="290" t="s">
        <v>23</v>
      </c>
      <c r="EV1" s="283" t="s">
        <v>50</v>
      </c>
      <c r="EW1" s="283" t="s">
        <v>51</v>
      </c>
      <c r="EX1" s="291" t="s">
        <v>79</v>
      </c>
      <c r="EY1" s="291" t="s">
        <v>80</v>
      </c>
      <c r="EZ1" s="283" t="s">
        <v>48</v>
      </c>
      <c r="FA1" s="283" t="s">
        <v>49</v>
      </c>
      <c r="FB1" s="283" t="s">
        <v>97</v>
      </c>
    </row>
    <row r="2" spans="1:158" x14ac:dyDescent="0.15">
      <c r="A2" s="7" t="s">
        <v>56</v>
      </c>
      <c r="B2" s="26"/>
      <c r="C2" s="27"/>
      <c r="D2" s="293"/>
      <c r="E2" s="293"/>
      <c r="F2" s="293"/>
      <c r="G2" s="293"/>
      <c r="H2" s="293"/>
      <c r="I2" s="293"/>
      <c r="J2" s="293"/>
      <c r="K2" s="293"/>
      <c r="L2" s="293"/>
      <c r="M2" s="293"/>
      <c r="N2" s="293"/>
      <c r="O2" s="293"/>
      <c r="P2" s="293"/>
      <c r="Q2" s="293"/>
      <c r="R2" s="293"/>
      <c r="S2" s="293"/>
      <c r="T2" s="293"/>
      <c r="U2" s="293"/>
      <c r="V2" s="293"/>
      <c r="W2" s="293"/>
      <c r="X2" s="293"/>
      <c r="Y2" s="293"/>
      <c r="Z2" s="294"/>
      <c r="AA2" s="294"/>
      <c r="AB2" s="298"/>
      <c r="AC2" s="298"/>
      <c r="AD2" s="294"/>
      <c r="AE2" s="294"/>
      <c r="AF2" s="294"/>
      <c r="AI2" s="43"/>
      <c r="AJ2" s="44"/>
      <c r="AK2" s="45"/>
      <c r="AL2" s="296"/>
      <c r="AM2" s="295"/>
      <c r="AN2" s="295"/>
      <c r="AO2" s="295"/>
      <c r="AP2" s="295"/>
      <c r="AQ2" s="295"/>
      <c r="AR2" s="295"/>
      <c r="AS2" s="295"/>
      <c r="AT2" s="295"/>
      <c r="AU2" s="295"/>
      <c r="AV2" s="295"/>
      <c r="AW2" s="295"/>
      <c r="AX2" s="295"/>
      <c r="AY2" s="295"/>
      <c r="AZ2" s="295"/>
      <c r="BA2" s="295"/>
      <c r="BB2" s="295"/>
      <c r="BC2" s="295"/>
      <c r="BD2" s="295"/>
      <c r="BE2" s="295"/>
      <c r="BF2" s="295"/>
      <c r="BH2" s="7" t="s">
        <v>56</v>
      </c>
      <c r="BI2" s="58" t="s">
        <v>116</v>
      </c>
      <c r="BJ2" s="59"/>
      <c r="BK2" s="299"/>
      <c r="BL2" s="299"/>
      <c r="BM2" s="299"/>
      <c r="BN2" s="299"/>
      <c r="BO2" s="299"/>
      <c r="BP2" s="299"/>
      <c r="BQ2" s="299"/>
      <c r="BR2" s="299"/>
      <c r="BS2" s="299"/>
      <c r="BT2" s="299"/>
      <c r="BU2" s="299"/>
      <c r="BV2" s="299"/>
      <c r="BW2" s="299"/>
      <c r="BX2" s="299"/>
      <c r="BY2" s="299"/>
      <c r="BZ2" s="299"/>
      <c r="CA2" s="299"/>
      <c r="CB2" s="299"/>
      <c r="CC2" s="299"/>
      <c r="CD2" s="299"/>
      <c r="CE2" s="299"/>
      <c r="CF2" s="299"/>
      <c r="CG2" s="300"/>
      <c r="CH2" s="300"/>
      <c r="CI2" s="303"/>
      <c r="CJ2" s="303"/>
      <c r="CK2" s="300"/>
      <c r="CL2" s="300"/>
      <c r="CM2" s="300"/>
      <c r="CO2" s="7" t="s">
        <v>56</v>
      </c>
      <c r="CP2" s="76" t="s">
        <v>117</v>
      </c>
      <c r="CQ2" s="77"/>
      <c r="CR2" s="301"/>
      <c r="CS2" s="301"/>
      <c r="CT2" s="301"/>
      <c r="CU2" s="301"/>
      <c r="CV2" s="301"/>
      <c r="CW2" s="301"/>
      <c r="CX2" s="301"/>
      <c r="CY2" s="301"/>
      <c r="CZ2" s="301"/>
      <c r="DA2" s="301"/>
      <c r="DB2" s="301"/>
      <c r="DC2" s="301"/>
      <c r="DD2" s="301"/>
      <c r="DE2" s="301"/>
      <c r="DF2" s="301"/>
      <c r="DG2" s="301"/>
      <c r="DH2" s="301"/>
      <c r="DI2" s="301"/>
      <c r="DJ2" s="301"/>
      <c r="DK2" s="301"/>
      <c r="DL2" s="301"/>
      <c r="DM2" s="301"/>
      <c r="DN2" s="304"/>
      <c r="DO2" s="304"/>
      <c r="DP2" s="306"/>
      <c r="DQ2" s="306"/>
      <c r="DR2" s="304"/>
      <c r="DS2" s="304"/>
      <c r="DT2" s="304"/>
      <c r="DV2" s="288"/>
      <c r="DW2" s="289"/>
      <c r="DX2" s="286"/>
      <c r="DY2" s="287"/>
      <c r="DZ2" s="290"/>
      <c r="EA2" s="290"/>
      <c r="EB2" s="290"/>
      <c r="EC2" s="290"/>
      <c r="ED2" s="290"/>
      <c r="EE2" s="290"/>
      <c r="EF2" s="290"/>
      <c r="EG2" s="290"/>
      <c r="EH2" s="290"/>
      <c r="EI2" s="290"/>
      <c r="EJ2" s="290"/>
      <c r="EK2" s="290"/>
      <c r="EL2" s="290"/>
      <c r="EM2" s="290"/>
      <c r="EN2" s="290"/>
      <c r="EO2" s="290"/>
      <c r="EP2" s="290"/>
      <c r="EQ2" s="290"/>
      <c r="ER2" s="290"/>
      <c r="ES2" s="290"/>
      <c r="ET2" s="290"/>
      <c r="EU2" s="290"/>
      <c r="EV2" s="283"/>
      <c r="EW2" s="283"/>
      <c r="EX2" s="292"/>
      <c r="EY2" s="292"/>
      <c r="EZ2" s="283"/>
      <c r="FA2" s="283"/>
      <c r="FB2" s="283"/>
    </row>
    <row r="3" spans="1:158" x14ac:dyDescent="0.15">
      <c r="A3" s="7" t="str">
        <f>B3&amp;"_"&amp;IF(C3="男性",1,IF(C3="女性",2,IF(C3="合計",3)))</f>
        <v>2005_1</v>
      </c>
      <c r="B3" s="28">
        <v>2005</v>
      </c>
      <c r="C3" s="3" t="s">
        <v>21</v>
      </c>
      <c r="D3" s="184">
        <v>248.04641350210971</v>
      </c>
      <c r="E3" s="9">
        <v>240.07301412584846</v>
      </c>
      <c r="F3" s="9">
        <v>269.07906806090625</v>
      </c>
      <c r="G3" s="9">
        <v>431.21115391671253</v>
      </c>
      <c r="H3" s="9">
        <v>558.2106035589801</v>
      </c>
      <c r="I3" s="9">
        <v>329.13997431663915</v>
      </c>
      <c r="J3" s="9">
        <v>340.08989176297928</v>
      </c>
      <c r="K3" s="9">
        <v>258.07539900935609</v>
      </c>
      <c r="L3" s="9">
        <v>288.08805723720417</v>
      </c>
      <c r="M3" s="9">
        <v>315.13575490735644</v>
      </c>
      <c r="N3" s="9">
        <v>388.17923316822601</v>
      </c>
      <c r="O3" s="9">
        <v>419.15630159603739</v>
      </c>
      <c r="P3" s="9">
        <v>318.11520821867549</v>
      </c>
      <c r="Q3" s="9">
        <v>289.13813979086405</v>
      </c>
      <c r="R3" s="9">
        <v>270.11759310218309</v>
      </c>
      <c r="S3" s="9">
        <v>200.07723353513117</v>
      </c>
      <c r="T3" s="9">
        <v>124.05852137222527</v>
      </c>
      <c r="U3" s="9">
        <v>58.008438818565402</v>
      </c>
      <c r="V3" s="9">
        <v>19</v>
      </c>
      <c r="W3" s="9">
        <v>2</v>
      </c>
      <c r="X3" s="9">
        <v>2</v>
      </c>
      <c r="Y3" s="9">
        <f>SUM(D3:X3)</f>
        <v>5367.0000000000009</v>
      </c>
      <c r="Z3" s="9">
        <f>E3*3/5+F3*3/5</f>
        <v>305.49124931205284</v>
      </c>
      <c r="AA3" s="9">
        <f>F3*2/5+G3*1/5</f>
        <v>193.873858007705</v>
      </c>
      <c r="AB3" s="9">
        <f t="shared" ref="AB3:AB20" si="0">SUM(Q3:X3)</f>
        <v>964.39992661896906</v>
      </c>
      <c r="AC3" s="9">
        <f>SUM(S3:X3)</f>
        <v>405.14419372592187</v>
      </c>
      <c r="AD3" s="13">
        <f>AB3/Y3</f>
        <v>0.17969068876820735</v>
      </c>
      <c r="AE3" s="13">
        <f>AC3/Y3</f>
        <v>7.5488018208668115E-2</v>
      </c>
      <c r="AF3" s="9">
        <f>SUM(H3:K3)</f>
        <v>1485.5158686479547</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0.97192261507272992</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1.0622795478036466</v>
      </c>
      <c r="AO3" s="6">
        <f t="shared" si="1"/>
        <v>1.0177246123134642</v>
      </c>
      <c r="AP3" s="6">
        <f t="shared" si="1"/>
        <v>0.87607349548134605</v>
      </c>
      <c r="AQ3" s="6">
        <f t="shared" si="1"/>
        <v>1.0797248724322894</v>
      </c>
      <c r="AR3" s="6">
        <f t="shared" si="1"/>
        <v>0.98128503563840719</v>
      </c>
      <c r="AS3" s="6">
        <f t="shared" si="1"/>
        <v>1.0581364679967982</v>
      </c>
      <c r="AT3" s="6">
        <f t="shared" si="1"/>
        <v>1.0305100197372268</v>
      </c>
      <c r="AU3" s="6">
        <f t="shared" si="1"/>
        <v>0.92232619329890175</v>
      </c>
      <c r="AV3" s="6">
        <f t="shared" si="1"/>
        <v>0.94022948694485253</v>
      </c>
      <c r="AW3" s="6">
        <f t="shared" si="1"/>
        <v>0.96839615861444095</v>
      </c>
      <c r="AX3" s="6">
        <f t="shared" si="1"/>
        <v>0.97380751012576661</v>
      </c>
      <c r="AY3" s="6">
        <f t="shared" si="1"/>
        <v>0.98421822124416247</v>
      </c>
      <c r="AZ3" s="6">
        <f t="shared" si="1"/>
        <v>0.93309766325784016</v>
      </c>
      <c r="BA3" s="6">
        <f t="shared" si="1"/>
        <v>0.87172701314800904</v>
      </c>
      <c r="BB3" s="6">
        <f t="shared" si="1"/>
        <v>0.68526166041430847</v>
      </c>
      <c r="BC3" s="6">
        <f t="shared" si="1"/>
        <v>0.71051734101551145</v>
      </c>
      <c r="BD3" s="6">
        <f t="shared" si="1"/>
        <v>0.54666523427255753</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0.19379333180325656</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166.45212510526108</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195.97857631161298</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220.71189889571255</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214.77405015677422</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170.7743738883415</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210.23904627316006</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208.58042720519802</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242.47427215560788</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258.41618549942342</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320.92266498129442</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297.28082622407788</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253.03292832942745</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272.24534160331683</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293.65520523654607</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340.15696317094353</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336.82522848955801</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201.67577177724408</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98.906761671726812</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68.704719031956799</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8.5619559097646665</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7.1107018303789588E-3</v>
      </c>
      <c r="CF3" s="9">
        <f t="shared" ref="CF3:CF14" si="2">SUM(BK3:CE3)</f>
        <v>4380.3764326187784</v>
      </c>
      <c r="CG3" s="9">
        <f>BL3*3/5+BM3*3/5</f>
        <v>250.01428512439531</v>
      </c>
      <c r="CH3" s="9">
        <f>BM3*2/5+BN3*1/5</f>
        <v>131.23956958963987</v>
      </c>
      <c r="CI3" s="9">
        <f t="shared" ref="CI3:CI14" si="3">SUM(BX3:CE3)</f>
        <v>1348.4937159895705</v>
      </c>
      <c r="CJ3" s="9">
        <f>SUM(BZ3:CE3)</f>
        <v>714.68154758208073</v>
      </c>
      <c r="CK3" s="13">
        <f>CI3/CF3</f>
        <v>0.30784882001188713</v>
      </c>
      <c r="CL3" s="13">
        <f>CJ3/CF3</f>
        <v>0.16315528096173534</v>
      </c>
      <c r="CM3" s="9">
        <f>SUM(BO3:BR3)</f>
        <v>832.06811952230748</v>
      </c>
      <c r="CO3" s="7" t="str">
        <f>CP3&amp;"_"&amp;IF(CQ3="男性",1,IF(CQ3="女性",2,IF(CQ3="合計",3)))</f>
        <v>2025_1</v>
      </c>
      <c r="CP3" s="28">
        <f>管理者入力シート!B8</f>
        <v>2025</v>
      </c>
      <c r="CQ3" s="3" t="s">
        <v>21</v>
      </c>
      <c r="CR3" s="9">
        <f>BK3+将来予測シート②!$G17</f>
        <v>167.45212510526108</v>
      </c>
      <c r="CS3" s="9">
        <f>BL3+将来予測シート②!$G18</f>
        <v>195.97857631161298</v>
      </c>
      <c r="CT3" s="9">
        <f>BM3+将来予測シート②!$G19</f>
        <v>221.71189889571255</v>
      </c>
      <c r="CU3" s="9">
        <f>BN3+将来予測シート②!$G20</f>
        <v>214.77405015677422</v>
      </c>
      <c r="CV3" s="9">
        <f>BO3+将来予測シート②!$G21</f>
        <v>170.7743738883415</v>
      </c>
      <c r="CW3" s="9">
        <f>BP3+将来予測シート②!$G22</f>
        <v>212.23904627316006</v>
      </c>
      <c r="CX3" s="9">
        <f>BQ3+将来予測シート②!$G23</f>
        <v>208.58042720519802</v>
      </c>
      <c r="CY3" s="9">
        <f>BR3+将来予測シート②!$G24</f>
        <v>242.47427215560788</v>
      </c>
      <c r="CZ3" s="9">
        <f>BS3+将来予測シート②!$G25</f>
        <v>258.41618549942342</v>
      </c>
      <c r="DA3" s="9">
        <f>BT3+将来予測シート②!$G26</f>
        <v>320.92266498129442</v>
      </c>
      <c r="DB3" s="9">
        <f>BU3+将来予測シート②!$G27</f>
        <v>297.28082622407788</v>
      </c>
      <c r="DC3" s="9">
        <f>BV3+将来予測シート②!$G28</f>
        <v>253.03292832942745</v>
      </c>
      <c r="DD3" s="9">
        <f>BW3+将来予測シート②!$G29</f>
        <v>272.24534160331683</v>
      </c>
      <c r="DE3" s="9">
        <f>BX3</f>
        <v>293.65520523654607</v>
      </c>
      <c r="DF3" s="9">
        <f t="shared" ref="DF3:DL3" si="4">BY3</f>
        <v>340.15696317094353</v>
      </c>
      <c r="DG3" s="9">
        <f t="shared" si="4"/>
        <v>336.82522848955801</v>
      </c>
      <c r="DH3" s="9">
        <f t="shared" si="4"/>
        <v>201.67577177724408</v>
      </c>
      <c r="DI3" s="9">
        <f t="shared" si="4"/>
        <v>98.906761671726812</v>
      </c>
      <c r="DJ3" s="9">
        <f t="shared" si="4"/>
        <v>68.704719031956799</v>
      </c>
      <c r="DK3" s="9">
        <f t="shared" si="4"/>
        <v>8.5619559097646665</v>
      </c>
      <c r="DL3" s="9">
        <f t="shared" si="4"/>
        <v>7.1107018303789588E-3</v>
      </c>
      <c r="DM3" s="9">
        <f t="shared" ref="DM3:DM4" si="5">SUM(CR3:DL3)</f>
        <v>4384.3764326187784</v>
      </c>
      <c r="DN3" s="9">
        <f>CS3*3/5+CT3*3/5</f>
        <v>250.61428512439531</v>
      </c>
      <c r="DO3" s="9">
        <f>CT3*2/5+CU3*1/5</f>
        <v>131.63956958963988</v>
      </c>
      <c r="DP3" s="9">
        <f t="shared" ref="DP3:DP14" si="6">SUM(DE3:DL3)</f>
        <v>1348.4937159895705</v>
      </c>
      <c r="DQ3" s="9">
        <f>SUM(DG3:DL3)</f>
        <v>714.68154758208073</v>
      </c>
      <c r="DR3" s="13">
        <f>DP3/DM3</f>
        <v>0.30756796016808213</v>
      </c>
      <c r="DS3" s="13">
        <f>DQ3/DM3</f>
        <v>0.16300642943544039</v>
      </c>
      <c r="DT3" s="9">
        <f>SUM(CV3:CY3)</f>
        <v>834.06811952230748</v>
      </c>
      <c r="DV3" s="288"/>
      <c r="DW3" s="289"/>
      <c r="DX3" s="28">
        <f>管理者入力シート!B8</f>
        <v>2025</v>
      </c>
      <c r="DY3" s="3" t="s">
        <v>21</v>
      </c>
      <c r="DZ3" s="9">
        <f>BK$3</f>
        <v>166.45212510526108</v>
      </c>
      <c r="EA3" s="9">
        <f>BL$3</f>
        <v>195.97857631161298</v>
      </c>
      <c r="EB3" s="9">
        <f t="shared" ref="EB3:ED3" si="7">BM$3</f>
        <v>220.71189889571255</v>
      </c>
      <c r="EC3" s="9">
        <f t="shared" si="7"/>
        <v>214.77405015677422</v>
      </c>
      <c r="ED3" s="9">
        <f t="shared" si="7"/>
        <v>170.7743738883415</v>
      </c>
      <c r="EE3" s="9">
        <f>BP$3+DX1</f>
        <v>291.23904627316006</v>
      </c>
      <c r="EF3" s="9">
        <f>BQ$3+DX1</f>
        <v>289.58042720519802</v>
      </c>
      <c r="EG3" s="9">
        <f>BR$3+DX1</f>
        <v>323.47427215560788</v>
      </c>
      <c r="EH3" s="9">
        <f t="shared" ref="EH3:ET3" si="8">BS$3</f>
        <v>258.41618549942342</v>
      </c>
      <c r="EI3" s="9">
        <f t="shared" si="8"/>
        <v>320.92266498129442</v>
      </c>
      <c r="EJ3" s="9">
        <f t="shared" si="8"/>
        <v>297.28082622407788</v>
      </c>
      <c r="EK3" s="9">
        <f t="shared" si="8"/>
        <v>253.03292832942745</v>
      </c>
      <c r="EL3" s="9">
        <f t="shared" si="8"/>
        <v>272.24534160331683</v>
      </c>
      <c r="EM3" s="9">
        <f t="shared" si="8"/>
        <v>293.65520523654607</v>
      </c>
      <c r="EN3" s="9">
        <f t="shared" si="8"/>
        <v>340.15696317094353</v>
      </c>
      <c r="EO3" s="9">
        <f t="shared" si="8"/>
        <v>336.82522848955801</v>
      </c>
      <c r="EP3" s="9">
        <f t="shared" si="8"/>
        <v>201.67577177724408</v>
      </c>
      <c r="EQ3" s="9">
        <f t="shared" si="8"/>
        <v>98.906761671726812</v>
      </c>
      <c r="ER3" s="9">
        <f t="shared" si="8"/>
        <v>68.704719031956799</v>
      </c>
      <c r="ES3" s="9">
        <f t="shared" si="8"/>
        <v>8.5619559097646665</v>
      </c>
      <c r="ET3" s="9">
        <f t="shared" si="8"/>
        <v>7.1107018303789588E-3</v>
      </c>
      <c r="EU3" s="9">
        <f t="shared" ref="EU3:EU4" si="9">SUM(DZ3:ET3)</f>
        <v>4623.3764326187793</v>
      </c>
      <c r="EV3" s="9">
        <f>EA3*3/5+EB3*3/5</f>
        <v>250.01428512439531</v>
      </c>
      <c r="EW3" s="9">
        <f>EB3*2/5+EC3*1/5</f>
        <v>131.23956958963987</v>
      </c>
      <c r="EX3" s="9">
        <f t="shared" ref="EX3:EX14" si="10">SUM(EM3:ET3)</f>
        <v>1348.4937159895705</v>
      </c>
      <c r="EY3" s="9">
        <f>SUM(EO3:ET3)</f>
        <v>714.68154758208073</v>
      </c>
      <c r="EZ3" s="13">
        <f>EX3/EU3</f>
        <v>0.29166859667227113</v>
      </c>
      <c r="FA3" s="13">
        <f>EY3/EU3</f>
        <v>0.15458000402906188</v>
      </c>
      <c r="FB3" s="9">
        <f>SUM(ED3:EG3)</f>
        <v>1075.0681195223074</v>
      </c>
    </row>
    <row r="4" spans="1:158" x14ac:dyDescent="0.15">
      <c r="A4" s="7" t="str">
        <f t="shared" ref="A4:A14" si="11">B4&amp;"_"&amp;IF(C4="男性",1,IF(C4="女性",2,IF(C4="合計",3)))</f>
        <v>2005_2</v>
      </c>
      <c r="B4" s="29">
        <v>2005</v>
      </c>
      <c r="C4" s="4" t="s">
        <v>22</v>
      </c>
      <c r="D4" s="10">
        <v>234.12720914257164</v>
      </c>
      <c r="E4" s="10">
        <v>262.10572659713984</v>
      </c>
      <c r="F4" s="10">
        <v>268.07643789421098</v>
      </c>
      <c r="G4" s="10">
        <v>293.1523137450821</v>
      </c>
      <c r="H4" s="10">
        <v>301.20783113720103</v>
      </c>
      <c r="I4" s="10">
        <v>322.16961219009556</v>
      </c>
      <c r="J4" s="10">
        <v>344.13557734340844</v>
      </c>
      <c r="K4" s="10">
        <v>284.08424405170797</v>
      </c>
      <c r="L4" s="10">
        <v>307.10991069755823</v>
      </c>
      <c r="M4" s="10">
        <v>352.2424280272279</v>
      </c>
      <c r="N4" s="10">
        <v>383.32723412227568</v>
      </c>
      <c r="O4" s="10">
        <v>449.21201523761943</v>
      </c>
      <c r="P4" s="10">
        <v>366.09261225254482</v>
      </c>
      <c r="Q4" s="10">
        <v>341.26278648598014</v>
      </c>
      <c r="R4" s="10">
        <v>333.24130394054828</v>
      </c>
      <c r="S4" s="10">
        <v>315.22875163929308</v>
      </c>
      <c r="T4" s="10">
        <v>232.09679635296322</v>
      </c>
      <c r="U4" s="10">
        <v>140.08062199462938</v>
      </c>
      <c r="V4" s="10">
        <v>57.046587147942297</v>
      </c>
      <c r="W4" s="10">
        <v>15</v>
      </c>
      <c r="X4" s="10">
        <v>2</v>
      </c>
      <c r="Y4" s="10">
        <f>SUM(D4:X4)</f>
        <v>5603.0000000000009</v>
      </c>
      <c r="Z4" s="10">
        <f t="shared" ref="Z4:Z11" si="12">E4*3/5+F4*3/5</f>
        <v>318.10929869481049</v>
      </c>
      <c r="AA4" s="10">
        <f t="shared" ref="AA4:AA11" si="13">F4*2/5+G4*1/5</f>
        <v>165.8610379067008</v>
      </c>
      <c r="AB4" s="10">
        <f t="shared" si="0"/>
        <v>1435.9568475613564</v>
      </c>
      <c r="AC4" s="10">
        <f t="shared" ref="AC4:AC11" si="14">SUM(S4:X4)</f>
        <v>761.45275713482806</v>
      </c>
      <c r="AD4" s="14">
        <f t="shared" ref="AD4:AD11" si="15">AB4/Y4</f>
        <v>0.25628357086584974</v>
      </c>
      <c r="AE4" s="14">
        <f t="shared" ref="AE4:AE11" si="16">AC4/Y4</f>
        <v>0.13590090257626769</v>
      </c>
      <c r="AF4" s="10">
        <f t="shared" ref="AF4:AF20" si="17">SUM(H4:K4)</f>
        <v>1251.597264722413</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0.91457004537381503</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1.0663829009739201</v>
      </c>
      <c r="AO4" s="193">
        <f t="shared" si="18"/>
        <v>0.93441669391143856</v>
      </c>
      <c r="AP4" s="193">
        <f t="shared" si="18"/>
        <v>0.71435459216235275</v>
      </c>
      <c r="AQ4" s="193">
        <f t="shared" si="18"/>
        <v>0.92147645912454756</v>
      </c>
      <c r="AR4" s="193">
        <f t="shared" si="18"/>
        <v>0.92222333317408223</v>
      </c>
      <c r="AS4" s="193">
        <f t="shared" si="18"/>
        <v>1.0790673594042803</v>
      </c>
      <c r="AT4" s="193">
        <f t="shared" si="18"/>
        <v>0.91538694720164093</v>
      </c>
      <c r="AU4" s="193">
        <f t="shared" si="18"/>
        <v>1.0189538431889447</v>
      </c>
      <c r="AV4" s="193">
        <f t="shared" si="18"/>
        <v>1.0106312224552187</v>
      </c>
      <c r="AW4" s="193">
        <f t="shared" si="18"/>
        <v>0.96433812445799194</v>
      </c>
      <c r="AX4" s="193">
        <f t="shared" si="18"/>
        <v>0.98272008252455056</v>
      </c>
      <c r="AY4" s="193">
        <f t="shared" si="18"/>
        <v>1.0034136801720741</v>
      </c>
      <c r="AZ4" s="193">
        <f t="shared" si="18"/>
        <v>0.92337106587869078</v>
      </c>
      <c r="BA4" s="193">
        <f t="shared" si="18"/>
        <v>0.93521421479383671</v>
      </c>
      <c r="BB4" s="193">
        <f t="shared" si="18"/>
        <v>0.89098839380261818</v>
      </c>
      <c r="BC4" s="193">
        <f t="shared" si="18"/>
        <v>0.75807572436050585</v>
      </c>
      <c r="BD4" s="193">
        <f t="shared" si="18"/>
        <v>0.59634757371924918</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0.27654830910450401</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0.19106331643651797</v>
      </c>
      <c r="BH4" s="7" t="str">
        <f t="shared" ref="BH4:BH20" si="19">BI4&amp;"_"&amp;IF(BJ4="男性",1,IF(BJ4="女性",2,IF(BJ4="合計",3)))</f>
        <v>2025_2</v>
      </c>
      <c r="BI4" s="29">
        <f>BI3</f>
        <v>2025</v>
      </c>
      <c r="BJ4" s="4" t="s">
        <v>22</v>
      </c>
      <c r="BK4" s="10">
        <f>CM4*AK$14</f>
        <v>149.97376850926619</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161.91075407487216</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212.38339956843697</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210.40588239776247</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149.40259429437049</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165.03299857029299</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175.16765735762991</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244.36568985186773</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255.75543170891919</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324.63281080182298</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318.58028634803543</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293.02706322850526</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282.66065627903748</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336.89408280754884</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370.8151644796863</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405.42927427301089</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284.18623388178446</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202.8757761969969</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128.17293963909273</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37.198046117228323</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6.6533201921635765</v>
      </c>
      <c r="CF4" s="10">
        <f t="shared" si="2"/>
        <v>4715.5238305783314</v>
      </c>
      <c r="CG4" s="10">
        <f t="shared" ref="CG4:CG14" si="20">BL4*3/5+BM4*3/5</f>
        <v>224.5764921859855</v>
      </c>
      <c r="CH4" s="10">
        <f t="shared" ref="CH4:CH14" si="21">BM4*2/5+BN4*1/5</f>
        <v>127.03453630692728</v>
      </c>
      <c r="CI4" s="10">
        <f t="shared" si="3"/>
        <v>1772.224837587512</v>
      </c>
      <c r="CJ4" s="10">
        <f t="shared" ref="CJ4:CJ14" si="22">SUM(BZ4:CE4)</f>
        <v>1064.5155903002769</v>
      </c>
      <c r="CK4" s="14">
        <f t="shared" ref="CK4:CK14" si="23">CI4/CF4</f>
        <v>0.37582777677748663</v>
      </c>
      <c r="CL4" s="14">
        <f t="shared" ref="CL4:CL14" si="24">CJ4/CF4</f>
        <v>0.22574704922437436</v>
      </c>
      <c r="CM4" s="10">
        <f t="shared" ref="CM4:CM14" si="25">SUM(BO4:BR4)</f>
        <v>733.96894007416108</v>
      </c>
      <c r="CO4" s="7" t="str">
        <f t="shared" ref="CO4:CO20" si="26">CP4&amp;"_"&amp;IF(CQ4="男性",1,IF(CQ4="女性",2,IF(CQ4="合計",3)))</f>
        <v>2025_2</v>
      </c>
      <c r="CP4" s="29">
        <f>CP3</f>
        <v>2025</v>
      </c>
      <c r="CQ4" s="4" t="s">
        <v>22</v>
      </c>
      <c r="CR4" s="10">
        <f>BK4+将来予測シート②!$H17</f>
        <v>150.97376850926619</v>
      </c>
      <c r="CS4" s="10">
        <f>BL4+将来予測シート②!$H18</f>
        <v>161.91075407487216</v>
      </c>
      <c r="CT4" s="10">
        <f>BM4+将来予測シート②!$H19</f>
        <v>213.38339956843697</v>
      </c>
      <c r="CU4" s="10">
        <f>BN4+将来予測シート②!$H20</f>
        <v>210.40588239776247</v>
      </c>
      <c r="CV4" s="10">
        <f>BO4+将来予測シート②!$H21</f>
        <v>149.40259429437049</v>
      </c>
      <c r="CW4" s="10">
        <f>BP4+将来予測シート②!$H22</f>
        <v>167.03299857029299</v>
      </c>
      <c r="CX4" s="10">
        <f>BQ4+将来予測シート②!$H23</f>
        <v>175.16765735762991</v>
      </c>
      <c r="CY4" s="10">
        <f>BR4+将来予測シート②!$H24</f>
        <v>244.36568985186773</v>
      </c>
      <c r="CZ4" s="10">
        <f>BS4+将来予測シート②!$H25</f>
        <v>256.75543170891922</v>
      </c>
      <c r="DA4" s="10">
        <f>BT4+将来予測シート②!$H26</f>
        <v>324.63281080182298</v>
      </c>
      <c r="DB4" s="10">
        <f>BU4+将来予測シート②!$H27</f>
        <v>318.58028634803543</v>
      </c>
      <c r="DC4" s="10">
        <f>BV4+将来予測シート②!$H28</f>
        <v>293.02706322850526</v>
      </c>
      <c r="DD4" s="10">
        <f>BW4+将来予測シート②!$H29</f>
        <v>282.66065627903748</v>
      </c>
      <c r="DE4" s="10">
        <f>BX4</f>
        <v>336.89408280754884</v>
      </c>
      <c r="DF4" s="10">
        <f t="shared" ref="DF4" si="27">BY4</f>
        <v>370.8151644796863</v>
      </c>
      <c r="DG4" s="10">
        <f t="shared" ref="DG4" si="28">BZ4</f>
        <v>405.42927427301089</v>
      </c>
      <c r="DH4" s="10">
        <f t="shared" ref="DH4" si="29">CA4</f>
        <v>284.18623388178446</v>
      </c>
      <c r="DI4" s="10">
        <f t="shared" ref="DI4" si="30">CB4</f>
        <v>202.8757761969969</v>
      </c>
      <c r="DJ4" s="10">
        <f t="shared" ref="DJ4" si="31">CC4</f>
        <v>128.17293963909273</v>
      </c>
      <c r="DK4" s="10">
        <f t="shared" ref="DK4" si="32">CD4</f>
        <v>37.198046117228323</v>
      </c>
      <c r="DL4" s="10">
        <f t="shared" ref="DL4" si="33">CE4</f>
        <v>6.6533201921635765</v>
      </c>
      <c r="DM4" s="10">
        <f t="shared" si="5"/>
        <v>4720.5238305783314</v>
      </c>
      <c r="DN4" s="10">
        <f t="shared" ref="DN4:DN14" si="34">CS4*3/5+CT4*3/5</f>
        <v>225.17649218598547</v>
      </c>
      <c r="DO4" s="10">
        <f t="shared" ref="DO4:DO14" si="35">CT4*2/5+CU4*1/5</f>
        <v>127.43453630692728</v>
      </c>
      <c r="DP4" s="10">
        <f t="shared" si="6"/>
        <v>1772.224837587512</v>
      </c>
      <c r="DQ4" s="10">
        <f t="shared" ref="DQ4:DQ14" si="36">SUM(DG4:DL4)</f>
        <v>1064.5155903002769</v>
      </c>
      <c r="DR4" s="14">
        <f t="shared" ref="DR4:DR14" si="37">DP4/DM4</f>
        <v>0.37542969831176326</v>
      </c>
      <c r="DS4" s="14">
        <f t="shared" ref="DS4:DS14" si="38">DQ4/DM4</f>
        <v>0.22550793693797719</v>
      </c>
      <c r="DT4" s="10">
        <f>SUM(CV4:CY4)</f>
        <v>735.96894007416108</v>
      </c>
      <c r="DV4" s="288"/>
      <c r="DW4" s="289"/>
      <c r="DX4" s="29">
        <f>DX3</f>
        <v>2025</v>
      </c>
      <c r="DY4" s="4" t="s">
        <v>22</v>
      </c>
      <c r="DZ4" s="10">
        <f>BK$4</f>
        <v>149.97376850926619</v>
      </c>
      <c r="EA4" s="10">
        <f>BL$4</f>
        <v>161.91075407487216</v>
      </c>
      <c r="EB4" s="10">
        <f t="shared" ref="EB4:ED4" si="39">BM$4</f>
        <v>212.38339956843697</v>
      </c>
      <c r="EC4" s="10">
        <f t="shared" si="39"/>
        <v>210.40588239776247</v>
      </c>
      <c r="ED4" s="10">
        <f t="shared" si="39"/>
        <v>149.40259429437049</v>
      </c>
      <c r="EE4" s="10">
        <f>BP$4+DX1</f>
        <v>246.03299857029299</v>
      </c>
      <c r="EF4" s="10">
        <f>BQ$4+DX1</f>
        <v>256.16765735762988</v>
      </c>
      <c r="EG4" s="10">
        <f>BR$4+DX1</f>
        <v>325.36568985186773</v>
      </c>
      <c r="EH4" s="10">
        <f t="shared" ref="EH4:ET4" si="40">BS$4</f>
        <v>255.75543170891919</v>
      </c>
      <c r="EI4" s="10">
        <f t="shared" si="40"/>
        <v>324.63281080182298</v>
      </c>
      <c r="EJ4" s="10">
        <f t="shared" si="40"/>
        <v>318.58028634803543</v>
      </c>
      <c r="EK4" s="10">
        <f t="shared" si="40"/>
        <v>293.02706322850526</v>
      </c>
      <c r="EL4" s="10">
        <f t="shared" si="40"/>
        <v>282.66065627903748</v>
      </c>
      <c r="EM4" s="10">
        <f t="shared" si="40"/>
        <v>336.89408280754884</v>
      </c>
      <c r="EN4" s="10">
        <f t="shared" si="40"/>
        <v>370.8151644796863</v>
      </c>
      <c r="EO4" s="10">
        <f t="shared" si="40"/>
        <v>405.42927427301089</v>
      </c>
      <c r="EP4" s="10">
        <f t="shared" si="40"/>
        <v>284.18623388178446</v>
      </c>
      <c r="EQ4" s="10">
        <f t="shared" si="40"/>
        <v>202.8757761969969</v>
      </c>
      <c r="ER4" s="10">
        <f t="shared" si="40"/>
        <v>128.17293963909273</v>
      </c>
      <c r="ES4" s="10">
        <f t="shared" si="40"/>
        <v>37.198046117228323</v>
      </c>
      <c r="ET4" s="10">
        <f t="shared" si="40"/>
        <v>6.6533201921635765</v>
      </c>
      <c r="EU4" s="10">
        <f t="shared" si="9"/>
        <v>4958.5238305783314</v>
      </c>
      <c r="EV4" s="10">
        <f t="shared" ref="EV4:EV14" si="41">EA4*3/5+EB4*3/5</f>
        <v>224.5764921859855</v>
      </c>
      <c r="EW4" s="10">
        <f t="shared" ref="EW4:EW14" si="42">EB4*2/5+EC4*1/5</f>
        <v>127.03453630692728</v>
      </c>
      <c r="EX4" s="10">
        <f t="shared" si="10"/>
        <v>1772.224837587512</v>
      </c>
      <c r="EY4" s="10">
        <f t="shared" ref="EY4:EY14" si="43">SUM(EO4:ET4)</f>
        <v>1064.5155903002769</v>
      </c>
      <c r="EZ4" s="14">
        <f t="shared" ref="EZ4:EZ14" si="44">EX4/EU4</f>
        <v>0.35740976511164829</v>
      </c>
      <c r="FA4" s="14">
        <f t="shared" ref="FA4:FA14" si="45">EY4/EU4</f>
        <v>0.21468397181749926</v>
      </c>
      <c r="FB4" s="10">
        <f>SUM(ED4:EG4)</f>
        <v>976.96894007416108</v>
      </c>
    </row>
    <row r="5" spans="1:158" x14ac:dyDescent="0.15">
      <c r="A5" s="7" t="str">
        <f t="shared" si="11"/>
        <v>2005_3</v>
      </c>
      <c r="B5" s="30">
        <v>2005</v>
      </c>
      <c r="C5" s="5" t="s">
        <v>23</v>
      </c>
      <c r="D5" s="11">
        <v>482.17362264468136</v>
      </c>
      <c r="E5" s="11">
        <v>502.17874072298832</v>
      </c>
      <c r="F5" s="11">
        <v>537.15550595511718</v>
      </c>
      <c r="G5" s="11">
        <v>724.36346766179463</v>
      </c>
      <c r="H5" s="11">
        <v>859.41843469618107</v>
      </c>
      <c r="I5" s="11">
        <v>651.30958650673472</v>
      </c>
      <c r="J5" s="11">
        <v>684.22546910638766</v>
      </c>
      <c r="K5" s="11">
        <v>542.15964306106412</v>
      </c>
      <c r="L5" s="11">
        <v>595.19796793476235</v>
      </c>
      <c r="M5" s="11">
        <v>667.3781829345844</v>
      </c>
      <c r="N5" s="11">
        <v>771.50646729050163</v>
      </c>
      <c r="O5" s="11">
        <v>868.36831683365676</v>
      </c>
      <c r="P5" s="11">
        <v>684.20782047122032</v>
      </c>
      <c r="Q5" s="11">
        <v>630.40092627684419</v>
      </c>
      <c r="R5" s="11">
        <v>603.35889704273131</v>
      </c>
      <c r="S5" s="11">
        <v>515.30598517442422</v>
      </c>
      <c r="T5" s="11">
        <v>356.15531772518852</v>
      </c>
      <c r="U5" s="11">
        <v>198.08906081319478</v>
      </c>
      <c r="V5" s="11">
        <v>76.04658714794229</v>
      </c>
      <c r="W5" s="11">
        <v>17</v>
      </c>
      <c r="X5" s="11">
        <v>4</v>
      </c>
      <c r="Y5" s="11">
        <f>SUM(D5:X5)</f>
        <v>10970</v>
      </c>
      <c r="Z5" s="11">
        <f t="shared" si="12"/>
        <v>623.60054800686339</v>
      </c>
      <c r="AA5" s="11">
        <f t="shared" si="13"/>
        <v>359.7348959144058</v>
      </c>
      <c r="AB5" s="11">
        <f t="shared" si="0"/>
        <v>2400.3567741803254</v>
      </c>
      <c r="AC5" s="11">
        <f t="shared" si="14"/>
        <v>1166.5969508607498</v>
      </c>
      <c r="AD5" s="15">
        <f t="shared" si="15"/>
        <v>0.21881100949683915</v>
      </c>
      <c r="AE5" s="15">
        <f t="shared" si="16"/>
        <v>0.10634429816415221</v>
      </c>
      <c r="AF5" s="11">
        <f t="shared" si="17"/>
        <v>2737.1131333703679</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1.0279551426640454</v>
      </c>
      <c r="AN5" s="6">
        <f t="shared" si="1"/>
        <v>0.89358712828389975</v>
      </c>
      <c r="AO5" s="6">
        <f t="shared" si="1"/>
        <v>0.88469753095432468</v>
      </c>
      <c r="AP5" s="6">
        <f t="shared" si="1"/>
        <v>0.74986279218281193</v>
      </c>
      <c r="AQ5" s="6">
        <f t="shared" si="1"/>
        <v>1.0139969964368283</v>
      </c>
      <c r="AR5" s="6">
        <f t="shared" si="1"/>
        <v>0.97837988225717332</v>
      </c>
      <c r="AS5" s="6">
        <f t="shared" si="1"/>
        <v>0.98286942905195784</v>
      </c>
      <c r="AT5" s="6">
        <f t="shared" si="1"/>
        <v>0.90446340368717548</v>
      </c>
      <c r="AU5" s="6">
        <f t="shared" si="1"/>
        <v>0.99367924136755736</v>
      </c>
      <c r="AV5" s="6">
        <f t="shared" si="1"/>
        <v>1.0260365295924054</v>
      </c>
      <c r="AW5" s="6">
        <f t="shared" si="1"/>
        <v>0.9840944125688208</v>
      </c>
      <c r="AX5" s="6">
        <f t="shared" si="1"/>
        <v>1.0028299344873053</v>
      </c>
      <c r="AY5" s="6">
        <f t="shared" si="1"/>
        <v>0.95113707009035464</v>
      </c>
      <c r="AZ5" s="6">
        <f t="shared" si="1"/>
        <v>0.93768621694358811</v>
      </c>
      <c r="BA5" s="6">
        <f t="shared" si="1"/>
        <v>0.88009877957817462</v>
      </c>
      <c r="BB5" s="6">
        <f t="shared" si="1"/>
        <v>0.80059687712028127</v>
      </c>
      <c r="BC5" s="6">
        <f t="shared" si="1"/>
        <v>0.57174888561950077</v>
      </c>
      <c r="BD5" s="6">
        <f t="shared" si="1"/>
        <v>0.50538375732922514</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0.19951485658973342</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316.42589361452724</v>
      </c>
      <c r="BL5" s="16">
        <f t="shared" ref="BL5:CE5" si="46">BL3+BL4</f>
        <v>357.88933038648514</v>
      </c>
      <c r="BM5" s="16">
        <f t="shared" si="46"/>
        <v>433.09529846414955</v>
      </c>
      <c r="BN5" s="16">
        <f t="shared" si="46"/>
        <v>425.17993255453666</v>
      </c>
      <c r="BO5" s="16">
        <f t="shared" si="46"/>
        <v>320.17696818271202</v>
      </c>
      <c r="BP5" s="16">
        <f t="shared" si="46"/>
        <v>375.27204484345305</v>
      </c>
      <c r="BQ5" s="16">
        <f t="shared" si="46"/>
        <v>383.7480845628279</v>
      </c>
      <c r="BR5" s="16">
        <f t="shared" si="46"/>
        <v>486.83996200747561</v>
      </c>
      <c r="BS5" s="16">
        <f t="shared" si="46"/>
        <v>514.17161720834258</v>
      </c>
      <c r="BT5" s="16">
        <f t="shared" si="46"/>
        <v>645.55547578311734</v>
      </c>
      <c r="BU5" s="16">
        <f t="shared" si="46"/>
        <v>615.86111257211337</v>
      </c>
      <c r="BV5" s="16">
        <f t="shared" si="46"/>
        <v>546.05999155793268</v>
      </c>
      <c r="BW5" s="16">
        <f t="shared" si="46"/>
        <v>554.90599788235431</v>
      </c>
      <c r="BX5" s="16">
        <f t="shared" si="46"/>
        <v>630.54928804409496</v>
      </c>
      <c r="BY5" s="16">
        <f t="shared" si="46"/>
        <v>710.97212765062977</v>
      </c>
      <c r="BZ5" s="16">
        <f t="shared" si="46"/>
        <v>742.2545027625689</v>
      </c>
      <c r="CA5" s="16">
        <f t="shared" si="46"/>
        <v>485.86200565902857</v>
      </c>
      <c r="CB5" s="16">
        <f t="shared" si="46"/>
        <v>301.78253786872369</v>
      </c>
      <c r="CC5" s="16">
        <f t="shared" si="46"/>
        <v>196.87765867104952</v>
      </c>
      <c r="CD5" s="16">
        <f t="shared" si="46"/>
        <v>45.760002026992993</v>
      </c>
      <c r="CE5" s="16">
        <f t="shared" si="46"/>
        <v>6.6604308939939552</v>
      </c>
      <c r="CF5" s="11">
        <f>SUM(BK5:CE5)</f>
        <v>9095.9002631971089</v>
      </c>
      <c r="CG5" s="11">
        <f t="shared" si="20"/>
        <v>474.59077731038087</v>
      </c>
      <c r="CH5" s="11">
        <f t="shared" si="21"/>
        <v>258.27410589656716</v>
      </c>
      <c r="CI5" s="11">
        <f t="shared" si="3"/>
        <v>3120.7185535770827</v>
      </c>
      <c r="CJ5" s="11">
        <f t="shared" si="22"/>
        <v>1779.1971378823575</v>
      </c>
      <c r="CK5" s="15">
        <f t="shared" si="23"/>
        <v>0.34309067418030204</v>
      </c>
      <c r="CL5" s="15">
        <f t="shared" si="24"/>
        <v>0.19560429274726782</v>
      </c>
      <c r="CM5" s="11">
        <f t="shared" si="25"/>
        <v>1566.0370595964687</v>
      </c>
      <c r="CO5" s="7" t="str">
        <f t="shared" si="26"/>
        <v>2025_3</v>
      </c>
      <c r="CP5" s="30">
        <f>CP4</f>
        <v>2025</v>
      </c>
      <c r="CQ5" s="5" t="s">
        <v>23</v>
      </c>
      <c r="CR5" s="16">
        <f>CR3+CR4</f>
        <v>318.42589361452724</v>
      </c>
      <c r="CS5" s="16">
        <f t="shared" ref="CS5" si="47">CS3+CS4</f>
        <v>357.88933038648514</v>
      </c>
      <c r="CT5" s="16">
        <f t="shared" ref="CT5" si="48">CT3+CT4</f>
        <v>435.09529846414955</v>
      </c>
      <c r="CU5" s="16">
        <f t="shared" ref="CU5" si="49">CU3+CU4</f>
        <v>425.17993255453666</v>
      </c>
      <c r="CV5" s="16">
        <f t="shared" ref="CV5" si="50">CV3+CV4</f>
        <v>320.17696818271202</v>
      </c>
      <c r="CW5" s="16">
        <f t="shared" ref="CW5" si="51">CW3+CW4</f>
        <v>379.27204484345305</v>
      </c>
      <c r="CX5" s="16">
        <f t="shared" ref="CX5" si="52">CX3+CX4</f>
        <v>383.7480845628279</v>
      </c>
      <c r="CY5" s="16">
        <f t="shared" ref="CY5" si="53">CY3+CY4</f>
        <v>486.83996200747561</v>
      </c>
      <c r="CZ5" s="16">
        <f t="shared" ref="CZ5" si="54">CZ3+CZ4</f>
        <v>515.1716172083427</v>
      </c>
      <c r="DA5" s="16">
        <f t="shared" ref="DA5" si="55">DA3+DA4</f>
        <v>645.55547578311734</v>
      </c>
      <c r="DB5" s="16">
        <f t="shared" ref="DB5" si="56">DB3+DB4</f>
        <v>615.86111257211337</v>
      </c>
      <c r="DC5" s="16">
        <f t="shared" ref="DC5" si="57">DC3+DC4</f>
        <v>546.05999155793268</v>
      </c>
      <c r="DD5" s="16">
        <f t="shared" ref="DD5" si="58">DD3+DD4</f>
        <v>554.90599788235431</v>
      </c>
      <c r="DE5" s="16">
        <f t="shared" ref="DE5" si="59">DE3+DE4</f>
        <v>630.54928804409496</v>
      </c>
      <c r="DF5" s="16">
        <f t="shared" ref="DF5" si="60">DF3+DF4</f>
        <v>710.97212765062977</v>
      </c>
      <c r="DG5" s="16">
        <f t="shared" ref="DG5" si="61">DG3+DG4</f>
        <v>742.2545027625689</v>
      </c>
      <c r="DH5" s="16">
        <f t="shared" ref="DH5" si="62">DH3+DH4</f>
        <v>485.86200565902857</v>
      </c>
      <c r="DI5" s="16">
        <f t="shared" ref="DI5" si="63">DI3+DI4</f>
        <v>301.78253786872369</v>
      </c>
      <c r="DJ5" s="16">
        <f t="shared" ref="DJ5" si="64">DJ3+DJ4</f>
        <v>196.87765867104952</v>
      </c>
      <c r="DK5" s="16">
        <f t="shared" ref="DK5" si="65">DK3+DK4</f>
        <v>45.760002026992993</v>
      </c>
      <c r="DL5" s="16">
        <f t="shared" ref="DL5" si="66">DL3+DL4</f>
        <v>6.6604308939939552</v>
      </c>
      <c r="DM5" s="11">
        <f>SUM(CR5:DL5)</f>
        <v>9104.9002631971089</v>
      </c>
      <c r="DN5" s="11">
        <f t="shared" si="34"/>
        <v>475.7907773103808</v>
      </c>
      <c r="DO5" s="11">
        <f t="shared" si="35"/>
        <v>259.07410589656718</v>
      </c>
      <c r="DP5" s="11">
        <f t="shared" si="6"/>
        <v>3120.7185535770827</v>
      </c>
      <c r="DQ5" s="11">
        <f t="shared" si="36"/>
        <v>1779.1971378823575</v>
      </c>
      <c r="DR5" s="15">
        <f t="shared" si="37"/>
        <v>0.34275153635579403</v>
      </c>
      <c r="DS5" s="15">
        <f t="shared" si="38"/>
        <v>0.19541094206973855</v>
      </c>
      <c r="DT5" s="11">
        <f>SUM(CV5:CY5)</f>
        <v>1570.0370595964687</v>
      </c>
      <c r="DV5" s="288"/>
      <c r="DW5" s="289"/>
      <c r="DX5" s="30">
        <f>DX4</f>
        <v>2025</v>
      </c>
      <c r="DY5" s="5" t="s">
        <v>23</v>
      </c>
      <c r="DZ5" s="16">
        <f>DZ3+DZ4</f>
        <v>316.42589361452724</v>
      </c>
      <c r="EA5" s="16">
        <f t="shared" ref="EA5:ET5" si="67">EA3+EA4</f>
        <v>357.88933038648514</v>
      </c>
      <c r="EB5" s="16">
        <f t="shared" si="67"/>
        <v>433.09529846414955</v>
      </c>
      <c r="EC5" s="16">
        <f t="shared" si="67"/>
        <v>425.17993255453666</v>
      </c>
      <c r="ED5" s="16">
        <f t="shared" si="67"/>
        <v>320.17696818271202</v>
      </c>
      <c r="EE5" s="16">
        <f t="shared" si="67"/>
        <v>537.27204484345305</v>
      </c>
      <c r="EF5" s="16">
        <f t="shared" si="67"/>
        <v>545.7480845628279</v>
      </c>
      <c r="EG5" s="16">
        <f t="shared" si="67"/>
        <v>648.83996200747561</v>
      </c>
      <c r="EH5" s="16">
        <f t="shared" si="67"/>
        <v>514.17161720834258</v>
      </c>
      <c r="EI5" s="16">
        <f t="shared" si="67"/>
        <v>645.55547578311734</v>
      </c>
      <c r="EJ5" s="16">
        <f t="shared" si="67"/>
        <v>615.86111257211337</v>
      </c>
      <c r="EK5" s="16">
        <f t="shared" si="67"/>
        <v>546.05999155793268</v>
      </c>
      <c r="EL5" s="16">
        <f t="shared" si="67"/>
        <v>554.90599788235431</v>
      </c>
      <c r="EM5" s="16">
        <f t="shared" si="67"/>
        <v>630.54928804409496</v>
      </c>
      <c r="EN5" s="16">
        <f t="shared" si="67"/>
        <v>710.97212765062977</v>
      </c>
      <c r="EO5" s="16">
        <f t="shared" si="67"/>
        <v>742.2545027625689</v>
      </c>
      <c r="EP5" s="16">
        <f t="shared" si="67"/>
        <v>485.86200565902857</v>
      </c>
      <c r="EQ5" s="16">
        <f t="shared" si="67"/>
        <v>301.78253786872369</v>
      </c>
      <c r="ER5" s="16">
        <f t="shared" si="67"/>
        <v>196.87765867104952</v>
      </c>
      <c r="ES5" s="16">
        <f t="shared" si="67"/>
        <v>45.760002026992993</v>
      </c>
      <c r="ET5" s="16">
        <f t="shared" si="67"/>
        <v>6.6604308939939552</v>
      </c>
      <c r="EU5" s="11">
        <f>SUM(DZ5:ET5)</f>
        <v>9581.9002631971089</v>
      </c>
      <c r="EV5" s="11">
        <f t="shared" si="41"/>
        <v>474.59077731038087</v>
      </c>
      <c r="EW5" s="11">
        <f t="shared" si="42"/>
        <v>258.27410589656716</v>
      </c>
      <c r="EX5" s="11">
        <f t="shared" si="10"/>
        <v>3120.7185535770827</v>
      </c>
      <c r="EY5" s="11">
        <f t="shared" si="43"/>
        <v>1779.1971378823575</v>
      </c>
      <c r="EZ5" s="15">
        <f t="shared" si="44"/>
        <v>0.32568889968134773</v>
      </c>
      <c r="FA5" s="15">
        <f t="shared" si="45"/>
        <v>0.18568312015478111</v>
      </c>
      <c r="FB5" s="11">
        <f>SUM(ED5:EG5)</f>
        <v>2052.0370595964687</v>
      </c>
    </row>
    <row r="6" spans="1:158" x14ac:dyDescent="0.15">
      <c r="A6" s="7" t="str">
        <f t="shared" si="11"/>
        <v>2010_1</v>
      </c>
      <c r="B6" s="28">
        <v>2010</v>
      </c>
      <c r="C6" s="3" t="s">
        <v>21</v>
      </c>
      <c r="D6" s="9">
        <v>207.27946406227457</v>
      </c>
      <c r="E6" s="9">
        <v>231.68309535585544</v>
      </c>
      <c r="F6" s="9">
        <v>259.2406691746022</v>
      </c>
      <c r="G6" s="9">
        <v>262.92222392404574</v>
      </c>
      <c r="H6" s="9">
        <v>238.9544182915042</v>
      </c>
      <c r="I6" s="9">
        <v>258.55259809926213</v>
      </c>
      <c r="J6" s="9">
        <v>330.96873060598244</v>
      </c>
      <c r="K6" s="9">
        <v>362.82149845627191</v>
      </c>
      <c r="L6" s="9">
        <v>277.42912056097026</v>
      </c>
      <c r="M6" s="9">
        <v>277.26456654801166</v>
      </c>
      <c r="N6" s="9">
        <v>316.70911530556975</v>
      </c>
      <c r="O6" s="9">
        <v>368.44134436015543</v>
      </c>
      <c r="P6" s="9">
        <v>433.28977591478315</v>
      </c>
      <c r="Q6" s="9">
        <v>333.10452175974098</v>
      </c>
      <c r="R6" s="9">
        <v>257.30494066441918</v>
      </c>
      <c r="S6" s="9">
        <v>229.78761983032632</v>
      </c>
      <c r="T6" s="9">
        <v>139.31220622894406</v>
      </c>
      <c r="U6" s="9">
        <v>72.602630923834056</v>
      </c>
      <c r="V6" s="9">
        <v>30.306145473894929</v>
      </c>
      <c r="W6" s="9">
        <v>6.0253144595517476</v>
      </c>
      <c r="X6" s="9">
        <v>0</v>
      </c>
      <c r="Y6" s="9">
        <f t="shared" ref="Y6:Y11" si="68">SUM(D6:X6)</f>
        <v>4894</v>
      </c>
      <c r="Z6" s="9">
        <f t="shared" si="12"/>
        <v>294.55425871827458</v>
      </c>
      <c r="AA6" s="9">
        <f t="shared" si="13"/>
        <v>156.28071245465003</v>
      </c>
      <c r="AB6" s="9">
        <f t="shared" si="0"/>
        <v>1068.4433793407113</v>
      </c>
      <c r="AC6" s="9">
        <f t="shared" si="14"/>
        <v>478.03391691655111</v>
      </c>
      <c r="AD6" s="13">
        <f t="shared" si="15"/>
        <v>0.21831699618731332</v>
      </c>
      <c r="AE6" s="13">
        <f t="shared" si="16"/>
        <v>9.7677547387934438E-2</v>
      </c>
      <c r="AF6" s="9">
        <f t="shared" si="17"/>
        <v>1191.2972454530207</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0.918483061887157</v>
      </c>
      <c r="AN6" s="193">
        <f t="shared" si="18"/>
        <v>0.94458328295460925</v>
      </c>
      <c r="AO6" s="193">
        <f t="shared" si="18"/>
        <v>0.9715950046384827</v>
      </c>
      <c r="AP6" s="193">
        <f t="shared" si="18"/>
        <v>0.7735651233356764</v>
      </c>
      <c r="AQ6" s="193">
        <f t="shared" si="18"/>
        <v>1.0505555498878878</v>
      </c>
      <c r="AR6" s="193">
        <f t="shared" si="18"/>
        <v>0.95320102757254721</v>
      </c>
      <c r="AS6" s="193">
        <f t="shared" si="18"/>
        <v>1.0192171247480224</v>
      </c>
      <c r="AT6" s="193">
        <f t="shared" si="18"/>
        <v>0.93141567058316999</v>
      </c>
      <c r="AU6" s="193">
        <f t="shared" si="18"/>
        <v>1.02759839052796</v>
      </c>
      <c r="AV6" s="193">
        <f t="shared" si="18"/>
        <v>0.99006614844530494</v>
      </c>
      <c r="AW6" s="193">
        <f t="shared" si="18"/>
        <v>0.968277672915138</v>
      </c>
      <c r="AX6" s="193">
        <f t="shared" si="18"/>
        <v>1.0231377443864742</v>
      </c>
      <c r="AY6" s="193">
        <f t="shared" si="18"/>
        <v>0.99518303393801111</v>
      </c>
      <c r="AZ6" s="193">
        <f t="shared" si="18"/>
        <v>0.96702131792299184</v>
      </c>
      <c r="BA6" s="193">
        <f t="shared" si="18"/>
        <v>0.93186695544688669</v>
      </c>
      <c r="BB6" s="193">
        <f t="shared" si="18"/>
        <v>0.87308002733358137</v>
      </c>
      <c r="BC6" s="193">
        <f t="shared" si="18"/>
        <v>0.76749190027547487</v>
      </c>
      <c r="BD6" s="193">
        <f t="shared" si="18"/>
        <v>0.61348393948490854</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0.32852236861593931</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0.29259797749118927</v>
      </c>
      <c r="BH6" s="7" t="str">
        <f t="shared" si="19"/>
        <v>2030_1</v>
      </c>
      <c r="BI6" s="28">
        <f>管理者入力シート!B9</f>
        <v>2030</v>
      </c>
      <c r="BJ6" s="3" t="s">
        <v>21</v>
      </c>
      <c r="BK6" s="9">
        <f>CM7*$AK$13</f>
        <v>145.55886765226776</v>
      </c>
      <c r="BL6" s="9">
        <f>IF(管理者入力シート!$B$14=1,BK3*管理者用人口入力シート!AM$3,IF(管理者入力シート!$B$14=2,BK3*管理者用人口入力シート!AM$7))</f>
        <v>166.37660948898611</v>
      </c>
      <c r="BM6" s="9">
        <f>IF(管理者入力シート!$B$14=1,BL3*管理者用人口入力シート!AN$3,IF(管理者入力シート!$B$14=2,BL3*管理者用人口入力シート!AN$7))</f>
        <v>190.93979879781511</v>
      </c>
      <c r="BN6" s="9">
        <f>IF(管理者入力シート!$B$14=1,BM3*管理者用人口入力シート!AO$3,IF(管理者入力シート!$B$14=2,BM3*管理者用人口入力シート!AO$7))</f>
        <v>209.42971107648521</v>
      </c>
      <c r="BO6" s="9">
        <f>IF(管理者入力シート!$B$14=1,BN3*管理者用人口入力シート!AP$3,IF(管理者入力シート!$B$14=2,BN3*管理者用人口入力シート!AP$7))</f>
        <v>174.07763593376643</v>
      </c>
      <c r="BP6" s="9">
        <f>IF(管理者入力シート!$B$14=1,BO3*管理者用人口入力シート!AQ$3,IF(管理者入力シート!$B$14=2,BO3*管理者用人口入力シート!AQ$7))</f>
        <v>178.68890560349126</v>
      </c>
      <c r="BQ6" s="9">
        <f>IF(管理者入力シート!$B$14=1,BP3*管理者用人口入力シート!AR$3,IF(管理者入力シート!$B$14=2,BP3*管理者用人口入力シート!AR$7))</f>
        <v>205.99881531132368</v>
      </c>
      <c r="BR6" s="9">
        <f>IF(管理者入力シート!$B$14=1,BQ3*管理者用人口入力シート!AS$3,IF(管理者入力シート!$B$14=2,BQ3*管理者用人口入力シート!AS$7))</f>
        <v>212.7121549263521</v>
      </c>
      <c r="BS6" s="9">
        <f>IF(管理者入力シート!$B$14=1,BR3*管理者用人口入力シート!AT$3,IF(管理者入力シート!$B$14=2,BR3*管理者用人口入力シート!AT$7))</f>
        <v>234.09237798548861</v>
      </c>
      <c r="BT6" s="9">
        <f>IF(管理者入力シート!$B$14=1,BS3*管理者用人口入力シート!AU$3,IF(管理者入力シート!$B$14=2,BS3*管理者用人口入力シート!AU$7))</f>
        <v>247.39168086579139</v>
      </c>
      <c r="BU6" s="9">
        <f>IF(管理者入力シート!$B$14=1,BT3*管理者用人口入力シート!AV$3,IF(管理者入力シート!$B$14=2,BT3*管理者用人口入力シート!AV$7))</f>
        <v>315.20909139081306</v>
      </c>
      <c r="BV6" s="9">
        <f>IF(管理者入力シート!$B$14=1,BU3*管理者用人口入力シート!AW$3,IF(管理者入力シート!$B$14=2,BU3*管理者用人口入力シート!AW$7))</f>
        <v>290.20962456143729</v>
      </c>
      <c r="BW6" s="9">
        <f>IF(管理者入力シート!$B$14=1,BV3*管理者用人口入力シート!AX$3,IF(管理者入力シート!$B$14=2,BV3*管理者用人口入力シート!AX$7))</f>
        <v>250.05022285337117</v>
      </c>
      <c r="BX6" s="9">
        <f>IF(管理者入力シート!$B$14=1,BW3*管理者用人口入力シート!AY$3,IF(管理者入力シート!$B$14=2,BW3*管理者用人口入力シート!AY$7))</f>
        <v>263.40724255334453</v>
      </c>
      <c r="BY6" s="9">
        <f>IF(管理者入力シート!$B$14=1,BX3*管理者用人口入力シート!AZ$3,IF(管理者入力シート!$B$14=2,BX3*管理者用人口入力シート!AZ$7))</f>
        <v>274.68188590657331</v>
      </c>
      <c r="BZ6" s="9">
        <f>IF(管理者入力シート!$B$14=1,BY3*管理者用人口入力シート!BA$3,IF(管理者入力シート!$B$14=2,BY3*管理者用人口入力シート!BA$7))</f>
        <v>297.94446858758687</v>
      </c>
      <c r="CA6" s="9">
        <f>IF(管理者入力シート!$B$14=1,BZ3*管理者用人口入力シート!BB$3,IF(管理者入力シート!$B$14=2,BZ3*管理者用人口入力シート!BB$7))</f>
        <v>249.48232116474071</v>
      </c>
      <c r="CB6" s="9">
        <f>IF(管理者入力シート!$B$14=1,CA3*管理者用人口入力シート!BC$3,IF(管理者入力シート!$B$14=2,CA3*管理者用人口入力シート!BC$7))</f>
        <v>128.54160902894483</v>
      </c>
      <c r="CC6" s="9">
        <f>IF(管理者入力シート!$B$14=1,CB3*管理者用人口入力シート!BD$3,IF(管理者入力シート!$B$14=2,CB3*管理者用人口入力シート!BD$7))</f>
        <v>51.987310509319265</v>
      </c>
      <c r="CD6" s="9">
        <f>IF(管理者入力シート!$B$14=1,CC3*管理者用人口入力シート!BE$3,IF(管理者入力シート!$B$14=2,CC3*管理者用人口入力シート!BE$7))</f>
        <v>13.509634604000281</v>
      </c>
      <c r="CE6" s="9">
        <f>IF(管理者入力シート!$B$14=1,CD3*管理者用人口入力シート!BF$3,IF(管理者入力シート!$B$14=2,CD3*管理者用人口入力シート!BF$7))</f>
        <v>8.5619559097646659E-3</v>
      </c>
      <c r="CF6" s="9">
        <f t="shared" si="2"/>
        <v>4100.2985307578092</v>
      </c>
      <c r="CG6" s="9">
        <f t="shared" si="20"/>
        <v>214.38984497208074</v>
      </c>
      <c r="CH6" s="9">
        <f t="shared" si="21"/>
        <v>118.26186173442309</v>
      </c>
      <c r="CI6" s="9">
        <f t="shared" si="3"/>
        <v>1279.5630343104197</v>
      </c>
      <c r="CJ6" s="9">
        <f t="shared" si="22"/>
        <v>741.47390585050164</v>
      </c>
      <c r="CK6" s="13">
        <f t="shared" si="23"/>
        <v>0.31206582269850808</v>
      </c>
      <c r="CL6" s="13">
        <f t="shared" si="24"/>
        <v>0.18083412714670408</v>
      </c>
      <c r="CM6" s="9">
        <f t="shared" si="25"/>
        <v>771.47751177493353</v>
      </c>
      <c r="CO6" s="7" t="str">
        <f t="shared" si="26"/>
        <v>2030_1</v>
      </c>
      <c r="CP6" s="28">
        <f>管理者入力シート!B9</f>
        <v>2030</v>
      </c>
      <c r="CQ6" s="3" t="s">
        <v>21</v>
      </c>
      <c r="CR6" s="9">
        <f>DT7*$AK$13+将来予測シート②!$G17</f>
        <v>147.43769235080435</v>
      </c>
      <c r="CS6" s="9">
        <f>IF(管理者入力シート!$B$14=1,CR3*管理者用人口入力シート!AM$3,IF(管理者入力シート!$B$14=2,CR3*管理者用人口入力シート!AM$7))+将来予測シート②!$G18</f>
        <v>167.37615581129214</v>
      </c>
      <c r="CT6" s="9">
        <f>IF(管理者入力シート!$B$14=1,CS3*管理者用人口入力シート!AN$3,IF(管理者入力シート!$B$14=2,CS3*管理者用人口入力シート!AN$7))+将来予測シート②!$G19</f>
        <v>191.93979879781511</v>
      </c>
      <c r="CU6" s="9">
        <f>IF(管理者入力シート!$B$14=1,CT3*管理者用人口入力シート!AO$3,IF(管理者入力シート!$B$14=2,CT3*管理者用人口入力シート!AO$7))+将来予測シート②!$G20</f>
        <v>210.37859381513377</v>
      </c>
      <c r="CV6" s="9">
        <f>IF(管理者入力シート!$B$14=1,CU3*管理者用人口入力シート!AP$3,IF(管理者入力シート!$B$14=2,CU3*管理者用人口入力シート!AP$7))+将来予測シート②!$G21</f>
        <v>174.07763593376643</v>
      </c>
      <c r="CW6" s="9">
        <f>IF(管理者入力シート!$B$14=1,CV3*管理者用人口入力シート!AQ$3,IF(管理者入力シート!$B$14=2,CV3*管理者用人口入力シート!AQ$7))+将来予測シート②!$G22</f>
        <v>180.68890560349126</v>
      </c>
      <c r="CX6" s="9">
        <f>IF(管理者入力シート!$B$14=1,CW3*管理者用人口入力シート!AR$3,IF(管理者入力シート!$B$14=2,CW3*管理者用人口入力シート!AR$7))+将来予測シート②!$G23</f>
        <v>207.95847807581009</v>
      </c>
      <c r="CY6" s="9">
        <f>IF(管理者入力シート!$B$14=1,CX3*管理者用人口入力シート!AS$3,IF(管理者入力シート!$B$14=2,CX3*管理者用人口入力シート!AS$7))+将来予測シート②!$G24</f>
        <v>212.7121549263521</v>
      </c>
      <c r="CZ6" s="9">
        <f>IF(管理者入力シート!$B$14=1,CY3*管理者用人口入力シート!AT$3,IF(管理者入力シート!$B$14=2,CY3*管理者用人口入力シート!AT$7))+将来予測シート②!$G25</f>
        <v>234.09237798548861</v>
      </c>
      <c r="DA6" s="9">
        <f>IF(管理者入力シート!$B$14=1,CZ3*管理者用人口入力シート!AU$3,IF(管理者入力シート!$B$14=2,CZ3*管理者用人口入力シート!AU$7))+将来予測シート②!$G26</f>
        <v>247.39168086579139</v>
      </c>
      <c r="DB6" s="9">
        <f>IF(管理者入力シート!$B$14=1,DA3*管理者用人口入力シート!AV$3,IF(管理者入力シート!$B$14=2,DA3*管理者用人口入力シート!AV$7))+将来予測シート②!$G27</f>
        <v>315.20909139081306</v>
      </c>
      <c r="DC6" s="9">
        <f>IF(管理者入力シート!$B$14=1,DB3*管理者用人口入力シート!AW$3,IF(管理者入力シート!$B$14=2,DB3*管理者用人口入力シート!AW$7))+将来予測シート②!$G28</f>
        <v>290.20962456143729</v>
      </c>
      <c r="DD6" s="9">
        <f>IF(管理者入力シート!$B$14=1,DC3*管理者用人口入力シート!AX$3,IF(管理者入力シート!$B$14=2,DC3*管理者用人口入力シート!AX$7))+将来予測シート②!$G29</f>
        <v>250.05022285337117</v>
      </c>
      <c r="DE6" s="9">
        <f>IF(管理者入力シート!$B$14=1,DD3*管理者用人口入力シート!AY$3,IF(管理者入力シート!$B$14=2,DD3*管理者用人口入力シート!AY$7))</f>
        <v>263.40724255334453</v>
      </c>
      <c r="DF6" s="9">
        <f>IF(管理者入力シート!$B$14=1,DE3*管理者用人口入力シート!AZ$3,IF(管理者入力シート!$B$14=2,DE3*管理者用人口入力シート!AZ$7))</f>
        <v>274.68188590657331</v>
      </c>
      <c r="DG6" s="9">
        <f>IF(管理者入力シート!$B$14=1,DF3*管理者用人口入力シート!BA$3,IF(管理者入力シート!$B$14=2,DF3*管理者用人口入力シート!BA$7))</f>
        <v>297.94446858758687</v>
      </c>
      <c r="DH6" s="9">
        <f>IF(管理者入力シート!$B$14=1,DG3*管理者用人口入力シート!BB$3,IF(管理者入力シート!$B$14=2,DG3*管理者用人口入力シート!BB$7))</f>
        <v>249.48232116474071</v>
      </c>
      <c r="DI6" s="9">
        <f>IF(管理者入力シート!$B$14=1,DH3*管理者用人口入力シート!BC$3,IF(管理者入力シート!$B$14=2,DH3*管理者用人口入力シート!BC$7))</f>
        <v>128.54160902894483</v>
      </c>
      <c r="DJ6" s="9">
        <f>IF(管理者入力シート!$B$14=1,DI3*管理者用人口入力シート!BD$3,IF(管理者入力シート!$B$14=2,DI3*管理者用人口入力シート!BD$7))</f>
        <v>51.987310509319265</v>
      </c>
      <c r="DK6" s="9">
        <f>IF(管理者入力シート!$B$14=1,DJ3*管理者用人口入力シート!BE$3,IF(管理者入力シート!$B$14=2,DJ3*管理者用人口入力シート!BE$7))</f>
        <v>13.509634604000281</v>
      </c>
      <c r="DL6" s="9">
        <f>IF(管理者入力シート!$B$14=1,DK3*管理者用人口入力シート!BF$3,IF(管理者入力シート!$B$14=2,DK3*管理者用人口入力シート!BF$7))</f>
        <v>8.5619559097646659E-3</v>
      </c>
      <c r="DM6" s="9">
        <f t="shared" ref="DM6:DM14" si="69">SUM(CR6:DL6)</f>
        <v>4109.0854472817864</v>
      </c>
      <c r="DN6" s="9">
        <f t="shared" si="34"/>
        <v>215.58957276546434</v>
      </c>
      <c r="DO6" s="9">
        <f t="shared" si="35"/>
        <v>118.85163828215281</v>
      </c>
      <c r="DP6" s="9">
        <f t="shared" si="6"/>
        <v>1279.5630343104197</v>
      </c>
      <c r="DQ6" s="9">
        <f t="shared" si="36"/>
        <v>741.47390585050164</v>
      </c>
      <c r="DR6" s="13">
        <f t="shared" si="37"/>
        <v>0.31139849748241843</v>
      </c>
      <c r="DS6" s="13">
        <f t="shared" si="38"/>
        <v>0.18044742932785598</v>
      </c>
      <c r="DT6" s="9">
        <f t="shared" ref="DT6:DT14" si="70">SUM(CV6:CY6)</f>
        <v>775.43717453941997</v>
      </c>
      <c r="DV6" s="7" t="s">
        <v>400</v>
      </c>
      <c r="DX6" s="28">
        <f>管理者入力シート!B9</f>
        <v>2030</v>
      </c>
      <c r="DY6" s="3" t="s">
        <v>21</v>
      </c>
      <c r="DZ6" s="9">
        <f>FB7*$AK$13</f>
        <v>237.15456060160392</v>
      </c>
      <c r="EA6" s="129">
        <f>IF(管理者入力シート!$B$14=1,DZ3*管理者用人口入力シート!AM$3,IF(管理者入力シート!$B$14=2,DZ3*管理者用人口入力シート!AM$7))</f>
        <v>166.37660948898611</v>
      </c>
      <c r="EB6" s="9">
        <f>IF(管理者入力シート!$B$14=1,EA3*管理者用人口入力シート!AN$3,IF(管理者入力シート!$B$14=2,EA3*管理者用人口入力シート!AN$7))</f>
        <v>190.93979879781511</v>
      </c>
      <c r="EC6" s="9">
        <f>IF(管理者入力シート!$B$14=1,EB3*管理者用人口入力シート!AO$3,IF(管理者入力シート!$B$14=2,EB3*管理者用人口入力シート!AO$7))</f>
        <v>209.42971107648521</v>
      </c>
      <c r="ED6" s="9">
        <f>IF(管理者入力シート!$B$14=1,EC3*管理者用人口入力シート!AP$3,IF(管理者入力シート!$B$14=2,EC3*管理者用人口入力シート!AP$7))</f>
        <v>174.07763593376643</v>
      </c>
      <c r="EE6" s="9">
        <f>IF(管理者入力シート!$B$14=1,ED3*管理者用人口入力シート!AQ$3,IF(管理者入力シート!$B$14=2,ED3*管理者用人口入力シート!AQ$7))+DX1</f>
        <v>259.68890560349126</v>
      </c>
      <c r="EF6" s="9">
        <f>IF(管理者入力シート!$B$14=1,EE3*管理者用人口入力シート!AR$3,IF(管理者入力シート!$B$14=2,EE3*管理者用人口入力シート!AR$7))+DX1</f>
        <v>366.36515727302333</v>
      </c>
      <c r="EG6" s="9">
        <f>IF(管理者入力シート!$B$14=1,EF3*管理者用人口入力シート!AS$3,IF(管理者入力シート!$B$14=2,EF3*管理者用人口入力シート!AS$7))+DX1</f>
        <v>376.31666763110479</v>
      </c>
      <c r="EH6" s="9">
        <f>IF(管理者入力シート!$B$14=1,EG3*管理者用人口入力シート!AT$3,IF(管理者入力シート!$B$14=2,EG3*管理者用人口入力シート!AT$7))</f>
        <v>312.29235544394675</v>
      </c>
      <c r="EI6" s="9">
        <f>IF(管理者入力シート!$B$14=1,EH3*管理者用人口入力シート!AU$3,IF(管理者入力シート!$B$14=2,EH3*管理者用人口入力シート!AU$7))</f>
        <v>247.39168086579139</v>
      </c>
      <c r="EJ6" s="9">
        <f>IF(管理者入力シート!$B$14=1,EI3*管理者用人口入力シート!AV$3,IF(管理者入力シート!$B$14=2,EI3*管理者用人口入力シート!AV$7))</f>
        <v>315.20909139081306</v>
      </c>
      <c r="EK6" s="9">
        <f>IF(管理者入力シート!$B$14=1,EJ3*管理者用人口入力シート!AW$3,IF(管理者入力シート!$B$14=2,EJ3*管理者用人口入力シート!AW$7))</f>
        <v>290.20962456143729</v>
      </c>
      <c r="EL6" s="9">
        <f>IF(管理者入力シート!$B$14=1,EK3*管理者用人口入力シート!AX$3,IF(管理者入力シート!$B$14=2,EK3*管理者用人口入力シート!AX$7))</f>
        <v>250.05022285337117</v>
      </c>
      <c r="EM6" s="9">
        <f>IF(管理者入力シート!$B$14=1,EL3*管理者用人口入力シート!AY$3,IF(管理者入力シート!$B$14=2,EL3*管理者用人口入力シート!AY$7))</f>
        <v>263.40724255334453</v>
      </c>
      <c r="EN6" s="9">
        <f>IF(管理者入力シート!$B$14=1,EM3*管理者用人口入力シート!AZ$3,IF(管理者入力シート!$B$14=2,EM3*管理者用人口入力シート!AZ$7))</f>
        <v>274.68188590657331</v>
      </c>
      <c r="EO6" s="9">
        <f>IF(管理者入力シート!$B$14=1,EN3*管理者用人口入力シート!BA$3,IF(管理者入力シート!$B$14=2,EN3*管理者用人口入力シート!BA$7))</f>
        <v>297.94446858758687</v>
      </c>
      <c r="EP6" s="9">
        <f>IF(管理者入力シート!$B$14=1,EO3*管理者用人口入力シート!BB$3,IF(管理者入力シート!$B$14=2,EO3*管理者用人口入力シート!BB$7))</f>
        <v>249.48232116474071</v>
      </c>
      <c r="EQ6" s="9">
        <f>IF(管理者入力シート!$B$14=1,EP3*管理者用人口入力シート!BC$3,IF(管理者入力シート!$B$14=2,EP3*管理者用人口入力シート!BC$7))</f>
        <v>128.54160902894483</v>
      </c>
      <c r="ER6" s="9">
        <f>IF(管理者入力シート!$B$14=1,EQ3*管理者用人口入力シート!BD$3,IF(管理者入力シート!$B$14=2,EQ3*管理者用人口入力シート!BD$7))</f>
        <v>51.987310509319265</v>
      </c>
      <c r="ES6" s="9">
        <f>IF(管理者入力シート!$B$14=1,ER3*管理者用人口入力シート!BE$3,IF(管理者入力シート!$B$14=2,ER3*管理者用人口入力シート!BE$7))</f>
        <v>13.509634604000281</v>
      </c>
      <c r="ET6" s="9">
        <f>IF(管理者入力シート!$B$14=1,ES3*管理者用人口入力シート!BF$3,IF(管理者入力シート!$B$14=2,ES3*管理者用人口入力シート!BF$7))</f>
        <v>8.5619559097646659E-3</v>
      </c>
      <c r="EU6" s="9">
        <f t="shared" ref="EU6:EU14" si="71">SUM(DZ6:ET6)</f>
        <v>4675.0650558320549</v>
      </c>
      <c r="EV6" s="9">
        <f t="shared" si="41"/>
        <v>214.38984497208074</v>
      </c>
      <c r="EW6" s="9">
        <f t="shared" si="42"/>
        <v>118.26186173442309</v>
      </c>
      <c r="EX6" s="9">
        <f t="shared" si="10"/>
        <v>1279.5630343104197</v>
      </c>
      <c r="EY6" s="9">
        <f t="shared" si="43"/>
        <v>741.47390585050164</v>
      </c>
      <c r="EZ6" s="13">
        <f t="shared" si="44"/>
        <v>0.2736995141306513</v>
      </c>
      <c r="FA6" s="13">
        <f t="shared" si="45"/>
        <v>0.15860183697883029</v>
      </c>
      <c r="FB6" s="9">
        <f t="shared" ref="FB6:FB14" si="72">SUM(ED6:EG6)</f>
        <v>1176.4483664413858</v>
      </c>
    </row>
    <row r="7" spans="1:158" x14ac:dyDescent="0.15">
      <c r="A7" s="7" t="str">
        <f t="shared" si="11"/>
        <v>2010_2</v>
      </c>
      <c r="B7" s="29">
        <v>2010</v>
      </c>
      <c r="C7" s="4" t="s">
        <v>22</v>
      </c>
      <c r="D7" s="10">
        <v>225.45538969825438</v>
      </c>
      <c r="E7" s="10">
        <v>227.70466798750201</v>
      </c>
      <c r="F7" s="10">
        <v>241.66849828420069</v>
      </c>
      <c r="G7" s="10">
        <v>262.09726676275858</v>
      </c>
      <c r="H7" s="10">
        <v>240.50685946763633</v>
      </c>
      <c r="I7" s="10">
        <v>269.28842137912972</v>
      </c>
      <c r="J7" s="10">
        <v>340.04157662163527</v>
      </c>
      <c r="K7" s="10">
        <v>335.5771526046218</v>
      </c>
      <c r="L7" s="10">
        <v>291.99605148054582</v>
      </c>
      <c r="M7" s="10">
        <v>295.24995886165942</v>
      </c>
      <c r="N7" s="10">
        <v>354.30080860931633</v>
      </c>
      <c r="O7" s="10">
        <v>382.24094596182834</v>
      </c>
      <c r="P7" s="10">
        <v>472.61050787586657</v>
      </c>
      <c r="Q7" s="10">
        <v>356.28114478684637</v>
      </c>
      <c r="R7" s="10">
        <v>320.33990370538197</v>
      </c>
      <c r="S7" s="10">
        <v>320.16833301981603</v>
      </c>
      <c r="T7" s="10">
        <v>269.63663252954831</v>
      </c>
      <c r="U7" s="10">
        <v>165.8593287601754</v>
      </c>
      <c r="V7" s="10">
        <v>79.767950015058474</v>
      </c>
      <c r="W7" s="10">
        <v>24.201657143773748</v>
      </c>
      <c r="X7" s="10">
        <v>3.0069444444444446</v>
      </c>
      <c r="Y7" s="10">
        <f t="shared" si="68"/>
        <v>5478</v>
      </c>
      <c r="Z7" s="10">
        <f t="shared" si="12"/>
        <v>281.62389976302165</v>
      </c>
      <c r="AA7" s="10">
        <f t="shared" si="13"/>
        <v>149.08685266623201</v>
      </c>
      <c r="AB7" s="10">
        <f t="shared" si="0"/>
        <v>1539.2618944050446</v>
      </c>
      <c r="AC7" s="10">
        <f t="shared" si="14"/>
        <v>862.64084591281653</v>
      </c>
      <c r="AD7" s="14">
        <f t="shared" si="15"/>
        <v>0.28098975801479453</v>
      </c>
      <c r="AE7" s="14">
        <f t="shared" si="16"/>
        <v>0.157473684905589</v>
      </c>
      <c r="AF7" s="10">
        <f t="shared" si="17"/>
        <v>1185.4140100730233</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0.99954632230602514</v>
      </c>
      <c r="AN7" s="48">
        <f t="shared" si="73"/>
        <v>0.97428914114680565</v>
      </c>
      <c r="AO7" s="48">
        <f t="shared" si="73"/>
        <v>0.94888273864854822</v>
      </c>
      <c r="AP7" s="48">
        <f t="shared" si="73"/>
        <v>0.81051521730254905</v>
      </c>
      <c r="AQ7" s="48">
        <f t="shared" si="73"/>
        <v>1.046344961102446</v>
      </c>
      <c r="AR7" s="48">
        <f t="shared" si="73"/>
        <v>0.97983138224320565</v>
      </c>
      <c r="AS7" s="48">
        <f t="shared" si="73"/>
        <v>1.0198087988241071</v>
      </c>
      <c r="AT7" s="48">
        <f t="shared" si="73"/>
        <v>0.9654318204747917</v>
      </c>
      <c r="AU7" s="48">
        <f t="shared" si="73"/>
        <v>0.95733818060844089</v>
      </c>
      <c r="AV7" s="48">
        <f t="shared" si="73"/>
        <v>0.98219641610288133</v>
      </c>
      <c r="AW7" s="48">
        <f t="shared" si="73"/>
        <v>0.97621373112939813</v>
      </c>
      <c r="AX7" s="48">
        <f t="shared" si="73"/>
        <v>0.98821218449413406</v>
      </c>
      <c r="AY7" s="48">
        <f t="shared" si="73"/>
        <v>0.96753627078457016</v>
      </c>
      <c r="AZ7" s="48">
        <f t="shared" si="73"/>
        <v>0.93538912645975647</v>
      </c>
      <c r="BA7" s="48">
        <f t="shared" si="73"/>
        <v>0.8759028943877798</v>
      </c>
      <c r="BB7" s="48">
        <f t="shared" si="73"/>
        <v>0.74068775157818967</v>
      </c>
      <c r="BC7" s="48">
        <f t="shared" si="73"/>
        <v>0.63736763170006483</v>
      </c>
      <c r="BD7" s="48">
        <f t="shared" si="73"/>
        <v>0.52561937758983568</v>
      </c>
      <c r="BE7" s="48">
        <f t="shared" si="73"/>
        <v>0.19663328508361283</v>
      </c>
      <c r="BF7" s="48">
        <f t="shared" si="73"/>
        <v>1E-3</v>
      </c>
      <c r="BH7" s="7" t="str">
        <f t="shared" si="19"/>
        <v>2030_2</v>
      </c>
      <c r="BI7" s="29">
        <f>BI6</f>
        <v>2030</v>
      </c>
      <c r="BJ7" s="4" t="s">
        <v>22</v>
      </c>
      <c r="BK7" s="10">
        <f>CM7*$AK$14</f>
        <v>131.14889286001753</v>
      </c>
      <c r="BL7" s="10">
        <f>IF(管理者入力シート!$B$14=1,BK4*管理者用人口入力シート!AM$4,IF(管理者入力シート!$B$14=2,BK4*管理者用人口入力シート!AM$8))</f>
        <v>137.45462799948922</v>
      </c>
      <c r="BM7" s="10">
        <f>IF(管理者入力シート!$B$14=1,BL4*管理者用人口入力シート!AN$4,IF(管理者入力シート!$B$14=2,BL4*管理者用人口入力シート!AN$8))</f>
        <v>162.49964233973435</v>
      </c>
      <c r="BN7" s="10">
        <f>IF(管理者入力シート!$B$14=1,BM4*管理者用人口入力シート!AO$4,IF(管理者入力シート!$B$14=2,BM4*管理者用人口入力シート!AO$8))</f>
        <v>202.36411366326593</v>
      </c>
      <c r="BO7" s="10">
        <f>IF(管理者入力シート!$B$14=1,BN4*管理者用人口入力シート!AP$4,IF(管理者入力シート!$B$14=2,BN4*管理者用人口入力シート!AP$8))</f>
        <v>156.40953985892855</v>
      </c>
      <c r="BP7" s="10">
        <f>IF(管理者入力シート!$B$14=1,BO4*管理者用人口入力シート!AQ$4,IF(管理者入力シート!$B$14=2,BO4*管理者用人口入力シート!AQ$8))</f>
        <v>146.99744016224432</v>
      </c>
      <c r="BQ7" s="10">
        <f>IF(管理者入力シート!$B$14=1,BP4*管理者用人口入力シート!AR$4,IF(管理者入力シート!$B$14=2,BP4*管理者用人口入力シート!AR$8))</f>
        <v>154.73234045247514</v>
      </c>
      <c r="BR7" s="10">
        <f>IF(管理者入力シート!$B$14=1,BQ4*管理者用人口入力シート!AS$4,IF(管理者入力シート!$B$14=2,BQ4*管理者用人口入力シート!AS$8))</f>
        <v>183.70101494753843</v>
      </c>
      <c r="BS7" s="10">
        <f>IF(管理者入力シート!$B$14=1,BR4*管理者用人口入力シート!AT$4,IF(管理者入力シート!$B$14=2,BR4*管理者用人口入力シート!AT$8))</f>
        <v>225.63909889726418</v>
      </c>
      <c r="BT7" s="10">
        <f>IF(管理者入力シート!$B$14=1,BS4*管理者用人口入力シート!AU$4,IF(管理者入力シート!$B$14=2,BS4*管理者用人口入力シート!AU$8))</f>
        <v>261.70609033848967</v>
      </c>
      <c r="BU7" s="10">
        <f>IF(管理者入力シート!$B$14=1,BT4*管理者用人口入力シート!AV$4,IF(管理者入力シート!$B$14=2,BT4*管理者用人口入力シート!AV$8))</f>
        <v>324.7288492628133</v>
      </c>
      <c r="BV7" s="10">
        <f>IF(管理者入力シート!$B$14=1,BU4*管理者用人口入力シート!AW$4,IF(管理者入力シート!$B$14=2,BU4*管理者用人口入力シート!AW$8))</f>
        <v>307.8460074664801</v>
      </c>
      <c r="BW7" s="10">
        <f>IF(管理者入力シート!$B$14=1,BV4*管理者用人口入力シート!AX$4,IF(管理者入力シート!$B$14=2,BV4*管理者用人口入力シート!AX$8))</f>
        <v>293.82564715702546</v>
      </c>
      <c r="BX7" s="10">
        <f>IF(管理者入力シート!$B$14=1,BW4*管理者用人口入力シート!AY$4,IF(管理者入力シート!$B$14=2,BW4*管理者用人口入力シート!AY$8))</f>
        <v>282.45993417889349</v>
      </c>
      <c r="BY7" s="10">
        <f>IF(管理者入力シート!$B$14=1,BX4*管理者用人口入力シート!AZ$4,IF(管理者入力シート!$B$14=2,BX4*管理者用人口入力シート!AZ$8))</f>
        <v>318.34610313597989</v>
      </c>
      <c r="BZ7" s="10">
        <f>IF(管理者入力シート!$B$14=1,BY4*管理者用人口入力シート!BA$4,IF(管理者入力シート!$B$14=2,BY4*管理者用人口入力シート!BA$8))</f>
        <v>346.17044931434759</v>
      </c>
      <c r="CA7" s="10">
        <f>IF(管理者入力シート!$B$14=1,BZ4*管理者用人口入力シート!BB$4,IF(管理者入力シート!$B$14=2,BZ4*管理者用人口入力シート!BB$8))</f>
        <v>357.58406252721772</v>
      </c>
      <c r="CB7" s="10">
        <f>IF(管理者入力シート!$B$14=1,CA4*管理者用人口入力シート!BC$4,IF(管理者入力シート!$B$14=2,CA4*管理者用人口入力シート!BC$8))</f>
        <v>216.76852969884723</v>
      </c>
      <c r="CC7" s="10">
        <f>IF(管理者入力シート!$B$14=1,CB4*管理者用人口入力シート!BD$4,IF(管理者入力シート!$B$14=2,CB4*管理者用人口入力シート!BD$8))</f>
        <v>122.71044233665938</v>
      </c>
      <c r="CD7" s="10">
        <f>IF(管理者入力シート!$B$14=1,CC4*管理者用人口入力シート!BE$4,IF(管理者入力シート!$B$14=2,CC4*管理者用人口入力シート!BE$8))</f>
        <v>38.63352371027932</v>
      </c>
      <c r="CE7" s="10">
        <f>IF(管理者入力シート!$B$14=1,CD4*管理者用人口入力シート!BF$4,IF(管理者入力シート!$B$14=2,CD4*管理者用人口入力シート!BF$8))</f>
        <v>8.7951741741264442</v>
      </c>
      <c r="CF7" s="10">
        <f t="shared" si="2"/>
        <v>4380.5215244821156</v>
      </c>
      <c r="CG7" s="10">
        <f t="shared" si="20"/>
        <v>179.97256220353415</v>
      </c>
      <c r="CH7" s="10">
        <f t="shared" si="21"/>
        <v>105.47267966854693</v>
      </c>
      <c r="CI7" s="10">
        <f t="shared" si="3"/>
        <v>1691.4682190763513</v>
      </c>
      <c r="CJ7" s="10">
        <f t="shared" si="22"/>
        <v>1090.6621817614778</v>
      </c>
      <c r="CK7" s="14">
        <f t="shared" si="23"/>
        <v>0.38613398190671466</v>
      </c>
      <c r="CL7" s="14">
        <f t="shared" si="24"/>
        <v>0.24897998461277293</v>
      </c>
      <c r="CM7" s="10">
        <f t="shared" si="25"/>
        <v>641.84033542118641</v>
      </c>
      <c r="CO7" s="7" t="str">
        <f t="shared" si="26"/>
        <v>2030_2</v>
      </c>
      <c r="CP7" s="29">
        <f>CP6</f>
        <v>2030</v>
      </c>
      <c r="CQ7" s="4" t="s">
        <v>22</v>
      </c>
      <c r="CR7" s="10">
        <f>DT7*$AK$14+将来予測シート②!$H17</f>
        <v>132.94071604530401</v>
      </c>
      <c r="CS7" s="10">
        <f>IF(管理者入力シート!$B$14=1,CR4*管理者用人口入力シート!AM$4,IF(管理者入力シート!$B$14=2,CR4*管理者用人口入力シート!AM$8))+将来予測シート②!$H18</f>
        <v>138.37115246483927</v>
      </c>
      <c r="CT7" s="10">
        <f>IF(管理者入力シート!$B$14=1,CS4*管理者用人口入力シート!AN$4,IF(管理者入力シート!$B$14=2,CS4*管理者用人口入力シート!AN$8))+将来予測シート②!$H19</f>
        <v>163.49964233973435</v>
      </c>
      <c r="CU7" s="10">
        <f>IF(管理者入力シート!$B$14=1,CT4*管理者用人口入力シート!AO$4,IF(管理者入力シート!$B$14=2,CT4*管理者用人口入力シート!AO$8))+将来予測シート②!$H20</f>
        <v>203.31693819698404</v>
      </c>
      <c r="CV7" s="10">
        <f>IF(管理者入力シート!$B$14=1,CU4*管理者用人口入力シート!AP$4,IF(管理者入力シート!$B$14=2,CU4*管理者用人口入力シート!AP$8))+将来予測シート②!$H21</f>
        <v>156.40953985892855</v>
      </c>
      <c r="CW7" s="10">
        <f>IF(管理者入力シート!$B$14=1,CV4*管理者用人口入力シート!AQ$4,IF(管理者入力シート!$B$14=2,CV4*管理者用人口入力シート!AQ$8))+将来予測シート②!$H22</f>
        <v>148.99744016224432</v>
      </c>
      <c r="CX7" s="10">
        <f>IF(管理者入力シート!$B$14=1,CW4*管理者用人口入力シート!AR$4,IF(管理者入力シート!$B$14=2,CW4*管理者用人口入力シート!AR$8))+将来予測シート②!$H23</f>
        <v>156.60750895565872</v>
      </c>
      <c r="CY7" s="10">
        <f>IF(管理者入力シート!$B$14=1,CX4*管理者用人口入力シート!AS$4,IF(管理者入力シート!$B$14=2,CX4*管理者用人口入力シート!AS$8))+将来予測シート②!$H24</f>
        <v>183.70101494753843</v>
      </c>
      <c r="CZ7" s="10">
        <f>IF(管理者入力シート!$B$14=1,CY4*管理者用人口入力シート!AT$4,IF(管理者入力シート!$B$14=2,CY4*管理者用人口入力シート!AT$8))+将来予測シート②!$H25</f>
        <v>226.63909889726418</v>
      </c>
      <c r="DA7" s="10">
        <f>IF(管理者入力シート!$B$14=1,CZ4*管理者用人口入力シート!AU$4,IF(管理者入力シート!$B$14=2,CZ4*管理者用人口入力シート!AU$8))+将来予測シート②!$H26</f>
        <v>262.72935732675978</v>
      </c>
      <c r="DB7" s="10">
        <f>IF(管理者入力シート!$B$14=1,DA4*管理者用人口入力シート!AV$4,IF(管理者入力シート!$B$14=2,DA4*管理者用人口入力シート!AV$8))+将来予測シート②!$H27</f>
        <v>324.7288492628133</v>
      </c>
      <c r="DC7" s="10">
        <f>IF(管理者入力シート!$B$14=1,DB4*管理者用人口入力シート!AW$4,IF(管理者入力シート!$B$14=2,DB4*管理者用人口入力シート!AW$8))+将来予測シート②!$H28</f>
        <v>307.8460074664801</v>
      </c>
      <c r="DD7" s="10">
        <f>IF(管理者入力シート!$B$14=1,DC4*管理者用人口入力シート!AX$4,IF(管理者入力シート!$B$14=2,DC4*管理者用人口入力シート!AX$8))+将来予測シート②!$H29</f>
        <v>293.82564715702546</v>
      </c>
      <c r="DE7" s="10">
        <f>IF(管理者入力シート!$B$14=1,DD4*管理者用人口入力シート!AY$4,IF(管理者入力シート!$B$14=2,DD4*管理者用人口入力シート!AY$8))</f>
        <v>282.45993417889349</v>
      </c>
      <c r="DF7" s="10">
        <f>IF(管理者入力シート!$B$14=1,DE4*管理者用人口入力シート!AZ$4,IF(管理者入力シート!$B$14=2,DE4*管理者用人口入力シート!AZ$8))</f>
        <v>318.34610313597989</v>
      </c>
      <c r="DG7" s="10">
        <f>IF(管理者入力シート!$B$14=1,DF4*管理者用人口入力シート!BA$4,IF(管理者入力シート!$B$14=2,DF4*管理者用人口入力シート!BA$8))</f>
        <v>346.17044931434759</v>
      </c>
      <c r="DH7" s="10">
        <f>IF(管理者入力シート!$B$14=1,DG4*管理者用人口入力シート!BB$4,IF(管理者入力シート!$B$14=2,DG4*管理者用人口入力シート!BB$8))</f>
        <v>357.58406252721772</v>
      </c>
      <c r="DI7" s="10">
        <f>IF(管理者入力シート!$B$14=1,DH4*管理者用人口入力シート!BC$4,IF(管理者入力シート!$B$14=2,DH4*管理者用人口入力シート!BC$8))</f>
        <v>216.76852969884723</v>
      </c>
      <c r="DJ7" s="10">
        <f>IF(管理者入力シート!$B$14=1,DI4*管理者用人口入力シート!BD$4,IF(管理者入力シート!$B$14=2,DI4*管理者用人口入力シート!BD$8))</f>
        <v>122.71044233665938</v>
      </c>
      <c r="DK7" s="10">
        <f>IF(管理者入力シート!$B$14=1,DJ4*管理者用人口入力シート!BE$4,IF(管理者入力シート!$B$14=2,DJ4*管理者用人口入力シート!BE$8))</f>
        <v>38.63352371027932</v>
      </c>
      <c r="DL7" s="10">
        <f>IF(管理者入力シート!$B$14=1,DK4*管理者用人口入力シート!BF$4,IF(管理者入力シート!$B$14=2,DK4*管理者用人口入力シート!BF$8))</f>
        <v>8.7951741741264442</v>
      </c>
      <c r="DM7" s="10">
        <f t="shared" si="69"/>
        <v>4391.0811321579249</v>
      </c>
      <c r="DN7" s="10">
        <f t="shared" si="34"/>
        <v>181.12247688274419</v>
      </c>
      <c r="DO7" s="10">
        <f t="shared" si="35"/>
        <v>106.06324457529055</v>
      </c>
      <c r="DP7" s="10">
        <f t="shared" si="6"/>
        <v>1691.4682190763513</v>
      </c>
      <c r="DQ7" s="10">
        <f t="shared" si="36"/>
        <v>1090.6621817614778</v>
      </c>
      <c r="DR7" s="14">
        <f t="shared" si="37"/>
        <v>0.3852054125552235</v>
      </c>
      <c r="DS7" s="14">
        <f t="shared" si="38"/>
        <v>0.24838124118774588</v>
      </c>
      <c r="DT7" s="10">
        <f t="shared" si="70"/>
        <v>645.71550392437007</v>
      </c>
      <c r="DV7" s="7" t="s">
        <v>401</v>
      </c>
      <c r="DW7" s="210">
        <f>(SUM(BK12:BW12)-SUM(D12:P12))/4</f>
        <v>-213.73024513292603</v>
      </c>
      <c r="DX7" s="29">
        <f>DX6</f>
        <v>2030</v>
      </c>
      <c r="DY7" s="4" t="s">
        <v>22</v>
      </c>
      <c r="DZ7" s="10">
        <f>FB7*$AK$14</f>
        <v>213.67683440562763</v>
      </c>
      <c r="EA7" s="10">
        <f>IF(管理者入力シート!$B$14=1,DZ4*管理者用人口入力シート!AM$4,IF(管理者入力シート!$B$14=2,DZ4*管理者用人口入力シート!AM$8))</f>
        <v>137.45462799948922</v>
      </c>
      <c r="EB7" s="10">
        <f>IF(管理者入力シート!$B$14=1,EA4*管理者用人口入力シート!AN$4,IF(管理者入力シート!$B$14=2,EA4*管理者用人口入力シート!AN$8))</f>
        <v>162.49964233973435</v>
      </c>
      <c r="EC7" s="10">
        <f>IF(管理者入力シート!$B$14=1,EB4*管理者用人口入力シート!AO$4,IF(管理者入力シート!$B$14=2,EB4*管理者用人口入力シート!AO$8))</f>
        <v>202.36411366326593</v>
      </c>
      <c r="ED7" s="10">
        <f>IF(管理者入力シート!$B$14=1,EC4*管理者用人口入力シート!AP$4,IF(管理者入力シート!$B$14=2,EC4*管理者用人口入力シート!AP$8))</f>
        <v>156.40953985892855</v>
      </c>
      <c r="EE7" s="10">
        <f>IF(管理者入力シート!$B$14=1,ED4*管理者用人口入力シート!AQ$4,IF(管理者入力シート!$B$14=2,ED4*管理者用人口入力シート!AQ$8))+DX1</f>
        <v>227.99744016224432</v>
      </c>
      <c r="EF7" s="10">
        <f>IF(管理者入力シート!$B$14=1,EE4*管理者用人口入力シート!AR$4,IF(管理者入力シート!$B$14=2,EE4*管理者用人口入力シート!AR$8))+DX1</f>
        <v>311.6766648314092</v>
      </c>
      <c r="EG7" s="10">
        <f>IF(管理者入力シート!$B$14=1,EF4*管理者用人口入力シート!AS$4,IF(管理者入力シート!$B$14=2,EF4*管理者用人口入力シート!AS$8))+DX1</f>
        <v>349.64696007924385</v>
      </c>
      <c r="EH7" s="10">
        <f>IF(管理者入力シート!$B$14=1,EG4*管理者用人口入力シート!AT$4,IF(管理者入力シート!$B$14=2,EG4*管理者用人口入力シート!AT$8))</f>
        <v>300.43178776351874</v>
      </c>
      <c r="EI7" s="10">
        <f>IF(管理者入力シート!$B$14=1,EH4*管理者用人口入力シート!AU$4,IF(管理者入力シート!$B$14=2,EH4*管理者用人口入力シート!AU$8))</f>
        <v>261.70609033848967</v>
      </c>
      <c r="EJ7" s="10">
        <f>IF(管理者入力シート!$B$14=1,EI4*管理者用人口入力シート!AV$4,IF(管理者入力シート!$B$14=2,EI4*管理者用人口入力シート!AV$8))</f>
        <v>324.7288492628133</v>
      </c>
      <c r="EK7" s="10">
        <f>IF(管理者入力シート!$B$14=1,EJ4*管理者用人口入力シート!AW$4,IF(管理者入力シート!$B$14=2,EJ4*管理者用人口入力シート!AW$8))</f>
        <v>307.8460074664801</v>
      </c>
      <c r="EL7" s="10">
        <f>IF(管理者入力シート!$B$14=1,EK4*管理者用人口入力シート!AX$4,IF(管理者入力シート!$B$14=2,EK4*管理者用人口入力シート!AX$8))</f>
        <v>293.82564715702546</v>
      </c>
      <c r="EM7" s="10">
        <f>IF(管理者入力シート!$B$14=1,EL4*管理者用人口入力シート!AY$4,IF(管理者入力シート!$B$14=2,EL4*管理者用人口入力シート!AY$8))</f>
        <v>282.45993417889349</v>
      </c>
      <c r="EN7" s="10">
        <f>IF(管理者入力シート!$B$14=1,EM4*管理者用人口入力シート!AZ$4,IF(管理者入力シート!$B$14=2,EM4*管理者用人口入力シート!AZ$8))</f>
        <v>318.34610313597989</v>
      </c>
      <c r="EO7" s="10">
        <f>IF(管理者入力シート!$B$14=1,EN4*管理者用人口入力シート!BA$4,IF(管理者入力シート!$B$14=2,EN4*管理者用人口入力シート!BA$8))</f>
        <v>346.17044931434759</v>
      </c>
      <c r="EP7" s="10">
        <f>IF(管理者入力シート!$B$14=1,EO4*管理者用人口入力シート!BB$4,IF(管理者入力シート!$B$14=2,EO4*管理者用人口入力シート!BB$8))</f>
        <v>357.58406252721772</v>
      </c>
      <c r="EQ7" s="10">
        <f>IF(管理者入力シート!$B$14=1,EP4*管理者用人口入力シート!BC$4,IF(管理者入力シート!$B$14=2,EP4*管理者用人口入力シート!BC$8))</f>
        <v>216.76852969884723</v>
      </c>
      <c r="ER7" s="10">
        <f>IF(管理者入力シート!$B$14=1,EQ4*管理者用人口入力シート!BD$4,IF(管理者入力シート!$B$14=2,EQ4*管理者用人口入力シート!BD$8))</f>
        <v>122.71044233665938</v>
      </c>
      <c r="ES7" s="10">
        <f>IF(管理者入力シート!$B$14=1,ER4*管理者用人口入力シート!BE$4,IF(管理者入力シート!$B$14=2,ER4*管理者用人口入力シート!BE$8))</f>
        <v>38.63352371027932</v>
      </c>
      <c r="ET7" s="10">
        <f>IF(管理者入力シート!$B$14=1,ES4*管理者用人口入力シート!BF$4,IF(管理者入力シート!$B$14=2,ES4*管理者用人口入力シート!BF$8))</f>
        <v>8.7951741741264442</v>
      </c>
      <c r="EU7" s="10">
        <f t="shared" si="71"/>
        <v>4941.7324244046204</v>
      </c>
      <c r="EV7" s="10">
        <f t="shared" si="41"/>
        <v>179.97256220353415</v>
      </c>
      <c r="EW7" s="10">
        <f t="shared" si="42"/>
        <v>105.47267966854693</v>
      </c>
      <c r="EX7" s="10">
        <f t="shared" si="10"/>
        <v>1691.4682190763513</v>
      </c>
      <c r="EY7" s="10">
        <f t="shared" si="43"/>
        <v>1090.6621817614778</v>
      </c>
      <c r="EZ7" s="14">
        <f t="shared" si="44"/>
        <v>0.34228243737420472</v>
      </c>
      <c r="FA7" s="14">
        <f t="shared" si="45"/>
        <v>0.22070441863166654</v>
      </c>
      <c r="FB7" s="10">
        <f t="shared" si="72"/>
        <v>1045.7306049318258</v>
      </c>
    </row>
    <row r="8" spans="1:158" x14ac:dyDescent="0.15">
      <c r="A8" s="7" t="str">
        <f t="shared" si="11"/>
        <v>2010_3</v>
      </c>
      <c r="B8" s="30">
        <v>2010</v>
      </c>
      <c r="C8" s="5" t="s">
        <v>23</v>
      </c>
      <c r="D8" s="11">
        <v>432.73485376052895</v>
      </c>
      <c r="E8" s="11">
        <v>459.38776334335745</v>
      </c>
      <c r="F8" s="11">
        <v>500.90916745880293</v>
      </c>
      <c r="G8" s="11">
        <v>525.01949068680437</v>
      </c>
      <c r="H8" s="11">
        <v>479.46127775914056</v>
      </c>
      <c r="I8" s="11">
        <v>527.8410194783919</v>
      </c>
      <c r="J8" s="11">
        <v>671.01030722761766</v>
      </c>
      <c r="K8" s="11">
        <v>698.39865106089371</v>
      </c>
      <c r="L8" s="11">
        <v>569.42517204151613</v>
      </c>
      <c r="M8" s="11">
        <v>572.51452540967102</v>
      </c>
      <c r="N8" s="11">
        <v>671.00992391488603</v>
      </c>
      <c r="O8" s="11">
        <v>750.68229032198383</v>
      </c>
      <c r="P8" s="11">
        <v>905.90028379064972</v>
      </c>
      <c r="Q8" s="11">
        <v>689.38566654658734</v>
      </c>
      <c r="R8" s="11">
        <v>577.64484436980115</v>
      </c>
      <c r="S8" s="11">
        <v>549.95595285014235</v>
      </c>
      <c r="T8" s="11">
        <v>408.94883875849234</v>
      </c>
      <c r="U8" s="11">
        <v>238.46195968400946</v>
      </c>
      <c r="V8" s="11">
        <v>110.0740954889534</v>
      </c>
      <c r="W8" s="11">
        <v>30.226971603325495</v>
      </c>
      <c r="X8" s="11">
        <v>3.0069444444444446</v>
      </c>
      <c r="Y8" s="11">
        <f t="shared" si="68"/>
        <v>10372</v>
      </c>
      <c r="Z8" s="11">
        <f t="shared" si="12"/>
        <v>576.17815848129624</v>
      </c>
      <c r="AA8" s="11">
        <f t="shared" si="13"/>
        <v>305.36756512088203</v>
      </c>
      <c r="AB8" s="11">
        <f t="shared" si="0"/>
        <v>2607.7052737457561</v>
      </c>
      <c r="AC8" s="11">
        <f t="shared" si="14"/>
        <v>1340.6747628293672</v>
      </c>
      <c r="AD8" s="15">
        <f t="shared" si="15"/>
        <v>0.25141778574486656</v>
      </c>
      <c r="AE8" s="15">
        <f t="shared" si="16"/>
        <v>0.12925903999511831</v>
      </c>
      <c r="AF8" s="11">
        <f t="shared" si="17"/>
        <v>2376.7112555260437</v>
      </c>
      <c r="AH8" s="7"/>
      <c r="AI8" s="30" t="s">
        <v>88</v>
      </c>
      <c r="AJ8" s="5">
        <f>AJ7</f>
        <v>2010</v>
      </c>
      <c r="AK8" s="5">
        <f>AK7</f>
        <v>2020</v>
      </c>
      <c r="AL8" s="33" t="s">
        <v>22</v>
      </c>
      <c r="AM8" s="47">
        <f t="shared" si="73"/>
        <v>0.91652446535006238</v>
      </c>
      <c r="AN8" s="47">
        <f t="shared" si="73"/>
        <v>1.0036371164363169</v>
      </c>
      <c r="AO8" s="47">
        <f t="shared" si="73"/>
        <v>0.9528245337181237</v>
      </c>
      <c r="AP8" s="47">
        <f t="shared" si="73"/>
        <v>0.74337056586300021</v>
      </c>
      <c r="AQ8" s="47">
        <f t="shared" si="73"/>
        <v>0.98390152364163608</v>
      </c>
      <c r="AR8" s="47">
        <f t="shared" si="73"/>
        <v>0.93758425159177816</v>
      </c>
      <c r="AS8" s="47">
        <f t="shared" si="73"/>
        <v>1.0487153719963638</v>
      </c>
      <c r="AT8" s="47">
        <f t="shared" si="73"/>
        <v>0.92336652921301909</v>
      </c>
      <c r="AU8" s="47">
        <f t="shared" si="73"/>
        <v>1.0232669882700403</v>
      </c>
      <c r="AV8" s="47">
        <f t="shared" si="73"/>
        <v>1.0002958371975805</v>
      </c>
      <c r="AW8" s="47">
        <f t="shared" si="73"/>
        <v>0.96630589103737397</v>
      </c>
      <c r="AX8" s="47">
        <f t="shared" si="73"/>
        <v>1.0027252906940458</v>
      </c>
      <c r="AY8" s="47">
        <f t="shared" si="73"/>
        <v>0.9992898831312913</v>
      </c>
      <c r="AZ8" s="47">
        <f t="shared" si="73"/>
        <v>0.94494418092179877</v>
      </c>
      <c r="BA8" s="47">
        <f t="shared" si="73"/>
        <v>0.93353908489713666</v>
      </c>
      <c r="BB8" s="47">
        <f t="shared" si="73"/>
        <v>0.88198875912059871</v>
      </c>
      <c r="BC8" s="47">
        <f t="shared" si="73"/>
        <v>0.76276928244532216</v>
      </c>
      <c r="BD8" s="47">
        <f t="shared" si="73"/>
        <v>0.60485507258148363</v>
      </c>
      <c r="BE8" s="47">
        <f t="shared" si="73"/>
        <v>0.30141716199271829</v>
      </c>
      <c r="BF8" s="47">
        <f t="shared" si="73"/>
        <v>0.23644183209001798</v>
      </c>
      <c r="BH8" s="7" t="str">
        <f t="shared" si="19"/>
        <v>2030_3</v>
      </c>
      <c r="BI8" s="30">
        <f>BI7</f>
        <v>2030</v>
      </c>
      <c r="BJ8" s="5" t="s">
        <v>23</v>
      </c>
      <c r="BK8" s="16">
        <f>BK6+BK7</f>
        <v>276.70776051228529</v>
      </c>
      <c r="BL8" s="16">
        <f t="shared" ref="BL8" si="74">BL6+BL7</f>
        <v>303.83123748847532</v>
      </c>
      <c r="BM8" s="16">
        <f t="shared" ref="BM8" si="75">BM6+BM7</f>
        <v>353.43944113754947</v>
      </c>
      <c r="BN8" s="16">
        <f t="shared" ref="BN8" si="76">BN6+BN7</f>
        <v>411.79382473975113</v>
      </c>
      <c r="BO8" s="16">
        <f t="shared" ref="BO8" si="77">BO6+BO7</f>
        <v>330.48717579269498</v>
      </c>
      <c r="BP8" s="16">
        <f t="shared" ref="BP8" si="78">BP6+BP7</f>
        <v>325.68634576573561</v>
      </c>
      <c r="BQ8" s="16">
        <f t="shared" ref="BQ8" si="79">BQ6+BQ7</f>
        <v>360.73115576379882</v>
      </c>
      <c r="BR8" s="16">
        <f t="shared" ref="BR8" si="80">BR6+BR7</f>
        <v>396.41316987389052</v>
      </c>
      <c r="BS8" s="16">
        <f t="shared" ref="BS8" si="81">BS6+BS7</f>
        <v>459.73147688275276</v>
      </c>
      <c r="BT8" s="16">
        <f t="shared" ref="BT8" si="82">BT6+BT7</f>
        <v>509.09777120428106</v>
      </c>
      <c r="BU8" s="16">
        <f t="shared" ref="BU8" si="83">BU6+BU7</f>
        <v>639.93794065362636</v>
      </c>
      <c r="BV8" s="16">
        <f t="shared" ref="BV8" si="84">BV6+BV7</f>
        <v>598.05563202791745</v>
      </c>
      <c r="BW8" s="16">
        <f t="shared" ref="BW8" si="85">BW6+BW7</f>
        <v>543.87587001039662</v>
      </c>
      <c r="BX8" s="16">
        <f t="shared" ref="BX8" si="86">BX6+BX7</f>
        <v>545.86717673223802</v>
      </c>
      <c r="BY8" s="16">
        <f t="shared" ref="BY8" si="87">BY6+BY7</f>
        <v>593.02798904255314</v>
      </c>
      <c r="BZ8" s="16">
        <f t="shared" ref="BZ8" si="88">BZ6+BZ7</f>
        <v>644.1149179019344</v>
      </c>
      <c r="CA8" s="16">
        <f t="shared" ref="CA8" si="89">CA6+CA7</f>
        <v>607.06638369195844</v>
      </c>
      <c r="CB8" s="16">
        <f t="shared" ref="CB8" si="90">CB6+CB7</f>
        <v>345.31013872779204</v>
      </c>
      <c r="CC8" s="16">
        <f t="shared" ref="CC8" si="91">CC6+CC7</f>
        <v>174.69775284597864</v>
      </c>
      <c r="CD8" s="16">
        <f t="shared" ref="CD8" si="92">CD6+CD7</f>
        <v>52.143158314279603</v>
      </c>
      <c r="CE8" s="16">
        <f t="shared" ref="CE8" si="93">CE6+CE7</f>
        <v>8.8037361300362083</v>
      </c>
      <c r="CF8" s="11">
        <f t="shared" si="2"/>
        <v>8480.8200552399267</v>
      </c>
      <c r="CG8" s="11">
        <f t="shared" si="20"/>
        <v>394.36240717561486</v>
      </c>
      <c r="CH8" s="11">
        <f t="shared" si="21"/>
        <v>223.73454140297</v>
      </c>
      <c r="CI8" s="11">
        <f t="shared" si="3"/>
        <v>2971.0312533867705</v>
      </c>
      <c r="CJ8" s="11">
        <f t="shared" si="22"/>
        <v>1832.1360876119793</v>
      </c>
      <c r="CK8" s="15">
        <f t="shared" si="23"/>
        <v>0.35032358121442519</v>
      </c>
      <c r="CL8" s="15">
        <f t="shared" si="24"/>
        <v>0.21603289253613897</v>
      </c>
      <c r="CM8" s="11">
        <f t="shared" si="25"/>
        <v>1413.3178471961201</v>
      </c>
      <c r="CO8" s="7" t="str">
        <f t="shared" si="26"/>
        <v>2030_3</v>
      </c>
      <c r="CP8" s="30">
        <f>CP7</f>
        <v>2030</v>
      </c>
      <c r="CQ8" s="5" t="s">
        <v>23</v>
      </c>
      <c r="CR8" s="16">
        <f>CR6+CR7</f>
        <v>280.3784083961084</v>
      </c>
      <c r="CS8" s="16">
        <f t="shared" ref="CS8" si="94">CS6+CS7</f>
        <v>305.74730827613143</v>
      </c>
      <c r="CT8" s="16">
        <f t="shared" ref="CT8" si="95">CT6+CT7</f>
        <v>355.43944113754947</v>
      </c>
      <c r="CU8" s="16">
        <f t="shared" ref="CU8" si="96">CU6+CU7</f>
        <v>413.69553201211784</v>
      </c>
      <c r="CV8" s="16">
        <f t="shared" ref="CV8" si="97">CV6+CV7</f>
        <v>330.48717579269498</v>
      </c>
      <c r="CW8" s="16">
        <f t="shared" ref="CW8" si="98">CW6+CW7</f>
        <v>329.68634576573561</v>
      </c>
      <c r="CX8" s="16">
        <f t="shared" ref="CX8" si="99">CX6+CX7</f>
        <v>364.56598703146881</v>
      </c>
      <c r="CY8" s="16">
        <f t="shared" ref="CY8" si="100">CY6+CY7</f>
        <v>396.41316987389052</v>
      </c>
      <c r="CZ8" s="16">
        <f t="shared" ref="CZ8" si="101">CZ6+CZ7</f>
        <v>460.73147688275276</v>
      </c>
      <c r="DA8" s="16">
        <f t="shared" ref="DA8" si="102">DA6+DA7</f>
        <v>510.12103819255117</v>
      </c>
      <c r="DB8" s="16">
        <f t="shared" ref="DB8" si="103">DB6+DB7</f>
        <v>639.93794065362636</v>
      </c>
      <c r="DC8" s="16">
        <f t="shared" ref="DC8" si="104">DC6+DC7</f>
        <v>598.05563202791745</v>
      </c>
      <c r="DD8" s="16">
        <f t="shared" ref="DD8" si="105">DD6+DD7</f>
        <v>543.87587001039662</v>
      </c>
      <c r="DE8" s="16">
        <f t="shared" ref="DE8" si="106">DE6+DE7</f>
        <v>545.86717673223802</v>
      </c>
      <c r="DF8" s="16">
        <f t="shared" ref="DF8" si="107">DF6+DF7</f>
        <v>593.02798904255314</v>
      </c>
      <c r="DG8" s="16">
        <f t="shared" ref="DG8" si="108">DG6+DG7</f>
        <v>644.1149179019344</v>
      </c>
      <c r="DH8" s="16">
        <f t="shared" ref="DH8" si="109">DH6+DH7</f>
        <v>607.06638369195844</v>
      </c>
      <c r="DI8" s="16">
        <f t="shared" ref="DI8" si="110">DI6+DI7</f>
        <v>345.31013872779204</v>
      </c>
      <c r="DJ8" s="16">
        <f t="shared" ref="DJ8" si="111">DJ6+DJ7</f>
        <v>174.69775284597864</v>
      </c>
      <c r="DK8" s="16">
        <f t="shared" ref="DK8" si="112">DK6+DK7</f>
        <v>52.143158314279603</v>
      </c>
      <c r="DL8" s="16">
        <f t="shared" ref="DL8" si="113">DL6+DL7</f>
        <v>8.8037361300362083</v>
      </c>
      <c r="DM8" s="11">
        <f t="shared" si="69"/>
        <v>8500.1665794397122</v>
      </c>
      <c r="DN8" s="11">
        <f t="shared" si="34"/>
        <v>396.71204964820856</v>
      </c>
      <c r="DO8" s="11">
        <f t="shared" si="35"/>
        <v>224.91488285744336</v>
      </c>
      <c r="DP8" s="11">
        <f t="shared" si="6"/>
        <v>2971.0312533867705</v>
      </c>
      <c r="DQ8" s="11">
        <f t="shared" si="36"/>
        <v>1832.1360876119793</v>
      </c>
      <c r="DR8" s="15">
        <f t="shared" si="37"/>
        <v>0.34952623876491201</v>
      </c>
      <c r="DS8" s="15">
        <f t="shared" si="38"/>
        <v>0.21554119798588045</v>
      </c>
      <c r="DT8" s="11">
        <f t="shared" si="70"/>
        <v>1421.1526784637899</v>
      </c>
      <c r="DV8" s="7" t="s">
        <v>402</v>
      </c>
      <c r="DW8" s="210">
        <f>(SUM(BK13:BW13)-SUM(D13:P13))/4</f>
        <v>-270.17149028621213</v>
      </c>
      <c r="DX8" s="30">
        <f>DX7</f>
        <v>2030</v>
      </c>
      <c r="DY8" s="5" t="s">
        <v>23</v>
      </c>
      <c r="DZ8" s="16">
        <f>DZ6+DZ7</f>
        <v>450.83139500723155</v>
      </c>
      <c r="EA8" s="16">
        <f t="shared" ref="EA8:ET8" si="114">EA6+EA7</f>
        <v>303.83123748847532</v>
      </c>
      <c r="EB8" s="16">
        <f t="shared" si="114"/>
        <v>353.43944113754947</v>
      </c>
      <c r="EC8" s="16">
        <f t="shared" si="114"/>
        <v>411.79382473975113</v>
      </c>
      <c r="ED8" s="16">
        <f t="shared" si="114"/>
        <v>330.48717579269498</v>
      </c>
      <c r="EE8" s="16">
        <f t="shared" si="114"/>
        <v>487.68634576573561</v>
      </c>
      <c r="EF8" s="16">
        <f t="shared" si="114"/>
        <v>678.04182210443253</v>
      </c>
      <c r="EG8" s="16">
        <f t="shared" si="114"/>
        <v>725.96362771034865</v>
      </c>
      <c r="EH8" s="16">
        <f t="shared" si="114"/>
        <v>612.72414320746543</v>
      </c>
      <c r="EI8" s="16">
        <f t="shared" si="114"/>
        <v>509.09777120428106</v>
      </c>
      <c r="EJ8" s="16">
        <f t="shared" si="114"/>
        <v>639.93794065362636</v>
      </c>
      <c r="EK8" s="16">
        <f t="shared" si="114"/>
        <v>598.05563202791745</v>
      </c>
      <c r="EL8" s="16">
        <f t="shared" si="114"/>
        <v>543.87587001039662</v>
      </c>
      <c r="EM8" s="16">
        <f t="shared" si="114"/>
        <v>545.86717673223802</v>
      </c>
      <c r="EN8" s="16">
        <f t="shared" si="114"/>
        <v>593.02798904255314</v>
      </c>
      <c r="EO8" s="16">
        <f t="shared" si="114"/>
        <v>644.1149179019344</v>
      </c>
      <c r="EP8" s="16">
        <f t="shared" si="114"/>
        <v>607.06638369195844</v>
      </c>
      <c r="EQ8" s="16">
        <f t="shared" si="114"/>
        <v>345.31013872779204</v>
      </c>
      <c r="ER8" s="16">
        <f t="shared" si="114"/>
        <v>174.69775284597864</v>
      </c>
      <c r="ES8" s="16">
        <f t="shared" si="114"/>
        <v>52.143158314279603</v>
      </c>
      <c r="ET8" s="16">
        <f t="shared" si="114"/>
        <v>8.8037361300362083</v>
      </c>
      <c r="EU8" s="11">
        <f t="shared" si="71"/>
        <v>9616.7974802366789</v>
      </c>
      <c r="EV8" s="11">
        <f t="shared" si="41"/>
        <v>394.36240717561486</v>
      </c>
      <c r="EW8" s="11">
        <f t="shared" si="42"/>
        <v>223.73454140297</v>
      </c>
      <c r="EX8" s="11">
        <f t="shared" si="10"/>
        <v>2971.0312533867705</v>
      </c>
      <c r="EY8" s="11">
        <f t="shared" si="43"/>
        <v>1832.1360876119793</v>
      </c>
      <c r="EZ8" s="15">
        <f t="shared" si="44"/>
        <v>0.30894185507103455</v>
      </c>
      <c r="FA8" s="15">
        <f t="shared" si="45"/>
        <v>0.19051415935265059</v>
      </c>
      <c r="FB8" s="11">
        <f t="shared" si="72"/>
        <v>2222.1789713732119</v>
      </c>
    </row>
    <row r="9" spans="1:158" x14ac:dyDescent="0.15">
      <c r="A9" s="7" t="str">
        <f t="shared" si="11"/>
        <v>2015_1</v>
      </c>
      <c r="B9" s="28">
        <v>2015</v>
      </c>
      <c r="C9" s="3" t="s">
        <v>21</v>
      </c>
      <c r="D9" s="9">
        <v>233.08063761271447</v>
      </c>
      <c r="E9" s="9">
        <v>213.07399105146234</v>
      </c>
      <c r="F9" s="9">
        <v>207.02903185096378</v>
      </c>
      <c r="G9" s="9">
        <v>229.34957994171748</v>
      </c>
      <c r="H9" s="9">
        <v>197.15559295859944</v>
      </c>
      <c r="I9" s="9">
        <v>242.29906243289477</v>
      </c>
      <c r="J9" s="9">
        <v>252.96266048564235</v>
      </c>
      <c r="K9" s="9">
        <v>325.29904728475321</v>
      </c>
      <c r="L9" s="9">
        <v>328.15876742464098</v>
      </c>
      <c r="M9" s="9">
        <v>275.67555805229352</v>
      </c>
      <c r="N9" s="9">
        <v>284.4835736398644</v>
      </c>
      <c r="O9" s="9">
        <v>311.67167078182558</v>
      </c>
      <c r="P9" s="9">
        <v>369.48400922710937</v>
      </c>
      <c r="Q9" s="9">
        <v>412.11796796369316</v>
      </c>
      <c r="R9" s="9">
        <v>312.34751885569466</v>
      </c>
      <c r="S9" s="9">
        <v>226.45376425818995</v>
      </c>
      <c r="T9" s="9">
        <v>183.96725083706167</v>
      </c>
      <c r="U9" s="9">
        <v>79.651598664592839</v>
      </c>
      <c r="V9" s="9">
        <v>36.69219040827425</v>
      </c>
      <c r="W9" s="9">
        <v>6.0465262680117453</v>
      </c>
      <c r="X9" s="9">
        <v>0</v>
      </c>
      <c r="Y9" s="9">
        <f t="shared" si="68"/>
        <v>4727</v>
      </c>
      <c r="Z9" s="9">
        <f t="shared" si="12"/>
        <v>252.06181374145569</v>
      </c>
      <c r="AA9" s="9">
        <f t="shared" si="13"/>
        <v>128.68152872872901</v>
      </c>
      <c r="AB9" s="9">
        <f t="shared" si="0"/>
        <v>1257.2768172555184</v>
      </c>
      <c r="AC9" s="9">
        <f t="shared" si="14"/>
        <v>532.81133043613033</v>
      </c>
      <c r="AD9" s="13">
        <f t="shared" si="15"/>
        <v>0.26597774852031275</v>
      </c>
      <c r="AE9" s="13">
        <f t="shared" si="16"/>
        <v>0.11271659201102821</v>
      </c>
      <c r="AF9" s="9">
        <f t="shared" si="17"/>
        <v>1017.7163631618898</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137.07159171940688</v>
      </c>
      <c r="BL9" s="9">
        <f>IF(管理者入力シート!$B$14=1,BK6*管理者用人口入力シート!AM$3,IF(管理者入力シート!$B$14=2,BK6*管理者用人口入力シート!AM$7))</f>
        <v>145.49283084085369</v>
      </c>
      <c r="BM9" s="9">
        <f>IF(管理者入力シート!$B$14=1,BL6*管理者用人口入力シート!AN$3,IF(管理者入力シート!$B$14=2,BL6*管理者用人口入力シート!AN$7))</f>
        <v>162.09892396594174</v>
      </c>
      <c r="BN9" s="9">
        <f>IF(管理者入力シート!$B$14=1,BM6*管理者用人口入力シート!AO$3,IF(管理者入力シート!$B$14=2,BM6*管理者用人口入力シート!AO$7))</f>
        <v>181.17947920027359</v>
      </c>
      <c r="BO9" s="9">
        <f>IF(管理者入力シート!$B$14=1,BN6*管理者用人口入力シート!AP$3,IF(管理者入力シート!$B$14=2,BN6*管理者用人口入力シート!AP$7))</f>
        <v>169.74596778276748</v>
      </c>
      <c r="BP9" s="9">
        <f>IF(管理者入力シート!$B$14=1,BO6*管理者用人口入力シート!AQ$3,IF(管理者入力シート!$B$14=2,BO6*管理者用人口入力シート!AQ$7))</f>
        <v>182.14525719992258</v>
      </c>
      <c r="BQ9" s="9">
        <f>IF(管理者入力シート!$B$14=1,BP6*管理者用人口入力シート!AR$3,IF(管理者入力シート!$B$14=2,BP6*管理者用人口入力シート!AR$7))</f>
        <v>175.08499736899455</v>
      </c>
      <c r="BR9" s="9">
        <f>IF(管理者入力シート!$B$14=1,BQ6*管理者用人口入力シート!AS$3,IF(管理者入力シート!$B$14=2,BQ6*管理者用人口入力シート!AS$7))</f>
        <v>210.07940440183009</v>
      </c>
      <c r="BS9" s="9">
        <f>IF(管理者入力シート!$B$14=1,BR6*管理者用人口入力シート!AT$3,IF(管理者入力シート!$B$14=2,BR6*管理者用人口入力シート!AT$7))</f>
        <v>205.35908296766405</v>
      </c>
      <c r="BT9" s="9">
        <f>IF(管理者入力シート!$B$14=1,BS6*管理者用人口入力シート!AU$3,IF(管理者入力シート!$B$14=2,BS6*管理者用人口入力シート!AU$7))</f>
        <v>224.10557123493112</v>
      </c>
      <c r="BU9" s="9">
        <f>IF(管理者入力シート!$B$14=1,BT6*管理者用人口入力シート!AV$3,IF(管理者入力シート!$B$14=2,BT6*管理者用人口入力シート!AV$7))</f>
        <v>242.98722232004806</v>
      </c>
      <c r="BV9" s="9">
        <f>IF(管理者入力シート!$B$14=1,BU6*管理者用人口入力シート!AW$3,IF(管理者入力シート!$B$14=2,BU6*管理者用人口入力シート!AW$7))</f>
        <v>307.71144319253307</v>
      </c>
      <c r="BW9" s="9">
        <f>IF(管理者入力シート!$B$14=1,BV6*管理者用人口入力シート!AX$3,IF(管理者入力シート!$B$14=2,BV6*管理者用人口入力シート!AX$7))</f>
        <v>286.78868704908047</v>
      </c>
      <c r="BX9" s="9">
        <f>IF(管理者入力シート!$B$14=1,BW6*管理者用人口入力シート!AY$3,IF(管理者入力シート!$B$14=2,BW6*管理者用人口入力シート!AY$7))</f>
        <v>241.93266012840144</v>
      </c>
      <c r="BY9" s="9">
        <f>IF(管理者入力シート!$B$14=1,BX6*管理者用人口入力シート!AZ$3,IF(管理者入力シート!$B$14=2,BX6*管理者用人口入力シート!AZ$7))</f>
        <v>246.38827051514613</v>
      </c>
      <c r="BZ9" s="9">
        <f>IF(管理者入力シート!$B$14=1,BY6*管理者用人口入力シート!BA$3,IF(管理者入力シート!$B$14=2,BY6*管理者用人口入力シート!BA$7))</f>
        <v>240.59465890146146</v>
      </c>
      <c r="CA9" s="9">
        <f>IF(管理者入力シート!$B$14=1,BZ6*管理者用人口入力シート!BB$3,IF(管理者入力シート!$B$14=2,BZ6*管理者用人口入力シート!BB$7))</f>
        <v>220.68381853329828</v>
      </c>
      <c r="CB9" s="9">
        <f>IF(管理者入力シート!$B$14=1,CA6*管理者用人口入力シート!BC$3,IF(管理者入力シート!$B$14=2,CA6*管理者用人口入力シート!BC$7))</f>
        <v>159.01195619180575</v>
      </c>
      <c r="CC9" s="9">
        <f>IF(管理者入力シート!$B$14=1,CB6*管理者用人口入力シート!BD$3,IF(管理者入力シート!$B$14=2,CB6*管理者用人口入力シート!BD$7))</f>
        <v>67.563960532189981</v>
      </c>
      <c r="CD9" s="9">
        <f>IF(管理者入力シート!$B$14=1,CC6*管理者用人口入力シート!BE$3,IF(管理者入力シート!$B$14=2,CC6*管理者用人口入力シート!BE$7))</f>
        <v>10.222435648109276</v>
      </c>
      <c r="CE9" s="9">
        <f>IF(管理者入力シート!$B$14=1,CD6*管理者用人口入力シート!BF$3,IF(管理者入力シート!$B$14=2,CD6*管理者用人口入力シート!BF$7))</f>
        <v>1.3509634604000282E-2</v>
      </c>
      <c r="CF9" s="9">
        <f t="shared" si="2"/>
        <v>3816.2617293292637</v>
      </c>
      <c r="CG9" s="9">
        <f t="shared" si="20"/>
        <v>184.55505288407727</v>
      </c>
      <c r="CH9" s="9">
        <f t="shared" si="21"/>
        <v>101.07546542643141</v>
      </c>
      <c r="CI9" s="9">
        <f t="shared" si="3"/>
        <v>1186.411270085016</v>
      </c>
      <c r="CJ9" s="9">
        <f t="shared" si="22"/>
        <v>698.0903394414687</v>
      </c>
      <c r="CK9" s="13">
        <f t="shared" si="23"/>
        <v>0.31088309823381444</v>
      </c>
      <c r="CL9" s="13">
        <f t="shared" si="24"/>
        <v>0.18292517362643343</v>
      </c>
      <c r="CM9" s="9">
        <f t="shared" si="25"/>
        <v>737.05562675351462</v>
      </c>
      <c r="CO9" s="7" t="str">
        <f t="shared" si="26"/>
        <v>2035_1</v>
      </c>
      <c r="CP9" s="28">
        <f>管理者入力シート!B10</f>
        <v>2035</v>
      </c>
      <c r="CQ9" s="3" t="s">
        <v>21</v>
      </c>
      <c r="CR9" s="9">
        <f>DT10*$AK$13+将来予測シート②!$G17</f>
        <v>139.55702169356312</v>
      </c>
      <c r="CS9" s="9">
        <f>IF(管理者入力シート!$B$14=1,CR6*管理者用人口入力シート!AM$3,IF(管理者入力シート!$B$14=2,CR6*管理者用人口入力シート!AM$7))+将来予測シート②!$G18</f>
        <v>147.37080315853368</v>
      </c>
      <c r="CT9" s="9">
        <f>IF(管理者入力シート!$B$14=1,CS6*管理者用人口入力シート!AN$3,IF(管理者入力シート!$B$14=2,CS6*管理者用人口入力シート!AN$7))+将来予測シート②!$G19</f>
        <v>164.07277109383773</v>
      </c>
      <c r="CU9" s="9">
        <f>IF(管理者入力シート!$B$14=1,CT6*管理者用人口入力シート!AO$3,IF(管理者入力シート!$B$14=2,CT6*管理者用人口入力シート!AO$7))+将来予測シート②!$G20</f>
        <v>182.12836193892213</v>
      </c>
      <c r="CV9" s="9">
        <f>IF(管理者入力シート!$B$14=1,CU6*管理者用人口入力シート!AP$3,IF(管理者入力シート!$B$14=2,CU6*管理者用人口入力シート!AP$7))+将来予測シート②!$G21</f>
        <v>170.51505168187785</v>
      </c>
      <c r="CW9" s="9">
        <f>IF(管理者入力シート!$B$14=1,CV6*管理者用人口入力シート!AQ$3,IF(管理者入力シート!$B$14=2,CV6*管理者用人口入力シート!AQ$7))+将来予測シート②!$G22</f>
        <v>184.14525719992258</v>
      </c>
      <c r="CX9" s="9">
        <f>IF(管理者入力シート!$B$14=1,CW6*管理者用人口入力シート!AR$3,IF(管理者入力シート!$B$14=2,CW6*管理者用人口入力シート!AR$7))+将来予測シート②!$G23</f>
        <v>177.04466013348096</v>
      </c>
      <c r="CY9" s="9">
        <f>IF(管理者入力シート!$B$14=1,CX6*管理者用人口入力シート!AS$3,IF(管理者入力シート!$B$14=2,CX6*管理者用人口入力シート!AS$7))+将来予測シート②!$G24</f>
        <v>212.07788573178129</v>
      </c>
      <c r="CZ9" s="9">
        <f>IF(管理者入力シート!$B$14=1,CY6*管理者用人口入力シート!AT$3,IF(管理者入力シート!$B$14=2,CY6*管理者用人口入力シート!AT$7))+将来予測シート②!$G25</f>
        <v>205.35908296766405</v>
      </c>
      <c r="DA9" s="9">
        <f>IF(管理者入力シート!$B$14=1,CZ6*管理者用人口入力シート!AU$3,IF(管理者入力シート!$B$14=2,CZ6*管理者用人口入力シート!AU$7))+将来予測シート②!$G26</f>
        <v>224.10557123493112</v>
      </c>
      <c r="DB9" s="9">
        <f>IF(管理者入力シート!$B$14=1,DA6*管理者用人口入力シート!AV$3,IF(管理者入力シート!$B$14=2,DA6*管理者用人口入力シート!AV$7))+将来予測シート②!$G27</f>
        <v>242.98722232004806</v>
      </c>
      <c r="DC9" s="9">
        <f>IF(管理者入力シート!$B$14=1,DB6*管理者用人口入力シート!AW$3,IF(管理者入力シート!$B$14=2,DB6*管理者用人口入力シート!AW$7))+将来予測シート②!$G28</f>
        <v>307.71144319253307</v>
      </c>
      <c r="DD9" s="9">
        <f>IF(管理者入力シート!$B$14=1,DC6*管理者用人口入力シート!AX$3,IF(管理者入力シート!$B$14=2,DC6*管理者用人口入力シート!AX$7))+将来予測シート②!$G29</f>
        <v>286.78868704908047</v>
      </c>
      <c r="DE9" s="9">
        <f>IF(管理者入力シート!$B$14=1,DD6*管理者用人口入力シート!AY$3,IF(管理者入力シート!$B$14=2,DD6*管理者用人口入力シート!AY$7))</f>
        <v>241.93266012840144</v>
      </c>
      <c r="DF9" s="9">
        <f>IF(管理者入力シート!$B$14=1,DE6*管理者用人口入力シート!AZ$3,IF(管理者入力シート!$B$14=2,DE6*管理者用人口入力シート!AZ$7))</f>
        <v>246.38827051514613</v>
      </c>
      <c r="DG9" s="9">
        <f>IF(管理者入力シート!$B$14=1,DF6*管理者用人口入力シート!BA$3,IF(管理者入力シート!$B$14=2,DF6*管理者用人口入力シート!BA$7))</f>
        <v>240.59465890146146</v>
      </c>
      <c r="DH9" s="9">
        <f>IF(管理者入力シート!$B$14=1,DG6*管理者用人口入力シート!BB$3,IF(管理者入力シート!$B$14=2,DG6*管理者用人口入力シート!BB$7))</f>
        <v>220.68381853329828</v>
      </c>
      <c r="DI9" s="9">
        <f>IF(管理者入力シート!$B$14=1,DH6*管理者用人口入力シート!BC$3,IF(管理者入力シート!$B$14=2,DH6*管理者用人口入力シート!BC$7))</f>
        <v>159.01195619180575</v>
      </c>
      <c r="DJ9" s="9">
        <f>IF(管理者入力シート!$B$14=1,DI6*管理者用人口入力シート!BD$3,IF(管理者入力シート!$B$14=2,DI6*管理者用人口入力シート!BD$7))</f>
        <v>67.563960532189981</v>
      </c>
      <c r="DK9" s="9">
        <f>IF(管理者入力シート!$B$14=1,DJ6*管理者用人口入力シート!BE$3,IF(管理者入力シート!$B$14=2,DJ6*管理者用人口入力シート!BE$7))</f>
        <v>10.222435648109276</v>
      </c>
      <c r="DL9" s="9">
        <f>IF(管理者入力シート!$B$14=1,DK6*管理者用人口入力シート!BF$3,IF(管理者入力シート!$B$14=2,DK6*管理者用人口入力シート!BF$7))</f>
        <v>1.3509634604000282E-2</v>
      </c>
      <c r="DM9" s="9">
        <f t="shared" si="69"/>
        <v>3830.275089481192</v>
      </c>
      <c r="DN9" s="9">
        <f t="shared" si="34"/>
        <v>186.86614455142285</v>
      </c>
      <c r="DO9" s="9">
        <f t="shared" si="35"/>
        <v>102.05478082531951</v>
      </c>
      <c r="DP9" s="9">
        <f t="shared" si="6"/>
        <v>1186.411270085016</v>
      </c>
      <c r="DQ9" s="9">
        <f t="shared" si="36"/>
        <v>698.0903394414687</v>
      </c>
      <c r="DR9" s="13">
        <f t="shared" si="37"/>
        <v>0.3097457081720244</v>
      </c>
      <c r="DS9" s="13">
        <f t="shared" si="38"/>
        <v>0.18225592761172266</v>
      </c>
      <c r="DT9" s="9">
        <f t="shared" si="70"/>
        <v>743.78285474706274</v>
      </c>
      <c r="DV9" s="7" t="s">
        <v>403</v>
      </c>
      <c r="DW9" s="210">
        <f>DW7+DW8</f>
        <v>-483.90173541913816</v>
      </c>
      <c r="DX9" s="28">
        <f>管理者入力シート!B10</f>
        <v>2035</v>
      </c>
      <c r="DY9" s="3" t="s">
        <v>21</v>
      </c>
      <c r="DZ9" s="9">
        <f>FB10*$AK$13</f>
        <v>246.72923397515606</v>
      </c>
      <c r="EA9" s="129">
        <f>IF(管理者入力シート!$B$14=1,DZ6*管理者用人口入力シート!AM$3,IF(管理者入力シート!$B$14=2,DZ6*管理者用人口入力シート!AM$7))</f>
        <v>237.04696886743457</v>
      </c>
      <c r="EB9" s="9">
        <f>IF(管理者入力シート!$B$14=1,EA6*管理者用人口入力シート!AN$3,IF(管理者入力シート!$B$14=2,EA6*管理者用人口入力シート!AN$7))</f>
        <v>162.09892396594174</v>
      </c>
      <c r="EC9" s="9">
        <f>IF(管理者入力シート!$B$14=1,EB6*管理者用人口入力シート!AO$3,IF(管理者入力シート!$B$14=2,EB6*管理者用人口入力シート!AO$7))</f>
        <v>181.17947920027359</v>
      </c>
      <c r="ED9" s="9">
        <f>IF(管理者入力シート!$B$14=1,EC6*管理者用人口入力シート!AP$3,IF(管理者入力シート!$B$14=2,EC6*管理者用人口入力シート!AP$7))</f>
        <v>169.74596778276748</v>
      </c>
      <c r="EE9" s="9">
        <f>IF(管理者入力シート!$B$14=1,ED6*管理者用人口入力シート!AQ$3,IF(管理者入力シート!$B$14=2,ED6*管理者用人口入力シート!AQ$7))+DX1</f>
        <v>263.14525719992258</v>
      </c>
      <c r="EF9" s="9">
        <f>IF(管理者入力シート!$B$14=1,EE6*管理者用人口入力シート!AR$3,IF(管理者入力シート!$B$14=2,EE6*管理者用人口入力シート!AR$7))+DX1</f>
        <v>335.45133933069417</v>
      </c>
      <c r="EG9" s="9">
        <f>IF(管理者入力シート!$B$14=1,EF6*管理者用人口入力シート!AS$3,IF(管理者入力シート!$B$14=2,EF6*管理者用人口入力シート!AS$7))+DX1</f>
        <v>454.62241096960702</v>
      </c>
      <c r="EH9" s="9">
        <f>IF(管理者入力シート!$B$14=1,EG6*管理者用人口入力シート!AT$3,IF(管理者入力シート!$B$14=2,EG6*管理者用人口入力シート!AT$7))</f>
        <v>363.30808550610465</v>
      </c>
      <c r="EI9" s="9">
        <f>IF(管理者入力シート!$B$14=1,EH6*管理者用人口入力シート!AU$3,IF(管理者入力シート!$B$14=2,EH6*管理者用人口入力シート!AU$7))</f>
        <v>298.9693953786325</v>
      </c>
      <c r="EJ9" s="9">
        <f>IF(管理者入力シート!$B$14=1,EI6*管理者用人口入力シート!AV$3,IF(管理者入力シート!$B$14=2,EI6*管理者用人口入力シート!AV$7))</f>
        <v>242.98722232004806</v>
      </c>
      <c r="EK9" s="9">
        <f>IF(管理者入力シート!$B$14=1,EJ6*管理者用人口入力シート!AW$3,IF(管理者入力シート!$B$14=2,EJ6*管理者用人口入力シート!AW$7))</f>
        <v>307.71144319253307</v>
      </c>
      <c r="EL9" s="9">
        <f>IF(管理者入力シート!$B$14=1,EK6*管理者用人口入力シート!AX$3,IF(管理者入力シート!$B$14=2,EK6*管理者用人口入力シート!AX$7))</f>
        <v>286.78868704908047</v>
      </c>
      <c r="EM9" s="9">
        <f>IF(管理者入力シート!$B$14=1,EL6*管理者用人口入力シート!AY$3,IF(管理者入力シート!$B$14=2,EL6*管理者用人口入力シート!AY$7))</f>
        <v>241.93266012840144</v>
      </c>
      <c r="EN9" s="9">
        <f>IF(管理者入力シート!$B$14=1,EM6*管理者用人口入力シート!AZ$3,IF(管理者入力シート!$B$14=2,EM6*管理者用人口入力シート!AZ$7))</f>
        <v>246.38827051514613</v>
      </c>
      <c r="EO9" s="9">
        <f>IF(管理者入力シート!$B$14=1,EN6*管理者用人口入力シート!BA$3,IF(管理者入力シート!$B$14=2,EN6*管理者用人口入力シート!BA$7))</f>
        <v>240.59465890146146</v>
      </c>
      <c r="EP9" s="9">
        <f>IF(管理者入力シート!$B$14=1,EO6*管理者用人口入力シート!BB$3,IF(管理者入力シート!$B$14=2,EO6*管理者用人口入力シート!BB$7))</f>
        <v>220.68381853329828</v>
      </c>
      <c r="EQ9" s="9">
        <f>IF(管理者入力シート!$B$14=1,EP6*管理者用人口入力シート!BC$3,IF(管理者入力シート!$B$14=2,EP6*管理者用人口入力シート!BC$7))</f>
        <v>159.01195619180575</v>
      </c>
      <c r="ER9" s="9">
        <f>IF(管理者入力シート!$B$14=1,EQ6*管理者用人口入力シート!BD$3,IF(管理者入力シート!$B$14=2,EQ6*管理者用人口入力シート!BD$7))</f>
        <v>67.563960532189981</v>
      </c>
      <c r="ES9" s="9">
        <f>IF(管理者入力シート!$B$14=1,ER6*管理者用人口入力シート!BE$3,IF(管理者入力シート!$B$14=2,ER6*管理者用人口入力シート!BE$7))</f>
        <v>10.222435648109276</v>
      </c>
      <c r="ET9" s="9">
        <f>IF(管理者入力シート!$B$14=1,ES6*管理者用人口入力シート!BF$3,IF(管理者入力シート!$B$14=2,ES6*管理者用人口入力シート!BF$7))</f>
        <v>1.3509634604000282E-2</v>
      </c>
      <c r="EU9" s="9">
        <f t="shared" si="71"/>
        <v>4736.1956848232121</v>
      </c>
      <c r="EV9" s="9">
        <f t="shared" si="41"/>
        <v>239.4875357000258</v>
      </c>
      <c r="EW9" s="9">
        <f t="shared" si="42"/>
        <v>101.07546542643141</v>
      </c>
      <c r="EX9" s="9">
        <f t="shared" si="10"/>
        <v>1186.411270085016</v>
      </c>
      <c r="EY9" s="9">
        <f t="shared" si="43"/>
        <v>698.0903394414687</v>
      </c>
      <c r="EZ9" s="13">
        <f t="shared" si="44"/>
        <v>0.25049878616434346</v>
      </c>
      <c r="FA9" s="13">
        <f t="shared" si="45"/>
        <v>0.1473947416654357</v>
      </c>
      <c r="FB9" s="9">
        <f t="shared" si="72"/>
        <v>1222.9649752829912</v>
      </c>
    </row>
    <row r="10" spans="1:158" x14ac:dyDescent="0.15">
      <c r="A10" s="7" t="str">
        <f t="shared" si="11"/>
        <v>2015_2</v>
      </c>
      <c r="B10" s="29">
        <v>2015</v>
      </c>
      <c r="C10" s="4" t="s">
        <v>22</v>
      </c>
      <c r="D10" s="10">
        <v>231.3805671225729</v>
      </c>
      <c r="E10" s="10">
        <v>207.07695664901487</v>
      </c>
      <c r="F10" s="10">
        <v>215.08602283172397</v>
      </c>
      <c r="G10" s="10">
        <v>234.80390571141311</v>
      </c>
      <c r="H10" s="10">
        <v>202.74930448927702</v>
      </c>
      <c r="I10" s="10">
        <v>252.66581599983166</v>
      </c>
      <c r="J10" s="10">
        <v>256.68599997197555</v>
      </c>
      <c r="K10" s="10">
        <v>346.57619801908743</v>
      </c>
      <c r="L10" s="10">
        <v>312.5618186256246</v>
      </c>
      <c r="M10" s="10">
        <v>300.05467254192826</v>
      </c>
      <c r="N10" s="10">
        <v>292.31698959879787</v>
      </c>
      <c r="O10" s="10">
        <v>343.06156247218053</v>
      </c>
      <c r="P10" s="10">
        <v>391.08513926353726</v>
      </c>
      <c r="Q10" s="10">
        <v>470.33395909888918</v>
      </c>
      <c r="R10" s="10">
        <v>344.53146218288845</v>
      </c>
      <c r="S10" s="10">
        <v>298.51417077408314</v>
      </c>
      <c r="T10" s="10">
        <v>279.53257694428817</v>
      </c>
      <c r="U10" s="10">
        <v>206.94393148398296</v>
      </c>
      <c r="V10" s="10">
        <v>101.75203440811499</v>
      </c>
      <c r="W10" s="10">
        <v>26.20555587858486</v>
      </c>
      <c r="X10" s="10">
        <v>7.0813559322033903</v>
      </c>
      <c r="Y10" s="10">
        <f t="shared" si="68"/>
        <v>5321</v>
      </c>
      <c r="Z10" s="10">
        <f t="shared" si="12"/>
        <v>253.29778768844329</v>
      </c>
      <c r="AA10" s="10">
        <f t="shared" si="13"/>
        <v>132.9951902749722</v>
      </c>
      <c r="AB10" s="10">
        <f t="shared" si="0"/>
        <v>1734.895046703035</v>
      </c>
      <c r="AC10" s="10">
        <f t="shared" si="14"/>
        <v>920.02962542125749</v>
      </c>
      <c r="AD10" s="14">
        <f t="shared" si="15"/>
        <v>0.3260468044922073</v>
      </c>
      <c r="AE10" s="14">
        <f t="shared" si="16"/>
        <v>0.17290539850051823</v>
      </c>
      <c r="AF10" s="10">
        <f t="shared" si="17"/>
        <v>1058.6773184801718</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123.50183665557313</v>
      </c>
      <c r="BL10" s="10">
        <f>IF(管理者入力シート!$B$14=1,BK7*管理者用人口入力シート!AM$4,IF(管理者入力シート!$B$14=2,BK7*管理者用人口入力シート!AM$8))</f>
        <v>120.20116890978018</v>
      </c>
      <c r="BM10" s="10">
        <f>IF(管理者入力シート!$B$14=1,BL7*管理者用人口入力シート!AN$4,IF(管理者入力シート!$B$14=2,BL7*管理者用人口入力シート!AN$8))</f>
        <v>137.954566486234</v>
      </c>
      <c r="BN10" s="10">
        <f>IF(管理者入力シート!$B$14=1,BM7*管理者用人口入力シート!AO$4,IF(管理者入力シート!$B$14=2,BM7*管理者用人口入力シート!AO$8))</f>
        <v>154.83364594171925</v>
      </c>
      <c r="BO10" s="10">
        <f>IF(管理者入力シート!$B$14=1,BN7*管理者用人口入力シート!AP$4,IF(管理者入力シート!$B$14=2,BN7*管理者用人口入力シート!AP$8))</f>
        <v>150.43152568422647</v>
      </c>
      <c r="BP10" s="10">
        <f>IF(管理者入力シート!$B$14=1,BO7*管理者用人口入力シート!AQ$4,IF(管理者入力シート!$B$14=2,BO7*管理者用人口入力シート!AQ$8))</f>
        <v>153.89158457928701</v>
      </c>
      <c r="BQ10" s="10">
        <f>IF(管理者入力シート!$B$14=1,BP7*管理者用人口入力シート!AR$4,IF(管理者入力シート!$B$14=2,BP7*管理者用人口入力シート!AR$8))</f>
        <v>137.82248492042504</v>
      </c>
      <c r="BR10" s="10">
        <f>IF(管理者入力シート!$B$14=1,BQ7*管理者用人口入力シート!AS$4,IF(管理者入力シート!$B$14=2,BQ7*管理者用人口入力シート!AS$8))</f>
        <v>162.27018397748549</v>
      </c>
      <c r="BS10" s="10">
        <f>IF(管理者入力シート!$B$14=1,BR7*管理者用人口入力シート!AT$4,IF(管理者入力シート!$B$14=2,BR7*管理者用人口入力シート!AT$8))</f>
        <v>169.62336858501749</v>
      </c>
      <c r="BT10" s="10">
        <f>IF(管理者入力シート!$B$14=1,BS7*管理者用人口入力シート!AU$4,IF(管理者入力シート!$B$14=2,BS7*管理者用人口入力シート!AU$8))</f>
        <v>230.88904116456928</v>
      </c>
      <c r="BU10" s="10">
        <f>IF(管理者入力シート!$B$14=1,BT7*管理者用人口入力シート!AV$4,IF(管理者入力シート!$B$14=2,BT7*管理者用人口入力シート!AV$8))</f>
        <v>261.78351273484515</v>
      </c>
      <c r="BV10" s="10">
        <f>IF(管理者入力シート!$B$14=1,BU7*管理者用人口入力シート!AW$4,IF(管理者入力シート!$B$14=2,BU7*管理者用人口入力シート!AW$8))</f>
        <v>313.78740003244388</v>
      </c>
      <c r="BW10" s="10">
        <f>IF(管理者入力シート!$B$14=1,BV7*管理者用人口入力シート!AX$4,IF(管理者入力シート!$B$14=2,BV7*管理者用人口入力シート!AX$8))</f>
        <v>308.68497732582767</v>
      </c>
      <c r="BX10" s="10">
        <f>IF(管理者入力シート!$B$14=1,BW7*管理者用人口入力シート!AY$4,IF(管理者入力シート!$B$14=2,BW7*管理者用人口入力シート!AY$8))</f>
        <v>293.61699660852003</v>
      </c>
      <c r="BY10" s="10">
        <f>IF(管理者入力シート!$B$14=1,BX7*管理者用人口入力シート!AZ$4,IF(管理者入力シート!$B$14=2,BX7*管理者用人口入力シート!AZ$8))</f>
        <v>266.9088711458997</v>
      </c>
      <c r="BZ10" s="10">
        <f>IF(管理者入力シート!$B$14=1,BY7*管理者用人口入力シート!BA$4,IF(管理者入力シート!$B$14=2,BY7*管理者用人口入力シート!BA$8))</f>
        <v>297.18852980213217</v>
      </c>
      <c r="CA10" s="10">
        <f>IF(管理者入力シート!$B$14=1,BZ7*管理者用人口入力シート!BB$4,IF(管理者入力シート!$B$14=2,BZ7*管理者用人口入力シート!BB$8))</f>
        <v>305.31844503498155</v>
      </c>
      <c r="CB10" s="10">
        <f>IF(管理者入力シート!$B$14=1,CA7*管理者用人口入力シート!BC$4,IF(管理者入力シート!$B$14=2,CA7*管理者用人口入力シート!BC$8))</f>
        <v>272.75413878776908</v>
      </c>
      <c r="CC10" s="10">
        <f>IF(管理者入力シート!$B$14=1,CB7*管理者用人口入力シート!BD$4,IF(管理者入力シート!$B$14=2,CB7*管理者用人口入力シート!BD$8))</f>
        <v>131.11354476437774</v>
      </c>
      <c r="CD10" s="10">
        <f>IF(管理者入力シート!$B$14=1,CC7*管理者用人口入力シート!BE$4,IF(管理者入力シート!$B$14=2,CC7*管理者用人口入力シート!BE$8))</f>
        <v>36.987033275986974</v>
      </c>
      <c r="CE10" s="10">
        <f>IF(管理者入力シート!$B$14=1,CD7*管理者用人口入力シート!BF$4,IF(管理者入力シート!$B$14=2,CD7*管理者用人口入力シート!BF$8))</f>
        <v>9.1345811261515912</v>
      </c>
      <c r="CF10" s="10">
        <f t="shared" si="2"/>
        <v>4038.6974375432528</v>
      </c>
      <c r="CG10" s="10">
        <f t="shared" si="20"/>
        <v>154.8934412376085</v>
      </c>
      <c r="CH10" s="10">
        <f t="shared" si="21"/>
        <v>86.148555782837448</v>
      </c>
      <c r="CI10" s="10">
        <f t="shared" si="3"/>
        <v>1613.022140545819</v>
      </c>
      <c r="CJ10" s="10">
        <f t="shared" si="22"/>
        <v>1052.496272791399</v>
      </c>
      <c r="CK10" s="14">
        <f t="shared" si="23"/>
        <v>0.39939167652207769</v>
      </c>
      <c r="CL10" s="14">
        <f t="shared" si="24"/>
        <v>0.26060290206627473</v>
      </c>
      <c r="CM10" s="10">
        <f t="shared" si="25"/>
        <v>604.4157791614241</v>
      </c>
      <c r="CO10" s="7" t="str">
        <f t="shared" si="26"/>
        <v>2035_2</v>
      </c>
      <c r="CP10" s="29">
        <f>CP9</f>
        <v>2035</v>
      </c>
      <c r="CQ10" s="4" t="s">
        <v>22</v>
      </c>
      <c r="CR10" s="10">
        <f>DT10*$AK$14+将来予測シート②!$H17</f>
        <v>125.84021266573194</v>
      </c>
      <c r="CS10" s="10">
        <f>IF(管理者入力シート!$B$14=1,CR7*管理者用人口入力シート!AM$4,IF(管理者入力シート!$B$14=2,CR7*管理者用人口入力シート!AM$8))+将来予測シート②!$H18</f>
        <v>121.84341869667672</v>
      </c>
      <c r="CT10" s="10">
        <f>IF(管理者入力シート!$B$14=1,CS7*管理者用人口入力シート!AN$4,IF(管理者入力シート!$B$14=2,CS7*管理者用人口入力シート!AN$8))+将来予測シート②!$H19</f>
        <v>139.87442445778126</v>
      </c>
      <c r="CU10" s="10">
        <f>IF(管理者入力シート!$B$14=1,CT7*管理者用人口入力シート!AO$4,IF(管理者入力シート!$B$14=2,CT7*管理者用人口入力シート!AO$8))+将来予測シート②!$H20</f>
        <v>155.78647047543737</v>
      </c>
      <c r="CV10" s="10">
        <f>IF(管理者入力シート!$B$14=1,CU7*管理者用人口入力シート!AP$4,IF(管理者入力シート!$B$14=2,CU7*管理者用人口入力シート!AP$8))+将来予測シート②!$H21</f>
        <v>151.13982739702467</v>
      </c>
      <c r="CW10" s="10">
        <f>IF(管理者入力シート!$B$14=1,CV7*管理者用人口入力シート!AQ$4,IF(管理者入力シート!$B$14=2,CV7*管理者用人口入力シート!AQ$8))+将来予測シート②!$H22</f>
        <v>155.89158457928701</v>
      </c>
      <c r="CX10" s="10">
        <f>IF(管理者入力シート!$B$14=1,CW7*管理者用人口入力シート!AR$4,IF(管理者入力シート!$B$14=2,CW7*管理者用人口入力シート!AR$8))+将来予測シート②!$H23</f>
        <v>139.69765342360859</v>
      </c>
      <c r="CY10" s="10">
        <f>IF(管理者入力シート!$B$14=1,CX7*管理者用人口入力シート!AS$4,IF(管理者入力シート!$B$14=2,CX7*管理者用人口入力シート!AS$8))+将来予測シート②!$H24</f>
        <v>164.23670201185749</v>
      </c>
      <c r="CZ10" s="10">
        <f>IF(管理者入力シート!$B$14=1,CY7*管理者用人口入力シート!AT$4,IF(管理者入力シート!$B$14=2,CY7*管理者用人口入力シート!AT$8))+将来予測シート②!$H25</f>
        <v>170.62336858501749</v>
      </c>
      <c r="DA10" s="10">
        <f>IF(管理者入力シート!$B$14=1,CZ7*管理者用人口入力シート!AU$4,IF(管理者入力シート!$B$14=2,CZ7*管理者用人口入力シート!AU$8))+将来予測シート②!$H26</f>
        <v>231.9123081528393</v>
      </c>
      <c r="DB10" s="10">
        <f>IF(管理者入力シート!$B$14=1,DA7*管理者用人口入力シート!AV$4,IF(管理者入力シート!$B$14=2,DA7*管理者用人口入力シート!AV$8))+将来予測シート②!$H27</f>
        <v>262.80708244355344</v>
      </c>
      <c r="DC10" s="10">
        <f>IF(管理者入力シート!$B$14=1,DB7*管理者用人口入力シート!AW$4,IF(管理者入力シート!$B$14=2,DB7*管理者用人口入力シート!AW$8))+将来予測シート②!$H28</f>
        <v>313.78740003244388</v>
      </c>
      <c r="DD10" s="10">
        <f>IF(管理者入力シート!$B$14=1,DC7*管理者用人口入力シート!AX$4,IF(管理者入力シート!$B$14=2,DC7*管理者用人口入力シート!AX$8))+将来予測シート②!$H29</f>
        <v>308.68497732582767</v>
      </c>
      <c r="DE10" s="10">
        <f>IF(管理者入力シート!$B$14=1,DD7*管理者用人口入力シート!AY$4,IF(管理者入力シート!$B$14=2,DD7*管理者用人口入力シート!AY$8))</f>
        <v>293.61699660852003</v>
      </c>
      <c r="DF10" s="10">
        <f>IF(管理者入力シート!$B$14=1,DE7*管理者用人口入力シート!AZ$4,IF(管理者入力シート!$B$14=2,DE7*管理者用人口入力シート!AZ$8))</f>
        <v>266.9088711458997</v>
      </c>
      <c r="DG10" s="10">
        <f>IF(管理者入力シート!$B$14=1,DF7*管理者用人口入力シート!BA$4,IF(管理者入力シート!$B$14=2,DF7*管理者用人口入力シート!BA$8))</f>
        <v>297.18852980213217</v>
      </c>
      <c r="DH10" s="10">
        <f>IF(管理者入力シート!$B$14=1,DG7*管理者用人口入力シート!BB$4,IF(管理者入力シート!$B$14=2,DG7*管理者用人口入力シート!BB$8))</f>
        <v>305.31844503498155</v>
      </c>
      <c r="DI10" s="10">
        <f>IF(管理者入力シート!$B$14=1,DH7*管理者用人口入力シート!BC$4,IF(管理者入力シート!$B$14=2,DH7*管理者用人口入力シート!BC$8))</f>
        <v>272.75413878776908</v>
      </c>
      <c r="DJ10" s="10">
        <f>IF(管理者入力シート!$B$14=1,DI7*管理者用人口入力シート!BD$4,IF(管理者入力シート!$B$14=2,DI7*管理者用人口入力シート!BD$8))</f>
        <v>131.11354476437774</v>
      </c>
      <c r="DK10" s="10">
        <f>IF(管理者入力シート!$B$14=1,DJ7*管理者用人口入力シート!BE$4,IF(管理者入力シート!$B$14=2,DJ7*管理者用人口入力シート!BE$8))</f>
        <v>36.987033275986974</v>
      </c>
      <c r="DL10" s="10">
        <f>IF(管理者入力シート!$B$14=1,DK7*管理者用人口入力シート!BF$4,IF(管理者入力シート!$B$14=2,DK7*管理者用人口入力シート!BF$8))</f>
        <v>9.1345811261515912</v>
      </c>
      <c r="DM10" s="10">
        <f t="shared" si="69"/>
        <v>4055.1475707929058</v>
      </c>
      <c r="DN10" s="10">
        <f t="shared" si="34"/>
        <v>157.03070589267477</v>
      </c>
      <c r="DO10" s="10">
        <f t="shared" si="35"/>
        <v>87.107063878199966</v>
      </c>
      <c r="DP10" s="10">
        <f t="shared" si="6"/>
        <v>1613.022140545819</v>
      </c>
      <c r="DQ10" s="10">
        <f t="shared" si="36"/>
        <v>1052.496272791399</v>
      </c>
      <c r="DR10" s="14">
        <f t="shared" si="37"/>
        <v>0.39777150211833689</v>
      </c>
      <c r="DS10" s="14">
        <f t="shared" si="38"/>
        <v>0.25954573894473676</v>
      </c>
      <c r="DT10" s="10">
        <f t="shared" si="70"/>
        <v>610.96576741177773</v>
      </c>
      <c r="DV10" s="62" t="s">
        <v>405</v>
      </c>
      <c r="DW10" s="210">
        <f>((SUM(BL12:BL13)*3/5+SUM(BM12:BM13)+SUM(BN12:BN13)*1/5)-(SUM(E12:E13)*3/5+SUM(F12:F13)+SUM(G12:G13)*1/5))/4</f>
        <v>-80.707447231756177</v>
      </c>
      <c r="DX10" s="29">
        <f>DX9</f>
        <v>2035</v>
      </c>
      <c r="DY10" s="4" t="s">
        <v>22</v>
      </c>
      <c r="DZ10" s="10">
        <f>FB10*$AK$14</f>
        <v>222.30363834200801</v>
      </c>
      <c r="EA10" s="10">
        <f>IF(管理者入力シート!$B$14=1,DZ7*管理者用人口入力シート!AM$4,IF(管理者入力シート!$B$14=2,DZ7*管理者用人口入力シート!AM$8))</f>
        <v>195.84004641131168</v>
      </c>
      <c r="EB10" s="10">
        <f>IF(管理者入力シート!$B$14=1,EA7*管理者用人口入力シート!AN$4,IF(管理者入力シート!$B$14=2,EA7*管理者用人口入力シート!AN$8))</f>
        <v>137.954566486234</v>
      </c>
      <c r="EC10" s="10">
        <f>IF(管理者入力シート!$B$14=1,EB7*管理者用人口入力シート!AO$4,IF(管理者入力シート!$B$14=2,EB7*管理者用人口入力シート!AO$8))</f>
        <v>154.83364594171925</v>
      </c>
      <c r="ED10" s="10">
        <f>IF(管理者入力シート!$B$14=1,EC7*管理者用人口入力シート!AP$4,IF(管理者入力シート!$B$14=2,EC7*管理者用人口入力シート!AP$8))</f>
        <v>150.43152568422647</v>
      </c>
      <c r="EE10" s="10">
        <f>IF(管理者入力シート!$B$14=1,ED7*管理者用人口入力シート!AQ$4,IF(管理者入力シート!$B$14=2,ED7*管理者用人口入力シート!AQ$8))+DX1</f>
        <v>234.89158457928701</v>
      </c>
      <c r="EF10" s="10">
        <f>IF(管理者入力シート!$B$14=1,EE7*管理者用人口入力シート!AR$4,IF(管理者入力シート!$B$14=2,EE7*管理者用人口入力シート!AR$8))+DX1</f>
        <v>294.76680929935907</v>
      </c>
      <c r="EG10" s="10">
        <f>IF(管理者入力シート!$B$14=1,EF7*管理者用人口入力シート!AS$4,IF(管理者入力シート!$B$14=2,EF7*管理者用人口入力シート!AS$8))+DX1</f>
        <v>407.86010950125728</v>
      </c>
      <c r="EH10" s="10">
        <f>IF(管理者入力シート!$B$14=1,EG7*管理者用人口入力シート!AT$4,IF(管理者入力シート!$B$14=2,EG7*管理者用人口入力シート!AT$8))</f>
        <v>322.85229997825445</v>
      </c>
      <c r="EI10" s="10">
        <f>IF(管理者入力シート!$B$14=1,EH7*管理者用人口入力シート!AU$4,IF(管理者入力シート!$B$14=2,EH7*管理者用人口入力シート!AU$8))</f>
        <v>307.42193064535974</v>
      </c>
      <c r="EJ10" s="10">
        <f>IF(管理者入力シート!$B$14=1,EI7*管理者用人口入力シート!AV$4,IF(管理者入力シート!$B$14=2,EI7*管理者用人口入力シート!AV$8))</f>
        <v>261.78351273484515</v>
      </c>
      <c r="EK10" s="10">
        <f>IF(管理者入力シート!$B$14=1,EJ7*管理者用人口入力シート!AW$4,IF(管理者入力シート!$B$14=2,EJ7*管理者用人口入力シート!AW$8))</f>
        <v>313.78740003244388</v>
      </c>
      <c r="EL10" s="10">
        <f>IF(管理者入力シート!$B$14=1,EK7*管理者用人口入力シート!AX$4,IF(管理者入力シート!$B$14=2,EK7*管理者用人口入力シート!AX$8))</f>
        <v>308.68497732582767</v>
      </c>
      <c r="EM10" s="10">
        <f>IF(管理者入力シート!$B$14=1,EL7*管理者用人口入力シート!AY$4,IF(管理者入力シート!$B$14=2,EL7*管理者用人口入力シート!AY$8))</f>
        <v>293.61699660852003</v>
      </c>
      <c r="EN10" s="10">
        <f>IF(管理者入力シート!$B$14=1,EM7*管理者用人口入力シート!AZ$4,IF(管理者入力シート!$B$14=2,EM7*管理者用人口入力シート!AZ$8))</f>
        <v>266.9088711458997</v>
      </c>
      <c r="EO10" s="10">
        <f>IF(管理者入力シート!$B$14=1,EN7*管理者用人口入力シート!BA$4,IF(管理者入力シート!$B$14=2,EN7*管理者用人口入力シート!BA$8))</f>
        <v>297.18852980213217</v>
      </c>
      <c r="EP10" s="10">
        <f>IF(管理者入力シート!$B$14=1,EO7*管理者用人口入力シート!BB$4,IF(管理者入力シート!$B$14=2,EO7*管理者用人口入力シート!BB$8))</f>
        <v>305.31844503498155</v>
      </c>
      <c r="EQ10" s="10">
        <f>IF(管理者入力シート!$B$14=1,EP7*管理者用人口入力シート!BC$4,IF(管理者入力シート!$B$14=2,EP7*管理者用人口入力シート!BC$8))</f>
        <v>272.75413878776908</v>
      </c>
      <c r="ER10" s="10">
        <f>IF(管理者入力シート!$B$14=1,EQ7*管理者用人口入力シート!BD$4,IF(管理者入力シート!$B$14=2,EQ7*管理者用人口入力シート!BD$8))</f>
        <v>131.11354476437774</v>
      </c>
      <c r="ES10" s="10">
        <f>IF(管理者入力シート!$B$14=1,ER7*管理者用人口入力シート!BE$4,IF(管理者入力シート!$B$14=2,ER7*管理者用人口入力シート!BE$8))</f>
        <v>36.987033275986974</v>
      </c>
      <c r="ET10" s="10">
        <f>IF(管理者入力シート!$B$14=1,ES7*管理者用人口入力シート!BF$4,IF(管理者入力シート!$B$14=2,ES7*管理者用人口入力シート!BF$8))</f>
        <v>9.1345811261515912</v>
      </c>
      <c r="EU10" s="10">
        <f t="shared" si="71"/>
        <v>4926.4341875079526</v>
      </c>
      <c r="EV10" s="10">
        <f t="shared" si="41"/>
        <v>200.27676773852738</v>
      </c>
      <c r="EW10" s="10">
        <f t="shared" si="42"/>
        <v>86.148555782837448</v>
      </c>
      <c r="EX10" s="10">
        <f t="shared" si="10"/>
        <v>1613.022140545819</v>
      </c>
      <c r="EY10" s="10">
        <f t="shared" si="43"/>
        <v>1052.496272791399</v>
      </c>
      <c r="EZ10" s="14">
        <f t="shared" si="44"/>
        <v>0.32742183882938863</v>
      </c>
      <c r="FA10" s="14">
        <f t="shared" si="45"/>
        <v>0.21364261304052992</v>
      </c>
      <c r="FB10" s="10">
        <f t="shared" si="72"/>
        <v>1087.9500290641299</v>
      </c>
    </row>
    <row r="11" spans="1:158" x14ac:dyDescent="0.15">
      <c r="A11" s="7" t="str">
        <f t="shared" si="11"/>
        <v>2015_3</v>
      </c>
      <c r="B11" s="30">
        <v>2015</v>
      </c>
      <c r="C11" s="5" t="s">
        <v>23</v>
      </c>
      <c r="D11" s="11">
        <v>464.46120473528737</v>
      </c>
      <c r="E11" s="11">
        <v>420.15094770047722</v>
      </c>
      <c r="F11" s="11">
        <v>422.11505468268774</v>
      </c>
      <c r="G11" s="11">
        <v>464.15348565313059</v>
      </c>
      <c r="H11" s="11">
        <v>399.90489744787646</v>
      </c>
      <c r="I11" s="11">
        <v>494.96487843272644</v>
      </c>
      <c r="J11" s="11">
        <v>509.64866045761789</v>
      </c>
      <c r="K11" s="11">
        <v>671.87524530384064</v>
      </c>
      <c r="L11" s="11">
        <v>640.72058605026564</v>
      </c>
      <c r="M11" s="11">
        <v>575.73023059422178</v>
      </c>
      <c r="N11" s="11">
        <v>576.80056323866233</v>
      </c>
      <c r="O11" s="11">
        <v>654.73323325400611</v>
      </c>
      <c r="P11" s="11">
        <v>760.56914849064663</v>
      </c>
      <c r="Q11" s="11">
        <v>882.4519270625824</v>
      </c>
      <c r="R11" s="11">
        <v>656.87898103858311</v>
      </c>
      <c r="S11" s="11">
        <v>524.96793503227309</v>
      </c>
      <c r="T11" s="11">
        <v>463.49982778134984</v>
      </c>
      <c r="U11" s="11">
        <v>286.59553014857579</v>
      </c>
      <c r="V11" s="11">
        <v>138.44422481638924</v>
      </c>
      <c r="W11" s="11">
        <v>32.252082146596607</v>
      </c>
      <c r="X11" s="11">
        <v>7.0813559322033903</v>
      </c>
      <c r="Y11" s="11">
        <f t="shared" si="68"/>
        <v>10048</v>
      </c>
      <c r="Z11" s="11">
        <f t="shared" si="12"/>
        <v>505.35960142989893</v>
      </c>
      <c r="AA11" s="11">
        <f t="shared" si="13"/>
        <v>261.67671900370124</v>
      </c>
      <c r="AB11" s="11">
        <f t="shared" si="0"/>
        <v>2992.1718639585533</v>
      </c>
      <c r="AC11" s="11">
        <f t="shared" si="14"/>
        <v>1452.8409558573881</v>
      </c>
      <c r="AD11" s="15">
        <f t="shared" si="15"/>
        <v>0.29778780493218088</v>
      </c>
      <c r="AE11" s="15">
        <f t="shared" si="16"/>
        <v>0.14459006328198529</v>
      </c>
      <c r="AF11" s="11">
        <f t="shared" si="17"/>
        <v>2076.3936816420614</v>
      </c>
      <c r="BH11" s="7" t="str">
        <f t="shared" si="19"/>
        <v>2035_3</v>
      </c>
      <c r="BI11" s="30">
        <f>BI10</f>
        <v>2035</v>
      </c>
      <c r="BJ11" s="5" t="s">
        <v>23</v>
      </c>
      <c r="BK11" s="16">
        <f>BK9+BK10</f>
        <v>260.57342837498004</v>
      </c>
      <c r="BL11" s="16">
        <f t="shared" ref="BL11" si="117">BL9+BL10</f>
        <v>265.69399975063385</v>
      </c>
      <c r="BM11" s="16">
        <f t="shared" ref="BM11" si="118">BM9+BM10</f>
        <v>300.05349045217577</v>
      </c>
      <c r="BN11" s="16">
        <f t="shared" ref="BN11" si="119">BN9+BN10</f>
        <v>336.01312514199287</v>
      </c>
      <c r="BO11" s="16">
        <f t="shared" ref="BO11" si="120">BO9+BO10</f>
        <v>320.17749346699395</v>
      </c>
      <c r="BP11" s="16">
        <f t="shared" ref="BP11" si="121">BP9+BP10</f>
        <v>336.03684177920957</v>
      </c>
      <c r="BQ11" s="16">
        <f t="shared" ref="BQ11" si="122">BQ9+BQ10</f>
        <v>312.90748228941959</v>
      </c>
      <c r="BR11" s="16">
        <f t="shared" ref="BR11" si="123">BR9+BR10</f>
        <v>372.34958837931561</v>
      </c>
      <c r="BS11" s="16">
        <f t="shared" ref="BS11" si="124">BS9+BS10</f>
        <v>374.98245155268154</v>
      </c>
      <c r="BT11" s="16">
        <f t="shared" ref="BT11" si="125">BT9+BT10</f>
        <v>454.9946123995004</v>
      </c>
      <c r="BU11" s="16">
        <f t="shared" ref="BU11" si="126">BU9+BU10</f>
        <v>504.77073505489318</v>
      </c>
      <c r="BV11" s="16">
        <f t="shared" ref="BV11" si="127">BV9+BV10</f>
        <v>621.49884322497701</v>
      </c>
      <c r="BW11" s="16">
        <f t="shared" ref="BW11" si="128">BW9+BW10</f>
        <v>595.47366437490814</v>
      </c>
      <c r="BX11" s="16">
        <f t="shared" ref="BX11" si="129">BX9+BX10</f>
        <v>535.54965673692141</v>
      </c>
      <c r="BY11" s="16">
        <f t="shared" ref="BY11" si="130">BY9+BY10</f>
        <v>513.29714166104577</v>
      </c>
      <c r="BZ11" s="16">
        <f t="shared" ref="BZ11" si="131">BZ9+BZ10</f>
        <v>537.78318870359362</v>
      </c>
      <c r="CA11" s="16">
        <f t="shared" ref="CA11" si="132">CA9+CA10</f>
        <v>526.00226356827989</v>
      </c>
      <c r="CB11" s="16">
        <f t="shared" ref="CB11" si="133">CB9+CB10</f>
        <v>431.76609497957486</v>
      </c>
      <c r="CC11" s="16">
        <f t="shared" ref="CC11" si="134">CC9+CC10</f>
        <v>198.67750529656772</v>
      </c>
      <c r="CD11" s="16">
        <f t="shared" ref="CD11" si="135">CD9+CD10</f>
        <v>47.20946892409625</v>
      </c>
      <c r="CE11" s="16">
        <f t="shared" ref="CE11" si="136">CE9+CE10</f>
        <v>9.1480907607555917</v>
      </c>
      <c r="CF11" s="11">
        <f t="shared" si="2"/>
        <v>7854.959166872517</v>
      </c>
      <c r="CG11" s="11">
        <f t="shared" si="20"/>
        <v>339.44849412168577</v>
      </c>
      <c r="CH11" s="11">
        <f t="shared" si="21"/>
        <v>187.22402120926887</v>
      </c>
      <c r="CI11" s="11">
        <f t="shared" si="3"/>
        <v>2799.4334106308352</v>
      </c>
      <c r="CJ11" s="11">
        <f t="shared" si="22"/>
        <v>1750.586612232868</v>
      </c>
      <c r="CK11" s="15">
        <f t="shared" si="23"/>
        <v>0.35639057456048379</v>
      </c>
      <c r="CL11" s="15">
        <f t="shared" si="24"/>
        <v>0.22286387173287764</v>
      </c>
      <c r="CM11" s="11">
        <f t="shared" si="25"/>
        <v>1341.4714059149387</v>
      </c>
      <c r="CO11" s="7" t="str">
        <f t="shared" si="26"/>
        <v>2035_3</v>
      </c>
      <c r="CP11" s="30">
        <f>CP10</f>
        <v>2035</v>
      </c>
      <c r="CQ11" s="5" t="s">
        <v>23</v>
      </c>
      <c r="CR11" s="16">
        <f>CR9+CR10</f>
        <v>265.39723435929506</v>
      </c>
      <c r="CS11" s="16">
        <f t="shared" ref="CS11" si="137">CS9+CS10</f>
        <v>269.21422185521038</v>
      </c>
      <c r="CT11" s="16">
        <f t="shared" ref="CT11" si="138">CT9+CT10</f>
        <v>303.94719555161896</v>
      </c>
      <c r="CU11" s="16">
        <f t="shared" ref="CU11" si="139">CU9+CU10</f>
        <v>337.91483241435947</v>
      </c>
      <c r="CV11" s="16">
        <f t="shared" ref="CV11" si="140">CV9+CV10</f>
        <v>321.65487907890252</v>
      </c>
      <c r="CW11" s="16">
        <f t="shared" ref="CW11" si="141">CW9+CW10</f>
        <v>340.03684177920957</v>
      </c>
      <c r="CX11" s="16">
        <f t="shared" ref="CX11" si="142">CX9+CX10</f>
        <v>316.74231355708957</v>
      </c>
      <c r="CY11" s="16">
        <f t="shared" ref="CY11" si="143">CY9+CY10</f>
        <v>376.31458774363875</v>
      </c>
      <c r="CZ11" s="16">
        <f t="shared" ref="CZ11" si="144">CZ9+CZ10</f>
        <v>375.98245155268154</v>
      </c>
      <c r="DA11" s="16">
        <f t="shared" ref="DA11" si="145">DA9+DA10</f>
        <v>456.01787938777045</v>
      </c>
      <c r="DB11" s="16">
        <f t="shared" ref="DB11" si="146">DB9+DB10</f>
        <v>505.79430476360153</v>
      </c>
      <c r="DC11" s="16">
        <f t="shared" ref="DC11" si="147">DC9+DC10</f>
        <v>621.49884322497701</v>
      </c>
      <c r="DD11" s="16">
        <f t="shared" ref="DD11" si="148">DD9+DD10</f>
        <v>595.47366437490814</v>
      </c>
      <c r="DE11" s="16">
        <f t="shared" ref="DE11" si="149">DE9+DE10</f>
        <v>535.54965673692141</v>
      </c>
      <c r="DF11" s="16">
        <f t="shared" ref="DF11" si="150">DF9+DF10</f>
        <v>513.29714166104577</v>
      </c>
      <c r="DG11" s="16">
        <f t="shared" ref="DG11" si="151">DG9+DG10</f>
        <v>537.78318870359362</v>
      </c>
      <c r="DH11" s="16">
        <f t="shared" ref="DH11" si="152">DH9+DH10</f>
        <v>526.00226356827989</v>
      </c>
      <c r="DI11" s="16">
        <f t="shared" ref="DI11" si="153">DI9+DI10</f>
        <v>431.76609497957486</v>
      </c>
      <c r="DJ11" s="16">
        <f t="shared" ref="DJ11" si="154">DJ9+DJ10</f>
        <v>198.67750529656772</v>
      </c>
      <c r="DK11" s="16">
        <f t="shared" ref="DK11" si="155">DK9+DK10</f>
        <v>47.20946892409625</v>
      </c>
      <c r="DL11" s="16">
        <f t="shared" ref="DL11" si="156">DL9+DL10</f>
        <v>9.1480907607555917</v>
      </c>
      <c r="DM11" s="11">
        <f t="shared" si="69"/>
        <v>7885.4226602740982</v>
      </c>
      <c r="DN11" s="11">
        <f t="shared" si="34"/>
        <v>343.89685044409759</v>
      </c>
      <c r="DO11" s="11">
        <f t="shared" si="35"/>
        <v>189.16184470351948</v>
      </c>
      <c r="DP11" s="11">
        <f t="shared" si="6"/>
        <v>2799.4334106308352</v>
      </c>
      <c r="DQ11" s="11">
        <f t="shared" si="36"/>
        <v>1750.586612232868</v>
      </c>
      <c r="DR11" s="15">
        <f t="shared" si="37"/>
        <v>0.35501374260305363</v>
      </c>
      <c r="DS11" s="15">
        <f t="shared" si="38"/>
        <v>0.22200288908445365</v>
      </c>
      <c r="DT11" s="11">
        <f t="shared" si="70"/>
        <v>1354.7486221588406</v>
      </c>
      <c r="DW11" s="211"/>
      <c r="DX11" s="30">
        <f>DX10</f>
        <v>2035</v>
      </c>
      <c r="DY11" s="5" t="s">
        <v>23</v>
      </c>
      <c r="DZ11" s="16">
        <f>DZ9+DZ10</f>
        <v>469.03287231716411</v>
      </c>
      <c r="EA11" s="16">
        <f t="shared" ref="EA11" si="157">EA9+EA10</f>
        <v>432.88701527874628</v>
      </c>
      <c r="EB11" s="16">
        <f t="shared" ref="EB11" si="158">EB9+EB10</f>
        <v>300.05349045217577</v>
      </c>
      <c r="EC11" s="16">
        <f t="shared" ref="EC11" si="159">EC9+EC10</f>
        <v>336.01312514199287</v>
      </c>
      <c r="ED11" s="16">
        <f t="shared" ref="ED11" si="160">ED9+ED10</f>
        <v>320.17749346699395</v>
      </c>
      <c r="EE11" s="16">
        <f t="shared" ref="EE11" si="161">EE9+EE10</f>
        <v>498.03684177920957</v>
      </c>
      <c r="EF11" s="16">
        <f t="shared" ref="EF11" si="162">EF9+EF10</f>
        <v>630.21814863005329</v>
      </c>
      <c r="EG11" s="16">
        <f t="shared" ref="EG11" si="163">EG9+EG10</f>
        <v>862.4825204708643</v>
      </c>
      <c r="EH11" s="16">
        <f t="shared" ref="EH11" si="164">EH9+EH10</f>
        <v>686.16038548435904</v>
      </c>
      <c r="EI11" s="16">
        <f t="shared" ref="EI11" si="165">EI9+EI10</f>
        <v>606.39132602399218</v>
      </c>
      <c r="EJ11" s="16">
        <f t="shared" ref="EJ11" si="166">EJ9+EJ10</f>
        <v>504.77073505489318</v>
      </c>
      <c r="EK11" s="16">
        <f t="shared" ref="EK11" si="167">EK9+EK10</f>
        <v>621.49884322497701</v>
      </c>
      <c r="EL11" s="16">
        <f t="shared" ref="EL11" si="168">EL9+EL10</f>
        <v>595.47366437490814</v>
      </c>
      <c r="EM11" s="16">
        <f t="shared" ref="EM11" si="169">EM9+EM10</f>
        <v>535.54965673692141</v>
      </c>
      <c r="EN11" s="16">
        <f t="shared" ref="EN11" si="170">EN9+EN10</f>
        <v>513.29714166104577</v>
      </c>
      <c r="EO11" s="16">
        <f t="shared" ref="EO11" si="171">EO9+EO10</f>
        <v>537.78318870359362</v>
      </c>
      <c r="EP11" s="16">
        <f t="shared" ref="EP11" si="172">EP9+EP10</f>
        <v>526.00226356827989</v>
      </c>
      <c r="EQ11" s="16">
        <f t="shared" ref="EQ11" si="173">EQ9+EQ10</f>
        <v>431.76609497957486</v>
      </c>
      <c r="ER11" s="16">
        <f t="shared" ref="ER11" si="174">ER9+ER10</f>
        <v>198.67750529656772</v>
      </c>
      <c r="ES11" s="16">
        <f t="shared" ref="ES11" si="175">ES9+ES10</f>
        <v>47.20946892409625</v>
      </c>
      <c r="ET11" s="16">
        <f t="shared" ref="ET11" si="176">ET9+ET10</f>
        <v>9.1480907607555917</v>
      </c>
      <c r="EU11" s="11">
        <f t="shared" si="71"/>
        <v>9662.6298723311647</v>
      </c>
      <c r="EV11" s="11">
        <f t="shared" si="41"/>
        <v>439.76430343855327</v>
      </c>
      <c r="EW11" s="11">
        <f t="shared" si="42"/>
        <v>187.22402120926887</v>
      </c>
      <c r="EX11" s="11">
        <f t="shared" si="10"/>
        <v>2799.4334106308352</v>
      </c>
      <c r="EY11" s="11">
        <f t="shared" si="43"/>
        <v>1750.586612232868</v>
      </c>
      <c r="EZ11" s="15">
        <f t="shared" si="44"/>
        <v>0.28971754559770341</v>
      </c>
      <c r="FA11" s="15">
        <f t="shared" si="45"/>
        <v>0.18117082361248812</v>
      </c>
      <c r="FB11" s="11">
        <f t="shared" si="72"/>
        <v>2310.9150043471209</v>
      </c>
    </row>
    <row r="12" spans="1:158" x14ac:dyDescent="0.15">
      <c r="A12" s="7" t="str">
        <f t="shared" si="11"/>
        <v>2020_1</v>
      </c>
      <c r="B12" s="28">
        <v>2020</v>
      </c>
      <c r="C12" s="3" t="s">
        <v>21</v>
      </c>
      <c r="D12" s="9">
        <v>196.06752777547752</v>
      </c>
      <c r="E12" s="9">
        <v>226.53634283136873</v>
      </c>
      <c r="F12" s="9">
        <v>226.34414286286565</v>
      </c>
      <c r="G12" s="9">
        <v>210.69854117815393</v>
      </c>
      <c r="H12" s="9">
        <v>200.92708818671883</v>
      </c>
      <c r="I12" s="9">
        <v>212.87379745653615</v>
      </c>
      <c r="J12" s="9">
        <v>237.7644441146158</v>
      </c>
      <c r="K12" s="9">
        <v>267.66901610135079</v>
      </c>
      <c r="L12" s="9">
        <v>335.22392763791208</v>
      </c>
      <c r="M12" s="9">
        <v>302.66942675642878</v>
      </c>
      <c r="N12" s="9">
        <v>259.19828851074385</v>
      </c>
      <c r="O12" s="9">
        <v>275.49279990175313</v>
      </c>
      <c r="P12" s="9">
        <v>303.50821370078722</v>
      </c>
      <c r="Q12" s="9">
        <v>363.65289433966728</v>
      </c>
      <c r="R12" s="9">
        <v>384.54631289349152</v>
      </c>
      <c r="S12" s="9">
        <v>272.28176967626615</v>
      </c>
      <c r="T12" s="9">
        <v>155.18008250263762</v>
      </c>
      <c r="U12" s="9">
        <v>130.71192189868268</v>
      </c>
      <c r="V12" s="9">
        <v>43.542759844163378</v>
      </c>
      <c r="W12" s="9">
        <v>7.1107018303789591</v>
      </c>
      <c r="X12" s="9">
        <v>0</v>
      </c>
      <c r="Y12" s="9">
        <f t="shared" ref="Y12:Y14" si="177">SUM(D12:X12)</f>
        <v>4612.0000000000009</v>
      </c>
      <c r="Z12" s="9">
        <f>E12*3/5+F12*3/5</f>
        <v>271.72829141654063</v>
      </c>
      <c r="AA12" s="9">
        <f>F12*2/5+G12*1/5</f>
        <v>132.67736538077705</v>
      </c>
      <c r="AB12" s="9">
        <f t="shared" ref="AB12:AB14" si="178">SUM(Q12:X12)</f>
        <v>1357.0264429852875</v>
      </c>
      <c r="AC12" s="9">
        <f>SUM(S12:X12)</f>
        <v>608.82723575212879</v>
      </c>
      <c r="AD12" s="13">
        <f>AB12/Y12</f>
        <v>0.29423817063861391</v>
      </c>
      <c r="AE12" s="13">
        <f>AC12/Y12</f>
        <v>0.13200937462101661</v>
      </c>
      <c r="AF12" s="9">
        <f>SUM(H12:K12)</f>
        <v>919.23434585922155</v>
      </c>
      <c r="AK12" s="61">
        <f>管理者入力シート!B5</f>
        <v>2020</v>
      </c>
      <c r="AL12" s="62"/>
      <c r="BH12" s="7" t="str">
        <f t="shared" si="19"/>
        <v>2040_1</v>
      </c>
      <c r="BI12" s="28">
        <f>管理者入力シート!B11</f>
        <v>2040</v>
      </c>
      <c r="BJ12" s="3" t="s">
        <v>21</v>
      </c>
      <c r="BK12" s="9">
        <f>CM13*$AK$13</f>
        <v>125.16900999733687</v>
      </c>
      <c r="BL12" s="9">
        <f>IF(管理者入力シート!$B$14=1,BK9*管理者用人口入力シート!AM$3,IF(管理者入力シート!$B$14=2,BK9*管理者用人口入力シート!AM$7))</f>
        <v>137.00940539576615</v>
      </c>
      <c r="BM12" s="9">
        <f>IF(管理者入力シート!$B$14=1,BL9*管理者用人口入力シート!AN$3,IF(管理者入力シート!$B$14=2,BL9*管理者用人口入力シート!AN$7))</f>
        <v>141.75208520295283</v>
      </c>
      <c r="BN12" s="9">
        <f>IF(管理者入力シート!$B$14=1,BM9*管理者用人口入力シート!AO$3,IF(管理者入力シート!$B$14=2,BM9*管理者用人口入力シート!AO$7))</f>
        <v>153.81287090478557</v>
      </c>
      <c r="BO12" s="9">
        <f>IF(管理者入力シート!$B$14=1,BN9*管理者用人口入力シート!AP$3,IF(管理者入力シート!$B$14=2,BN9*管理者用人口入力シート!AP$7))</f>
        <v>146.84872495477242</v>
      </c>
      <c r="BP12" s="9">
        <f>IF(管理者入力シート!$B$14=1,BO9*管理者用人口入力シート!AQ$3,IF(管理者入力シート!$B$14=2,BO9*管理者用人口入力シート!AQ$7))</f>
        <v>177.61283805695689</v>
      </c>
      <c r="BQ12" s="9">
        <f>IF(管理者入力シート!$B$14=1,BP9*管理者用人口入力シート!AR$3,IF(管理者入力シート!$B$14=2,BP9*管理者用人口入力シート!AR$7))</f>
        <v>178.47163913124436</v>
      </c>
      <c r="BR12" s="9">
        <f>IF(管理者入力シート!$B$14=1,BQ9*管理者用人口入力シート!AS$3,IF(管理者入力シート!$B$14=2,BQ9*管理者用人口入力シート!AS$7))</f>
        <v>178.5532208589963</v>
      </c>
      <c r="BS12" s="9">
        <f>IF(管理者入力シート!$B$14=1,BR9*管理者用人口入力シート!AT$3,IF(管理者入力シート!$B$14=2,BR9*管理者用人口入力シート!AT$7))</f>
        <v>202.8173418359188</v>
      </c>
      <c r="BT12" s="9">
        <f>IF(管理者入力シート!$B$14=1,BS9*管理者用人口入力シート!AU$3,IF(管理者入力シート!$B$14=2,BS9*管理者用人口入力シート!AU$7))</f>
        <v>196.59809085968138</v>
      </c>
      <c r="BU12" s="9">
        <f>IF(管理者入力シート!$B$14=1,BT9*管理者用人口入力シート!AV$3,IF(管理者入力シート!$B$14=2,BT9*管理者用人口入力シート!AV$7))</f>
        <v>220.11568889563833</v>
      </c>
      <c r="BV12" s="9">
        <f>IF(管理者入力シート!$B$14=1,BU9*管理者用人口入力シート!AW$3,IF(管理者入力シート!$B$14=2,BU9*管理者用人口入力シート!AW$7))</f>
        <v>237.20746291782268</v>
      </c>
      <c r="BW12" s="9">
        <f>IF(管理者入力シート!$B$14=1,BV9*管理者用人口入力シート!AX$3,IF(管理者入力シート!$B$14=2,BV9*管理者用人口入力シート!AX$7))</f>
        <v>304.08419747113572</v>
      </c>
      <c r="BX12" s="9">
        <f>IF(管理者入力シート!$B$14=1,BW9*管理者用人口入力シート!AY$3,IF(管理者入力シート!$B$14=2,BW9*管理者用人口入力シート!AY$7))</f>
        <v>277.47845677067045</v>
      </c>
      <c r="BY12" s="9">
        <f>IF(管理者入力シート!$B$14=1,BX9*管理者用人口入力シート!AZ$3,IF(管理者入力シート!$B$14=2,BX9*管理者用人口入力シート!AZ$7))</f>
        <v>226.30117961959058</v>
      </c>
      <c r="BZ12" s="9">
        <f>IF(管理者入力シート!$B$14=1,BY9*管理者用人口入力シート!BA$3,IF(管理者入力シート!$B$14=2,BY9*管理者用人口入力シート!BA$7))</f>
        <v>215.81219928741575</v>
      </c>
      <c r="CA12" s="9">
        <f>IF(管理者入力シート!$B$14=1,BZ9*管理者用人口入力シート!BB$3,IF(管理者入力シート!$B$14=2,BZ9*管理者用人口入力シート!BB$7))</f>
        <v>178.20551694344496</v>
      </c>
      <c r="CB12" s="9">
        <f>IF(管理者入力シート!$B$14=1,CA9*管理者用人口入力シート!BC$3,IF(管理者入力シート!$B$14=2,CA9*管理者用人口入力シート!BC$7))</f>
        <v>140.6567227730952</v>
      </c>
      <c r="CC12" s="9">
        <f>IF(管理者入力シート!$B$14=1,CB9*管理者用人口入力シート!BD$3,IF(管理者入力シート!$B$14=2,CB9*管理者用人口入力シート!BD$7))</f>
        <v>83.57976544287915</v>
      </c>
      <c r="CD12" s="9">
        <f>IF(管理者入力シート!$B$14=1,CC9*管理者用人口入力シート!BE$3,IF(管理者入力シート!$B$14=2,CC9*管理者用人口入力シート!BE$7))</f>
        <v>13.285323512704078</v>
      </c>
      <c r="CE12" s="9">
        <f>IF(管理者入力シート!$B$14=1,CD9*管理者用人口入力シート!BF$3,IF(管理者入力シート!$B$14=2,CD9*管理者用人口入力シート!BF$7))</f>
        <v>1.0222435648109277E-2</v>
      </c>
      <c r="CF12" s="9">
        <f t="shared" si="2"/>
        <v>3535.3819632684567</v>
      </c>
      <c r="CG12" s="9">
        <f t="shared" si="20"/>
        <v>167.25689435923138</v>
      </c>
      <c r="CH12" s="9">
        <f t="shared" si="21"/>
        <v>87.463408262138245</v>
      </c>
      <c r="CI12" s="9">
        <f t="shared" si="3"/>
        <v>1135.3293867854482</v>
      </c>
      <c r="CJ12" s="9">
        <f t="shared" si="22"/>
        <v>631.54975039518729</v>
      </c>
      <c r="CK12" s="13">
        <f t="shared" si="23"/>
        <v>0.32113344430140084</v>
      </c>
      <c r="CL12" s="13">
        <f t="shared" si="24"/>
        <v>0.1786369215425086</v>
      </c>
      <c r="CM12" s="9">
        <f t="shared" si="25"/>
        <v>681.48642300196991</v>
      </c>
      <c r="CO12" s="7" t="str">
        <f t="shared" si="26"/>
        <v>2040_1</v>
      </c>
      <c r="CP12" s="28">
        <f>管理者入力シート!B11</f>
        <v>2040</v>
      </c>
      <c r="CQ12" s="3" t="s">
        <v>21</v>
      </c>
      <c r="CR12" s="9">
        <f>DT13*$AK$13+将来予測シート②!$G17</f>
        <v>127.81248527228819</v>
      </c>
      <c r="CS12" s="9">
        <f>IF(管理者入力シート!$B$14=1,CR9*管理者用人口入力シート!AM$3,IF(管理者入力シート!$B$14=2,CR9*管理者用人口入力シート!AM$7))+将来予測シート②!$G18</f>
        <v>139.49370778578319</v>
      </c>
      <c r="CT12" s="9">
        <f>IF(管理者入力シート!$B$14=1,CS9*管理者用人口入力シート!AN$3,IF(管理者入力シート!$B$14=2,CS9*管理者用人口入力シート!AN$7))+将来予測シート②!$G19</f>
        <v>144.58177323944273</v>
      </c>
      <c r="CU12" s="9">
        <f>IF(管理者入力シート!$B$14=1,CT9*管理者用人口入力シート!AO$3,IF(管理者入力シート!$B$14=2,CT9*管理者用人口入力シート!AO$7))+将来予測シート②!$G20</f>
        <v>155.68582037317711</v>
      </c>
      <c r="CV12" s="9">
        <f>IF(管理者入力シート!$B$14=1,CU9*管理者用人口入力シート!AP$3,IF(管理者入力シート!$B$14=2,CU9*管理者用人口入力シート!AP$7))+将来予測シート②!$G21</f>
        <v>147.61780885388276</v>
      </c>
      <c r="CW12" s="9">
        <f>IF(管理者入力シート!$B$14=1,CV9*管理者用人口入力シート!AQ$3,IF(管理者入力シート!$B$14=2,CV9*管理者用人口入力シート!AQ$7))+将来予測シート②!$G22</f>
        <v>180.41756511945604</v>
      </c>
      <c r="CX12" s="9">
        <f>IF(管理者入力シート!$B$14=1,CW9*管理者用人口入力シート!AR$3,IF(管理者入力シート!$B$14=2,CW9*管理者用人口入力シート!AR$7))+将来予測シート②!$G23</f>
        <v>180.43130189573077</v>
      </c>
      <c r="CY12" s="9">
        <f>IF(管理者入力シート!$B$14=1,CX9*管理者用人口入力シート!AS$3,IF(管理者入力シート!$B$14=2,CX9*管理者用人口入力シート!AS$7))+将来予測シート②!$G24</f>
        <v>180.5517021889475</v>
      </c>
      <c r="CZ12" s="9">
        <f>IF(管理者入力シート!$B$14=1,CY9*管理者用人口入力シート!AT$3,IF(管理者入力シート!$B$14=2,CY9*管理者用人口入力シート!AT$7))+将来予測シート②!$G25</f>
        <v>204.74673930447847</v>
      </c>
      <c r="DA12" s="9">
        <f>IF(管理者入力シート!$B$14=1,CZ9*管理者用人口入力シート!AU$3,IF(管理者入力シート!$B$14=2,CZ9*管理者用人口入力シート!AU$7))+将来予測シート②!$G26</f>
        <v>196.59809085968138</v>
      </c>
      <c r="DB12" s="9">
        <f>IF(管理者入力シート!$B$14=1,DA9*管理者用人口入力シート!AV$3,IF(管理者入力シート!$B$14=2,DA9*管理者用人口入力シート!AV$7))+将来予測シート②!$G27</f>
        <v>220.11568889563833</v>
      </c>
      <c r="DC12" s="9">
        <f>IF(管理者入力シート!$B$14=1,DB9*管理者用人口入力シート!AW$3,IF(管理者入力シート!$B$14=2,DB9*管理者用人口入力シート!AW$7))+将来予測シート②!$G28</f>
        <v>237.20746291782268</v>
      </c>
      <c r="DD12" s="9">
        <f>IF(管理者入力シート!$B$14=1,DC9*管理者用人口入力シート!AX$3,IF(管理者入力シート!$B$14=2,DC9*管理者用人口入力シート!AX$7))+将来予測シート②!$G29</f>
        <v>304.08419747113572</v>
      </c>
      <c r="DE12" s="9">
        <f>IF(管理者入力シート!$B$14=1,DD9*管理者用人口入力シート!AY$3,IF(管理者入力シート!$B$14=2,DD9*管理者用人口入力シート!AY$7))</f>
        <v>277.47845677067045</v>
      </c>
      <c r="DF12" s="9">
        <f>IF(管理者入力シート!$B$14=1,DE9*管理者用人口入力シート!AZ$3,IF(管理者入力シート!$B$14=2,DE9*管理者用人口入力シート!AZ$7))</f>
        <v>226.30117961959058</v>
      </c>
      <c r="DG12" s="9">
        <f>IF(管理者入力シート!$B$14=1,DF9*管理者用人口入力シート!BA$3,IF(管理者入力シート!$B$14=2,DF9*管理者用人口入力シート!BA$7))</f>
        <v>215.81219928741575</v>
      </c>
      <c r="DH12" s="9">
        <f>IF(管理者入力シート!$B$14=1,DG9*管理者用人口入力シート!BB$3,IF(管理者入力シート!$B$14=2,DG9*管理者用人口入力シート!BB$7))</f>
        <v>178.20551694344496</v>
      </c>
      <c r="DI12" s="9">
        <f>IF(管理者入力シート!$B$14=1,DH9*管理者用人口入力シート!BC$3,IF(管理者入力シート!$B$14=2,DH9*管理者用人口入力シート!BC$7))</f>
        <v>140.6567227730952</v>
      </c>
      <c r="DJ12" s="9">
        <f>IF(管理者入力シート!$B$14=1,DI9*管理者用人口入力シート!BD$3,IF(管理者入力シート!$B$14=2,DI9*管理者用人口入力シート!BD$7))</f>
        <v>83.57976544287915</v>
      </c>
      <c r="DK12" s="9">
        <f>IF(管理者入力シート!$B$14=1,DJ9*管理者用人口入力シート!BE$3,IF(管理者入力シート!$B$14=2,DJ9*管理者用人口入力シート!BE$7))</f>
        <v>13.285323512704078</v>
      </c>
      <c r="DL12" s="9">
        <f>IF(管理者入力シート!$B$14=1,DK9*管理者用人口入力シート!BF$3,IF(管理者入力シート!$B$14=2,DK9*管理者用人口入力シート!BF$7))</f>
        <v>1.0222435648109277E-2</v>
      </c>
      <c r="DM12" s="9">
        <f t="shared" si="69"/>
        <v>3554.6737309629139</v>
      </c>
      <c r="DN12" s="9">
        <f t="shared" si="34"/>
        <v>170.44528861513555</v>
      </c>
      <c r="DO12" s="9">
        <f t="shared" si="35"/>
        <v>88.969873370412515</v>
      </c>
      <c r="DP12" s="9">
        <f t="shared" si="6"/>
        <v>1135.3293867854482</v>
      </c>
      <c r="DQ12" s="9">
        <f t="shared" si="36"/>
        <v>631.54975039518729</v>
      </c>
      <c r="DR12" s="13">
        <f t="shared" si="37"/>
        <v>0.31939060310829215</v>
      </c>
      <c r="DS12" s="13">
        <f t="shared" si="38"/>
        <v>0.17766743116086461</v>
      </c>
      <c r="DT12" s="9">
        <f t="shared" si="70"/>
        <v>689.01837805801711</v>
      </c>
      <c r="DV12" s="212"/>
      <c r="DX12" s="28">
        <f>管理者入力シート!B11</f>
        <v>2040</v>
      </c>
      <c r="DY12" s="3" t="s">
        <v>21</v>
      </c>
      <c r="DZ12" s="9">
        <f>FB13*$AK$13</f>
        <v>234.82665225308605</v>
      </c>
      <c r="EA12" s="129">
        <f>IF(管理者入力シート!$B$14=1,DZ9*管理者用人口入力シート!AM$3,IF(管理者入力シート!$B$14=2,DZ9*管理者用人口入力シート!AM$7))</f>
        <v>246.61729842525003</v>
      </c>
      <c r="EB12" s="9">
        <f>IF(管理者入力シート!$B$14=1,EA9*管理者用人口入力シート!AN$3,IF(管理者入力シート!$B$14=2,EA9*管理者用人口入力シート!AN$7))</f>
        <v>230.9522877093064</v>
      </c>
      <c r="EC12" s="9">
        <f>IF(管理者入力シート!$B$14=1,EB9*管理者用人口入力シート!AO$3,IF(管理者入力シート!$B$14=2,EB9*管理者用人口入力シート!AO$7))</f>
        <v>153.81287090478557</v>
      </c>
      <c r="ED12" s="9">
        <f>IF(管理者入力シート!$B$14=1,EC9*管理者用人口入力シート!AP$3,IF(管理者入力シート!$B$14=2,EC9*管理者用人口入力シート!AP$7))</f>
        <v>146.84872495477242</v>
      </c>
      <c r="EE12" s="9">
        <f>IF(管理者入力シート!$B$14=1,ED9*管理者用人口入力シート!AQ$3,IF(管理者入力シート!$B$14=2,ED9*管理者用人口入力シート!AQ$7))+DX1</f>
        <v>258.61283805695689</v>
      </c>
      <c r="EF12" s="9">
        <f>IF(管理者入力シート!$B$14=1,EE9*管理者用人口入力シート!AR$3,IF(管理者入力シート!$B$14=2,EE9*管理者用人口入力シート!AR$7))+DX1</f>
        <v>338.83798109294401</v>
      </c>
      <c r="EG12" s="9">
        <f>IF(管理者入力シート!$B$14=1,EF9*管理者用人口入力シート!AS$3,IF(管理者入力シート!$B$14=2,EF9*管理者用人口入力シート!AS$7))+DX1</f>
        <v>423.09622742677317</v>
      </c>
      <c r="EH12" s="9">
        <f>IF(管理者入力シート!$B$14=1,EG9*管理者用人口入力シート!AT$3,IF(管理者入力シート!$B$14=2,EG9*管理者用人口入力シート!AT$7))</f>
        <v>438.9069418510266</v>
      </c>
      <c r="EI12" s="9">
        <f>IF(管理者入力シート!$B$14=1,EH9*管理者用人口入力シート!AU$3,IF(管理者入力シート!$B$14=2,EH9*管理者用人口入力シート!AU$7))</f>
        <v>347.80870157875012</v>
      </c>
      <c r="EJ12" s="9">
        <f>IF(管理者入力シート!$B$14=1,EI9*管理者用人口入力シート!AV$3,IF(管理者入力シート!$B$14=2,EI9*管理者用人口入力シート!AV$7))</f>
        <v>293.64666866533815</v>
      </c>
      <c r="EK12" s="9">
        <f>IF(管理者入力シート!$B$14=1,EJ9*管理者用人口入力シート!AW$3,IF(管理者入力シート!$B$14=2,EJ9*管理者用人口入力シート!AW$7))</f>
        <v>237.20746291782268</v>
      </c>
      <c r="EL12" s="9">
        <f>IF(管理者入力シート!$B$14=1,EK9*管理者用人口入力シート!AX$3,IF(管理者入力シート!$B$14=2,EK9*管理者用人口入力シート!AX$7))</f>
        <v>304.08419747113572</v>
      </c>
      <c r="EM12" s="9">
        <f>IF(管理者入力シート!$B$14=1,EL9*管理者用人口入力シート!AY$3,IF(管理者入力シート!$B$14=2,EL9*管理者用人口入力シート!AY$7))</f>
        <v>277.47845677067045</v>
      </c>
      <c r="EN12" s="9">
        <f>IF(管理者入力シート!$B$14=1,EM9*管理者用人口入力シート!AZ$3,IF(管理者入力シート!$B$14=2,EM9*管理者用人口入力シート!AZ$7))</f>
        <v>226.30117961959058</v>
      </c>
      <c r="EO12" s="9">
        <f>IF(管理者入力シート!$B$14=1,EN9*管理者用人口入力シート!BA$3,IF(管理者入力シート!$B$14=2,EN9*管理者用人口入力シート!BA$7))</f>
        <v>215.81219928741575</v>
      </c>
      <c r="EP12" s="9">
        <f>IF(管理者入力シート!$B$14=1,EO9*管理者用人口入力シート!BB$3,IF(管理者入力シート!$B$14=2,EO9*管理者用人口入力シート!BB$7))</f>
        <v>178.20551694344496</v>
      </c>
      <c r="EQ12" s="9">
        <f>IF(管理者入力シート!$B$14=1,EP9*管理者用人口入力シート!BC$3,IF(管理者入力シート!$B$14=2,EP9*管理者用人口入力シート!BC$7))</f>
        <v>140.6567227730952</v>
      </c>
      <c r="ER12" s="9">
        <f>IF(管理者入力シート!$B$14=1,EQ9*管理者用人口入力シート!BD$3,IF(管理者入力シート!$B$14=2,EQ9*管理者用人口入力シート!BD$7))</f>
        <v>83.57976544287915</v>
      </c>
      <c r="ES12" s="9">
        <f>IF(管理者入力シート!$B$14=1,ER9*管理者用人口入力シート!BE$3,IF(管理者入力シート!$B$14=2,ER9*管理者用人口入力シート!BE$7))</f>
        <v>13.285323512704078</v>
      </c>
      <c r="ET12" s="9">
        <f>IF(管理者入力シート!$B$14=1,ES9*管理者用人口入力シート!BF$3,IF(管理者入力シート!$B$14=2,ES9*管理者用人口入力シート!BF$7))</f>
        <v>1.0222435648109277E-2</v>
      </c>
      <c r="EU12" s="9">
        <f t="shared" si="71"/>
        <v>4790.5882400933951</v>
      </c>
      <c r="EV12" s="9">
        <f t="shared" si="41"/>
        <v>286.54175168073385</v>
      </c>
      <c r="EW12" s="9">
        <f t="shared" si="42"/>
        <v>123.14348926467967</v>
      </c>
      <c r="EX12" s="9">
        <f t="shared" si="10"/>
        <v>1135.3293867854482</v>
      </c>
      <c r="EY12" s="9">
        <f t="shared" si="43"/>
        <v>631.54975039518729</v>
      </c>
      <c r="EZ12" s="13">
        <f t="shared" si="44"/>
        <v>0.23699164484303795</v>
      </c>
      <c r="FA12" s="13">
        <f t="shared" si="45"/>
        <v>0.13183135739148286</v>
      </c>
      <c r="FB12" s="9">
        <f t="shared" si="72"/>
        <v>1167.3957715314464</v>
      </c>
    </row>
    <row r="13" spans="1:158" x14ac:dyDescent="0.15">
      <c r="A13" s="7" t="str">
        <f t="shared" si="11"/>
        <v>2020_2</v>
      </c>
      <c r="B13" s="29">
        <v>2020</v>
      </c>
      <c r="C13" s="4" t="s">
        <v>22</v>
      </c>
      <c r="D13" s="10">
        <v>176.65731815792947</v>
      </c>
      <c r="E13" s="10">
        <v>211.61373577191054</v>
      </c>
      <c r="F13" s="10">
        <v>220.82332575622715</v>
      </c>
      <c r="G13" s="10">
        <v>200.97997036097971</v>
      </c>
      <c r="H13" s="10">
        <v>167.73324830260404</v>
      </c>
      <c r="I13" s="10">
        <v>186.82871119074372</v>
      </c>
      <c r="J13" s="10">
        <v>233.01431101051412</v>
      </c>
      <c r="K13" s="10">
        <v>276.98148418580683</v>
      </c>
      <c r="L13" s="10">
        <v>317.25132787744383</v>
      </c>
      <c r="M13" s="10">
        <v>318.48606632270605</v>
      </c>
      <c r="N13" s="10">
        <v>303.24462051444931</v>
      </c>
      <c r="O13" s="10">
        <v>281.89241749691109</v>
      </c>
      <c r="P13" s="10">
        <v>337.13348698366252</v>
      </c>
      <c r="Q13" s="10">
        <v>392.42017884903407</v>
      </c>
      <c r="R13" s="10">
        <v>434.29276913208588</v>
      </c>
      <c r="S13" s="10">
        <v>322.21072087714248</v>
      </c>
      <c r="T13" s="10">
        <v>265.97266154532082</v>
      </c>
      <c r="U13" s="10">
        <v>211.9068607494001</v>
      </c>
      <c r="V13" s="10">
        <v>123.41051143639578</v>
      </c>
      <c r="W13" s="10">
        <v>28.139353063507514</v>
      </c>
      <c r="X13" s="10">
        <v>5.0069204152249132</v>
      </c>
      <c r="Y13" s="10">
        <f t="shared" si="177"/>
        <v>5016</v>
      </c>
      <c r="Z13" s="10">
        <f t="shared" ref="Z13:Z14" si="179">E13*3/5+F13*3/5</f>
        <v>259.4622369168826</v>
      </c>
      <c r="AA13" s="10">
        <f t="shared" ref="AA13:AA14" si="180">F13*2/5+G13*1/5</f>
        <v>128.52532437468682</v>
      </c>
      <c r="AB13" s="10">
        <f t="shared" si="178"/>
        <v>1783.3599760681113</v>
      </c>
      <c r="AC13" s="10">
        <f t="shared" ref="AC13:AC14" si="181">SUM(S13:X13)</f>
        <v>956.64702808699178</v>
      </c>
      <c r="AD13" s="14">
        <f t="shared" ref="AD13:AD14" si="182">AB13/Y13</f>
        <v>0.3555342855000222</v>
      </c>
      <c r="AE13" s="14">
        <f t="shared" ref="AE13:AE14" si="183">AC13/Y13</f>
        <v>0.1907191044830526</v>
      </c>
      <c r="AF13" s="10">
        <f t="shared" ref="AF13:AF14" si="184">SUM(H13:K13)</f>
        <v>864.55775468966874</v>
      </c>
      <c r="AI13" s="60" t="s">
        <v>47</v>
      </c>
      <c r="AJ13" s="1" t="s">
        <v>21</v>
      </c>
      <c r="AK13" s="8">
        <f>VLOOKUP(AK12&amp;"_1",A:D,4,FALSE)/VLOOKUP(AK12&amp;"_2",A:AF,32,FALSE)</f>
        <v>0.226783608974574</v>
      </c>
      <c r="AL13" s="63"/>
      <c r="BH13" s="7" t="str">
        <f t="shared" si="19"/>
        <v>2040_2</v>
      </c>
      <c r="BI13" s="29">
        <f>BI12</f>
        <v>2040</v>
      </c>
      <c r="BJ13" s="4" t="s">
        <v>22</v>
      </c>
      <c r="BK13" s="10">
        <f>CM13*$AK$14</f>
        <v>112.77758165000017</v>
      </c>
      <c r="BL13" s="10">
        <f>IF(管理者入力シート!$B$14=1,BK10*管理者用人口入力シート!AM$4,IF(管理者入力シート!$B$14=2,BK10*管理者用人口入力シート!AM$8))</f>
        <v>113.1924548104999</v>
      </c>
      <c r="BM13" s="10">
        <f>IF(管理者入力シート!$B$14=1,BL10*管理者用人口入力シート!AN$4,IF(管理者入力シート!$B$14=2,BL10*管理者用人口入力シート!AN$8))</f>
        <v>120.63835455688644</v>
      </c>
      <c r="BN13" s="10">
        <f>IF(管理者入力シート!$B$14=1,BM10*管理者用人口入力シート!AO$4,IF(管理者入力シート!$B$14=2,BM10*管理者用人口入力シート!AO$8))</f>
        <v>131.4464954865318</v>
      </c>
      <c r="BO13" s="10">
        <f>IF(管理者入力シート!$B$14=1,BN10*管理者用人口入力シート!AP$4,IF(管理者入力シート!$B$14=2,BN10*管理者用人口入力シート!AP$8))</f>
        <v>115.09877499832727</v>
      </c>
      <c r="BP13" s="10">
        <f>IF(管理者入力シート!$B$14=1,BO10*管理者用人口入力シート!AQ$4,IF(管理者入力シート!$B$14=2,BO10*管理者用人口入力シート!AQ$8))</f>
        <v>148.00980732444634</v>
      </c>
      <c r="BQ13" s="10">
        <f>IF(管理者入力シート!$B$14=1,BP10*管理者用人口入力シート!AR$4,IF(管理者入力シート!$B$14=2,BP10*管理者用人口入力シート!AR$8))</f>
        <v>144.28632615404365</v>
      </c>
      <c r="BR13" s="10">
        <f>IF(管理者入力シート!$B$14=1,BQ10*管理者用人口入力シート!AS$4,IF(管理者入力シート!$B$14=2,BQ10*管理者用人口入力シート!AS$8))</f>
        <v>144.53655854278679</v>
      </c>
      <c r="BS13" s="10">
        <f>IF(管理者入力シート!$B$14=1,BR10*管理者用人口入力シート!AT$4,IF(管理者入力シート!$B$14=2,BR10*管理者用人口入力シート!AT$8))</f>
        <v>149.83485657404884</v>
      </c>
      <c r="BT13" s="10">
        <f>IF(管理者入力シート!$B$14=1,BS10*管理者用人口入力シート!AU$4,IF(管理者入力シート!$B$14=2,BS10*管理者用人口入力シート!AU$8))</f>
        <v>173.56999351220981</v>
      </c>
      <c r="BU13" s="10">
        <f>IF(管理者入力シート!$B$14=1,BT10*管理者用人口入力シート!AV$4,IF(管理者入力シート!$B$14=2,BT10*管理者用人口入力シート!AV$8))</f>
        <v>230.95734673145947</v>
      </c>
      <c r="BV13" s="10">
        <f>IF(管理者入力シート!$B$14=1,BU10*管理者用人口入力シート!AW$4,IF(管理者入力シート!$B$14=2,BU10*管理者用人口入力シート!AW$8))</f>
        <v>252.96295053213828</v>
      </c>
      <c r="BW13" s="10">
        <f>IF(管理者入力シート!$B$14=1,BV10*管理者用人口入力シート!AX$4,IF(管理者入力シート!$B$14=2,BV10*管理者用人口入力シート!AX$8))</f>
        <v>314.64256191366115</v>
      </c>
      <c r="BX13" s="10">
        <f>IF(管理者入力シート!$B$14=1,BW10*管理者用人口入力シート!AY$4,IF(管理者入力シート!$B$14=2,BW10*管理者用人口入力シート!AY$8))</f>
        <v>308.46577491631166</v>
      </c>
      <c r="BY13" s="10">
        <f>IF(管理者入力シート!$B$14=1,BX10*管理者用人口入力シート!AZ$4,IF(管理者入力シート!$B$14=2,BX10*管理者用人口入力シート!AZ$8))</f>
        <v>277.45167236495655</v>
      </c>
      <c r="BZ13" s="10">
        <f>IF(管理者入力シート!$B$14=1,BY10*管理者用人口入力シート!BA$4,IF(管理者入力シート!$B$14=2,BY10*管理者用人口入力シート!BA$8))</f>
        <v>249.16986332047097</v>
      </c>
      <c r="CA13" s="10">
        <f>IF(管理者入力シート!$B$14=1,BZ10*管理者用人口入力シート!BB$4,IF(管理者入力シート!$B$14=2,BZ10*管理者用人口入力シート!BB$8))</f>
        <v>262.11694262505762</v>
      </c>
      <c r="CB13" s="10">
        <f>IF(管理者入力シート!$B$14=1,CA10*管理者用人口入力シート!BC$4,IF(管理者入力シート!$B$14=2,CA10*管理者用人口入力シート!BC$8))</f>
        <v>232.88753123665441</v>
      </c>
      <c r="CC13" s="10">
        <f>IF(管理者入力シート!$B$14=1,CB10*管理者用人口入力シート!BD$4,IF(管理者入力シート!$B$14=2,CB10*管理者用人口入力シート!BD$8))</f>
        <v>164.97672441337613</v>
      </c>
      <c r="CD13" s="10">
        <f>IF(管理者入力シート!$B$14=1,CC10*管理者用人口入力シート!BE$4,IF(管理者入力シート!$B$14=2,CC10*管理者用人口入力シート!BE$8))</f>
        <v>39.519872561683961</v>
      </c>
      <c r="CE13" s="10">
        <f>IF(管理者入力シート!$B$14=1,CD10*管理者用人口入力シート!BF$4,IF(管理者入力シート!$B$14=2,CD10*管理者用人口入力シート!BF$8))</f>
        <v>8.7452819113488207</v>
      </c>
      <c r="CF13" s="10">
        <f t="shared" si="2"/>
        <v>3695.2877261368994</v>
      </c>
      <c r="CG13" s="10">
        <f t="shared" si="20"/>
        <v>140.29848562043179</v>
      </c>
      <c r="CH13" s="10">
        <f t="shared" si="21"/>
        <v>74.544640920060942</v>
      </c>
      <c r="CI13" s="10">
        <f t="shared" si="3"/>
        <v>1543.3336633498604</v>
      </c>
      <c r="CJ13" s="10">
        <f t="shared" si="22"/>
        <v>957.41621606859201</v>
      </c>
      <c r="CK13" s="14">
        <f t="shared" si="23"/>
        <v>0.41764911902091073</v>
      </c>
      <c r="CL13" s="14">
        <f t="shared" si="24"/>
        <v>0.25909111469094914</v>
      </c>
      <c r="CM13" s="10">
        <f t="shared" si="25"/>
        <v>551.93146701960404</v>
      </c>
      <c r="CO13" s="7" t="str">
        <f t="shared" si="26"/>
        <v>2040_2</v>
      </c>
      <c r="CP13" s="29">
        <f>CP12</f>
        <v>2040</v>
      </c>
      <c r="CQ13" s="4" t="s">
        <v>22</v>
      </c>
      <c r="CR13" s="10">
        <f>DT13*$AK$14+将来予測シート②!$H17</f>
        <v>115.25835685957099</v>
      </c>
      <c r="CS13" s="10">
        <f>IF(管理者入力シート!$B$14=1,CR10*管理者用人口入力シート!AM$4,IF(管理者入力シート!$B$14=2,CR10*管理者用人口入力シート!AM$8))+将来予測シート②!$H18</f>
        <v>115.33563363299811</v>
      </c>
      <c r="CT13" s="10">
        <f>IF(管理者入力シート!$B$14=1,CS10*管理者用人口入力シート!AN$4,IF(管理者入力シート!$B$14=2,CS10*管理者用人口入力シート!AN$8))+将来予測シート②!$H19</f>
        <v>123.28657739747545</v>
      </c>
      <c r="CU13" s="10">
        <f>IF(管理者入力シート!$B$14=1,CT10*管理者用人口入力シート!AO$4,IF(管理者入力シート!$B$14=2,CT10*管理者用人口入力シート!AO$8))+将来予測シート②!$H20</f>
        <v>133.27578326307633</v>
      </c>
      <c r="CV13" s="10">
        <f>IF(管理者入力シート!$B$14=1,CU10*管理者用人口入力シート!AP$4,IF(管理者入力シート!$B$14=2,CU10*管理者用人口入力シート!AP$8))+将来予測シート②!$H21</f>
        <v>115.80707671112545</v>
      </c>
      <c r="CW13" s="10">
        <f>IF(管理者入力シート!$B$14=1,CV10*管理者用人口入力シート!AQ$4,IF(管理者入力シート!$B$14=2,CV10*管理者用人口入力シート!AQ$8))+将来予測シート②!$H22</f>
        <v>150.70670645886648</v>
      </c>
      <c r="CX13" s="10">
        <f>IF(管理者入力シート!$B$14=1,CW10*管理者用人口入力シート!AR$4,IF(管理者入力シート!$B$14=2,CW10*管理者用人口入力シート!AR$8))+将来予測シート②!$H23</f>
        <v>146.16149465722719</v>
      </c>
      <c r="CY13" s="10">
        <f>IF(管理者入力シート!$B$14=1,CX10*管理者用人口入力シート!AS$4,IF(管理者入力シート!$B$14=2,CX10*管理者用人口入力シート!AS$8))+将来予測シート②!$H24</f>
        <v>146.50307657715877</v>
      </c>
      <c r="CZ13" s="10">
        <f>IF(管理者入力シート!$B$14=1,CY10*管理者用人口入力シート!AT$4,IF(管理者入力シート!$B$14=2,CY10*管理者用人口入力シート!AT$8))+将来予測シート②!$H25</f>
        <v>152.65067350608172</v>
      </c>
      <c r="DA13" s="10">
        <f>IF(管理者入力シート!$B$14=1,CZ10*管理者用人口入力シート!AU$4,IF(管理者入力シート!$B$14=2,CZ10*管理者用人口入力シート!AU$8))+将来予測シート②!$H26</f>
        <v>174.59326050047986</v>
      </c>
      <c r="DB13" s="10">
        <f>IF(管理者入力シート!$B$14=1,DA10*管理者用人口入力シート!AV$4,IF(管理者入力シート!$B$14=2,DA10*管理者用人口入力シート!AV$8))+将来予測シート②!$H27</f>
        <v>231.98091644016768</v>
      </c>
      <c r="DC13" s="10">
        <f>IF(管理者入力シート!$B$14=1,DB10*管理者用人口入力シート!AW$4,IF(管理者入力シート!$B$14=2,DB10*管理者用人口入力シート!AW$8))+将来予測シート②!$H28</f>
        <v>253.9520319715505</v>
      </c>
      <c r="DD13" s="10">
        <f>IF(管理者入力シート!$B$14=1,DC10*管理者用人口入力シート!AX$4,IF(管理者入力シート!$B$14=2,DC10*管理者用人口入力シート!AX$8))+将来予測シート②!$H29</f>
        <v>314.64256191366115</v>
      </c>
      <c r="DE13" s="10">
        <f>IF(管理者入力シート!$B$14=1,DD10*管理者用人口入力シート!AY$4,IF(管理者入力シート!$B$14=2,DD10*管理者用人口入力シート!AY$8))</f>
        <v>308.46577491631166</v>
      </c>
      <c r="DF13" s="10">
        <f>IF(管理者入力シート!$B$14=1,DE10*管理者用人口入力シート!AZ$4,IF(管理者入力シート!$B$14=2,DE10*管理者用人口入力シート!AZ$8))</f>
        <v>277.45167236495655</v>
      </c>
      <c r="DG13" s="10">
        <f>IF(管理者入力シート!$B$14=1,DF10*管理者用人口入力シート!BA$4,IF(管理者入力シート!$B$14=2,DF10*管理者用人口入力シート!BA$8))</f>
        <v>249.16986332047097</v>
      </c>
      <c r="DH13" s="10">
        <f>IF(管理者入力シート!$B$14=1,DG10*管理者用人口入力シート!BB$4,IF(管理者入力シート!$B$14=2,DG10*管理者用人口入力シート!BB$8))</f>
        <v>262.11694262505762</v>
      </c>
      <c r="DI13" s="10">
        <f>IF(管理者入力シート!$B$14=1,DH10*管理者用人口入力シート!BC$4,IF(管理者入力シート!$B$14=2,DH10*管理者用人口入力シート!BC$8))</f>
        <v>232.88753123665441</v>
      </c>
      <c r="DJ13" s="10">
        <f>IF(管理者入力シート!$B$14=1,DI10*管理者用人口入力シート!BD$4,IF(管理者入力シート!$B$14=2,DI10*管理者用人口入力シート!BD$8))</f>
        <v>164.97672441337613</v>
      </c>
      <c r="DK13" s="10">
        <f>IF(管理者入力シート!$B$14=1,DJ10*管理者用人口入力シート!BE$4,IF(管理者入力シート!$B$14=2,DJ10*管理者用人口入力シート!BE$8))</f>
        <v>39.519872561683961</v>
      </c>
      <c r="DL13" s="10">
        <f>IF(管理者入力シート!$B$14=1,DK10*管理者用人口入力シート!BF$4,IF(管理者入力シート!$B$14=2,DK10*管理者用人口入力シート!BF$8))</f>
        <v>8.7452819113488207</v>
      </c>
      <c r="DM13" s="10">
        <f t="shared" si="69"/>
        <v>3717.4878132392996</v>
      </c>
      <c r="DN13" s="10">
        <f t="shared" si="34"/>
        <v>143.17332661828414</v>
      </c>
      <c r="DO13" s="10">
        <f t="shared" si="35"/>
        <v>75.969787611605454</v>
      </c>
      <c r="DP13" s="10">
        <f t="shared" si="6"/>
        <v>1543.3336633498604</v>
      </c>
      <c r="DQ13" s="10">
        <f t="shared" si="36"/>
        <v>957.41621606859201</v>
      </c>
      <c r="DR13" s="14">
        <f t="shared" si="37"/>
        <v>0.41515500275575862</v>
      </c>
      <c r="DS13" s="14">
        <f t="shared" si="38"/>
        <v>0.25754387483366897</v>
      </c>
      <c r="DT13" s="10">
        <f t="shared" si="70"/>
        <v>559.17835440437784</v>
      </c>
      <c r="DV13" s="62"/>
      <c r="DX13" s="29">
        <f>DX12</f>
        <v>2040</v>
      </c>
      <c r="DY13" s="4" t="s">
        <v>22</v>
      </c>
      <c r="DZ13" s="10">
        <f>FB13*$AK$14</f>
        <v>211.57938333643506</v>
      </c>
      <c r="EA13" s="10">
        <f>IF(管理者入力シート!$B$14=1,DZ10*管理者用人口入力シート!AM$4,IF(管理者入力シート!$B$14=2,DZ10*管理者用人口入力シート!AM$8))</f>
        <v>203.74672327678252</v>
      </c>
      <c r="EB13" s="10">
        <f>IF(管理者入力シート!$B$14=1,EA10*管理者用人口入力シート!AN$4,IF(管理者入力シート!$B$14=2,EA10*管理者用人口入力シート!AN$8))</f>
        <v>196.55233946300334</v>
      </c>
      <c r="EC13" s="10">
        <f>IF(管理者入力シート!$B$14=1,EB10*管理者用人口入力シート!AO$4,IF(管理者入力シート!$B$14=2,EB10*管理者用人口入力シート!AO$8))</f>
        <v>131.4464954865318</v>
      </c>
      <c r="ED13" s="10">
        <f>IF(管理者入力シート!$B$14=1,EC10*管理者用人口入力シート!AP$4,IF(管理者入力シート!$B$14=2,EC10*管理者用人口入力シート!AP$8))</f>
        <v>115.09877499832727</v>
      </c>
      <c r="EE13" s="10">
        <f>IF(管理者入力シート!$B$14=1,ED10*管理者用人口入力シート!AQ$4,IF(管理者入力シート!$B$14=2,ED10*管理者用人口入力シート!AQ$8))+DX1</f>
        <v>229.00980732444634</v>
      </c>
      <c r="EF13" s="10">
        <f>IF(管理者入力シート!$B$14=1,EE10*管理者用人口入力シート!AR$4,IF(管理者入力シート!$B$14=2,EE10*管理者用人口入力シート!AR$8))+DX1</f>
        <v>301.23065053297768</v>
      </c>
      <c r="EG13" s="10">
        <f>IF(管理者入力シート!$B$14=1,EF10*管理者用人口入力シート!AS$4,IF(管理者入力シート!$B$14=2,EF10*管理者用人口入力シート!AS$8))+DX1</f>
        <v>390.12648406655859</v>
      </c>
      <c r="EH13" s="10">
        <f>IF(管理者入力シート!$B$14=1,EG10*管理者用人口入力シート!AT$4,IF(管理者入力シート!$B$14=2,EG10*管理者用人口入力シート!AT$8))</f>
        <v>376.60437371461785</v>
      </c>
      <c r="EI13" s="10">
        <f>IF(管理者入力シート!$B$14=1,EH10*管理者用人口入力シート!AU$4,IF(管理者入力シート!$B$14=2,EH10*管理者用人口入力シート!AU$8))</f>
        <v>330.36410065480402</v>
      </c>
      <c r="EJ13" s="10">
        <f>IF(管理者入力シート!$B$14=1,EI10*管理者用人口入力シート!AV$4,IF(管理者入力シート!$B$14=2,EI10*管理者用人口入力シート!AV$8))</f>
        <v>307.51287748779663</v>
      </c>
      <c r="EK13" s="10">
        <f>IF(管理者入力シート!$B$14=1,EJ10*管理者用人口入力シート!AW$4,IF(管理者入力シート!$B$14=2,EJ10*管理者用人口入力シート!AW$8))</f>
        <v>252.96295053213828</v>
      </c>
      <c r="EL13" s="10">
        <f>IF(管理者入力シート!$B$14=1,EK10*管理者用人口入力シート!AX$4,IF(管理者入力シート!$B$14=2,EK10*管理者用人口入力シート!AX$8))</f>
        <v>314.64256191366115</v>
      </c>
      <c r="EM13" s="10">
        <f>IF(管理者入力シート!$B$14=1,EL10*管理者用人口入力シート!AY$4,IF(管理者入力シート!$B$14=2,EL10*管理者用人口入力シート!AY$8))</f>
        <v>308.46577491631166</v>
      </c>
      <c r="EN13" s="10">
        <f>IF(管理者入力シート!$B$14=1,EM10*管理者用人口入力シート!AZ$4,IF(管理者入力シート!$B$14=2,EM10*管理者用人口入力シート!AZ$8))</f>
        <v>277.45167236495655</v>
      </c>
      <c r="EO13" s="10">
        <f>IF(管理者入力シート!$B$14=1,EN10*管理者用人口入力シート!BA$4,IF(管理者入力シート!$B$14=2,EN10*管理者用人口入力シート!BA$8))</f>
        <v>249.16986332047097</v>
      </c>
      <c r="EP13" s="10">
        <f>IF(管理者入力シート!$B$14=1,EO10*管理者用人口入力シート!BB$4,IF(管理者入力シート!$B$14=2,EO10*管理者用人口入力シート!BB$8))</f>
        <v>262.11694262505762</v>
      </c>
      <c r="EQ13" s="10">
        <f>IF(管理者入力シート!$B$14=1,EP10*管理者用人口入力シート!BC$4,IF(管理者入力シート!$B$14=2,EP10*管理者用人口入力シート!BC$8))</f>
        <v>232.88753123665441</v>
      </c>
      <c r="ER13" s="10">
        <f>IF(管理者入力シート!$B$14=1,EQ10*管理者用人口入力シート!BD$4,IF(管理者入力シート!$B$14=2,EQ10*管理者用人口入力シート!BD$8))</f>
        <v>164.97672441337613</v>
      </c>
      <c r="ES13" s="10">
        <f>IF(管理者入力シート!$B$14=1,ER10*管理者用人口入力シート!BE$4,IF(管理者入力シート!$B$14=2,ER10*管理者用人口入力シート!BE$8))</f>
        <v>39.519872561683961</v>
      </c>
      <c r="ET13" s="10">
        <f>IF(管理者入力シート!$B$14=1,ES10*管理者用人口入力シート!BF$4,IF(管理者入力シート!$B$14=2,ES10*管理者用人口入力シート!BF$8))</f>
        <v>8.7452819113488207</v>
      </c>
      <c r="EU13" s="10">
        <f t="shared" si="71"/>
        <v>4904.2111861379417</v>
      </c>
      <c r="EV13" s="10">
        <f t="shared" si="41"/>
        <v>240.17943764387149</v>
      </c>
      <c r="EW13" s="10">
        <f t="shared" si="42"/>
        <v>104.91023488250769</v>
      </c>
      <c r="EX13" s="10">
        <f t="shared" si="10"/>
        <v>1543.3336633498604</v>
      </c>
      <c r="EY13" s="10">
        <f t="shared" si="43"/>
        <v>957.41621606859201</v>
      </c>
      <c r="EZ13" s="14">
        <f t="shared" si="44"/>
        <v>0.31469559624842197</v>
      </c>
      <c r="FA13" s="14">
        <f t="shared" si="45"/>
        <v>0.19522328458749666</v>
      </c>
      <c r="FB13" s="10">
        <f t="shared" si="72"/>
        <v>1035.4657169223099</v>
      </c>
    </row>
    <row r="14" spans="1:158" x14ac:dyDescent="0.15">
      <c r="A14" s="7" t="str">
        <f t="shared" si="11"/>
        <v>2020_3</v>
      </c>
      <c r="B14" s="30">
        <v>2020</v>
      </c>
      <c r="C14" s="5" t="s">
        <v>23</v>
      </c>
      <c r="D14" s="11">
        <v>372.72484593340698</v>
      </c>
      <c r="E14" s="11">
        <v>438.15007860327927</v>
      </c>
      <c r="F14" s="11">
        <v>447.1674686190928</v>
      </c>
      <c r="G14" s="11">
        <v>411.67851153913364</v>
      </c>
      <c r="H14" s="11">
        <v>368.66033648932284</v>
      </c>
      <c r="I14" s="11">
        <v>399.70250864727984</v>
      </c>
      <c r="J14" s="11">
        <v>470.77875512512992</v>
      </c>
      <c r="K14" s="11">
        <v>544.65050028715768</v>
      </c>
      <c r="L14" s="11">
        <v>652.47525551535591</v>
      </c>
      <c r="M14" s="11">
        <v>621.15549307913489</v>
      </c>
      <c r="N14" s="11">
        <v>562.4429090251931</v>
      </c>
      <c r="O14" s="11">
        <v>557.38521739866428</v>
      </c>
      <c r="P14" s="11">
        <v>640.64170068444969</v>
      </c>
      <c r="Q14" s="11">
        <v>756.0730731887013</v>
      </c>
      <c r="R14" s="11">
        <v>818.83908202557745</v>
      </c>
      <c r="S14" s="11">
        <v>594.49249055340863</v>
      </c>
      <c r="T14" s="11">
        <v>421.15274404795844</v>
      </c>
      <c r="U14" s="11">
        <v>342.61878264808274</v>
      </c>
      <c r="V14" s="11">
        <v>166.95327128055916</v>
      </c>
      <c r="W14" s="11">
        <v>35.250054893886471</v>
      </c>
      <c r="X14" s="11">
        <v>5.0069204152249132</v>
      </c>
      <c r="Y14" s="11">
        <f t="shared" si="177"/>
        <v>9627.9999999999982</v>
      </c>
      <c r="Z14" s="11">
        <f t="shared" si="179"/>
        <v>531.19052833342334</v>
      </c>
      <c r="AA14" s="11">
        <f t="shared" si="180"/>
        <v>261.20268975546384</v>
      </c>
      <c r="AB14" s="11">
        <f t="shared" si="178"/>
        <v>3140.3864190533991</v>
      </c>
      <c r="AC14" s="11">
        <f t="shared" si="181"/>
        <v>1565.4742638391203</v>
      </c>
      <c r="AD14" s="15">
        <f t="shared" si="182"/>
        <v>0.32617224959009139</v>
      </c>
      <c r="AE14" s="15">
        <f t="shared" si="183"/>
        <v>0.16259599749056092</v>
      </c>
      <c r="AF14" s="11">
        <f t="shared" si="184"/>
        <v>1783.7921005488902</v>
      </c>
      <c r="AI14" s="43"/>
      <c r="AJ14" s="1" t="s">
        <v>22</v>
      </c>
      <c r="AK14" s="8">
        <f>VLOOKUP(AK12&amp;"_2",A:D,4,FALSE)/VLOOKUP(AK12&amp;"_2",A:AF,32,FALSE)</f>
        <v>0.20433258183120484</v>
      </c>
      <c r="AL14" s="63"/>
      <c r="BH14" s="7" t="str">
        <f t="shared" si="19"/>
        <v>2040_3</v>
      </c>
      <c r="BI14" s="30">
        <f>BI13</f>
        <v>2040</v>
      </c>
      <c r="BJ14" s="5" t="s">
        <v>23</v>
      </c>
      <c r="BK14" s="16">
        <f>BK12+BK13</f>
        <v>237.94659164733704</v>
      </c>
      <c r="BL14" s="16">
        <f t="shared" ref="BL14" si="185">BL12+BL13</f>
        <v>250.20186020626605</v>
      </c>
      <c r="BM14" s="16">
        <f t="shared" ref="BM14" si="186">BM12+BM13</f>
        <v>262.3904397598393</v>
      </c>
      <c r="BN14" s="16">
        <f t="shared" ref="BN14" si="187">BN12+BN13</f>
        <v>285.25936639131737</v>
      </c>
      <c r="BO14" s="16">
        <f t="shared" ref="BO14" si="188">BO12+BO13</f>
        <v>261.94749995309968</v>
      </c>
      <c r="BP14" s="16">
        <f t="shared" ref="BP14" si="189">BP12+BP13</f>
        <v>325.62264538140323</v>
      </c>
      <c r="BQ14" s="16">
        <f t="shared" ref="BQ14" si="190">BQ12+BQ13</f>
        <v>322.75796528528804</v>
      </c>
      <c r="BR14" s="16">
        <f t="shared" ref="BR14" si="191">BR12+BR13</f>
        <v>323.08977940178306</v>
      </c>
      <c r="BS14" s="16">
        <f t="shared" ref="BS14" si="192">BS12+BS13</f>
        <v>352.65219840996764</v>
      </c>
      <c r="BT14" s="16">
        <f t="shared" ref="BT14" si="193">BT12+BT13</f>
        <v>370.16808437189115</v>
      </c>
      <c r="BU14" s="16">
        <f t="shared" ref="BU14" si="194">BU12+BU13</f>
        <v>451.07303562709779</v>
      </c>
      <c r="BV14" s="16">
        <f t="shared" ref="BV14" si="195">BV12+BV13</f>
        <v>490.17041344996096</v>
      </c>
      <c r="BW14" s="16">
        <f t="shared" ref="BW14" si="196">BW12+BW13</f>
        <v>618.72675938479688</v>
      </c>
      <c r="BX14" s="16">
        <f t="shared" ref="BX14" si="197">BX12+BX13</f>
        <v>585.94423168698211</v>
      </c>
      <c r="BY14" s="16">
        <f t="shared" ref="BY14" si="198">BY12+BY13</f>
        <v>503.75285198454714</v>
      </c>
      <c r="BZ14" s="16">
        <f t="shared" ref="BZ14" si="199">BZ12+BZ13</f>
        <v>464.98206260788675</v>
      </c>
      <c r="CA14" s="16">
        <f t="shared" ref="CA14" si="200">CA12+CA13</f>
        <v>440.32245956850261</v>
      </c>
      <c r="CB14" s="16">
        <f t="shared" ref="CB14" si="201">CB12+CB13</f>
        <v>373.54425400974958</v>
      </c>
      <c r="CC14" s="16">
        <f t="shared" ref="CC14" si="202">CC12+CC13</f>
        <v>248.55648985625527</v>
      </c>
      <c r="CD14" s="16">
        <f t="shared" ref="CD14" si="203">CD12+CD13</f>
        <v>52.805196074388036</v>
      </c>
      <c r="CE14" s="16">
        <f t="shared" ref="CE14" si="204">CE12+CE13</f>
        <v>8.7555043469969291</v>
      </c>
      <c r="CF14" s="11">
        <f t="shared" si="2"/>
        <v>7230.6696894053548</v>
      </c>
      <c r="CG14" s="11">
        <f t="shared" si="20"/>
        <v>307.5553799796632</v>
      </c>
      <c r="CH14" s="11">
        <f t="shared" si="21"/>
        <v>162.00804918219919</v>
      </c>
      <c r="CI14" s="11">
        <f t="shared" si="3"/>
        <v>2678.6630501353084</v>
      </c>
      <c r="CJ14" s="11">
        <f t="shared" si="22"/>
        <v>1588.9659664637791</v>
      </c>
      <c r="CK14" s="15">
        <f t="shared" si="23"/>
        <v>0.37045850041527756</v>
      </c>
      <c r="CL14" s="15">
        <f t="shared" si="24"/>
        <v>0.21975363759071873</v>
      </c>
      <c r="CM14" s="11">
        <f t="shared" si="25"/>
        <v>1233.4178900215741</v>
      </c>
      <c r="CO14" s="7" t="str">
        <f t="shared" si="26"/>
        <v>2040_3</v>
      </c>
      <c r="CP14" s="30">
        <f>CP13</f>
        <v>2040</v>
      </c>
      <c r="CQ14" s="5" t="s">
        <v>23</v>
      </c>
      <c r="CR14" s="16">
        <f>CR12+CR13</f>
        <v>243.07084213185919</v>
      </c>
      <c r="CS14" s="16">
        <f t="shared" ref="CS14" si="205">CS12+CS13</f>
        <v>254.8293414187813</v>
      </c>
      <c r="CT14" s="16">
        <f t="shared" ref="CT14" si="206">CT12+CT13</f>
        <v>267.86835063691819</v>
      </c>
      <c r="CU14" s="16">
        <f t="shared" ref="CU14" si="207">CU12+CU13</f>
        <v>288.96160363625347</v>
      </c>
      <c r="CV14" s="16">
        <f t="shared" ref="CV14" si="208">CV12+CV13</f>
        <v>263.4248855650082</v>
      </c>
      <c r="CW14" s="16">
        <f t="shared" ref="CW14" si="209">CW12+CW13</f>
        <v>331.12427157832252</v>
      </c>
      <c r="CX14" s="16">
        <f t="shared" ref="CX14" si="210">CX12+CX13</f>
        <v>326.59279655295796</v>
      </c>
      <c r="CY14" s="16">
        <f t="shared" ref="CY14" si="211">CY12+CY13</f>
        <v>327.05477876610627</v>
      </c>
      <c r="CZ14" s="16">
        <f t="shared" ref="CZ14" si="212">CZ12+CZ13</f>
        <v>357.39741281056018</v>
      </c>
      <c r="DA14" s="16">
        <f t="shared" ref="DA14" si="213">DA12+DA13</f>
        <v>371.19135136016121</v>
      </c>
      <c r="DB14" s="16">
        <f t="shared" ref="DB14" si="214">DB12+DB13</f>
        <v>452.09660533580598</v>
      </c>
      <c r="DC14" s="16">
        <f t="shared" ref="DC14" si="215">DC12+DC13</f>
        <v>491.15949488937315</v>
      </c>
      <c r="DD14" s="16">
        <f t="shared" ref="DD14" si="216">DD12+DD13</f>
        <v>618.72675938479688</v>
      </c>
      <c r="DE14" s="16">
        <f t="shared" ref="DE14" si="217">DE12+DE13</f>
        <v>585.94423168698211</v>
      </c>
      <c r="DF14" s="16">
        <f t="shared" ref="DF14" si="218">DF12+DF13</f>
        <v>503.75285198454714</v>
      </c>
      <c r="DG14" s="16">
        <f t="shared" ref="DG14" si="219">DG12+DG13</f>
        <v>464.98206260788675</v>
      </c>
      <c r="DH14" s="16">
        <f t="shared" ref="DH14" si="220">DH12+DH13</f>
        <v>440.32245956850261</v>
      </c>
      <c r="DI14" s="16">
        <f t="shared" ref="DI14" si="221">DI12+DI13</f>
        <v>373.54425400974958</v>
      </c>
      <c r="DJ14" s="16">
        <f t="shared" ref="DJ14" si="222">DJ12+DJ13</f>
        <v>248.55648985625527</v>
      </c>
      <c r="DK14" s="16">
        <f t="shared" ref="DK14" si="223">DK12+DK13</f>
        <v>52.805196074388036</v>
      </c>
      <c r="DL14" s="16">
        <f t="shared" ref="DL14" si="224">DL12+DL13</f>
        <v>8.7555043469969291</v>
      </c>
      <c r="DM14" s="11">
        <f t="shared" si="69"/>
        <v>7272.1615442022121</v>
      </c>
      <c r="DN14" s="11">
        <f t="shared" si="34"/>
        <v>313.61861523341975</v>
      </c>
      <c r="DO14" s="11">
        <f t="shared" si="35"/>
        <v>164.93966098201798</v>
      </c>
      <c r="DP14" s="11">
        <f t="shared" si="6"/>
        <v>2678.6630501353084</v>
      </c>
      <c r="DQ14" s="11">
        <f t="shared" si="36"/>
        <v>1588.9659664637791</v>
      </c>
      <c r="DR14" s="15">
        <f t="shared" si="37"/>
        <v>0.3683448220798799</v>
      </c>
      <c r="DS14" s="15">
        <f t="shared" si="38"/>
        <v>0.21849981698090779</v>
      </c>
      <c r="DT14" s="11">
        <f t="shared" si="70"/>
        <v>1248.1967324623949</v>
      </c>
      <c r="DX14" s="30">
        <f>DX13</f>
        <v>2040</v>
      </c>
      <c r="DY14" s="5" t="s">
        <v>23</v>
      </c>
      <c r="DZ14" s="16">
        <f>DZ12+DZ13</f>
        <v>446.40603558952114</v>
      </c>
      <c r="EA14" s="16">
        <f t="shared" ref="EA14" si="225">EA12+EA13</f>
        <v>450.36402170203257</v>
      </c>
      <c r="EB14" s="16">
        <f t="shared" ref="EB14" si="226">EB12+EB13</f>
        <v>427.50462717230971</v>
      </c>
      <c r="EC14" s="16">
        <f t="shared" ref="EC14" si="227">EC12+EC13</f>
        <v>285.25936639131737</v>
      </c>
      <c r="ED14" s="16">
        <f t="shared" ref="ED14" si="228">ED12+ED13</f>
        <v>261.94749995309968</v>
      </c>
      <c r="EE14" s="16">
        <f t="shared" ref="EE14" si="229">EE12+EE13</f>
        <v>487.62264538140323</v>
      </c>
      <c r="EF14" s="16">
        <f t="shared" ref="EF14" si="230">EF12+EF13</f>
        <v>640.06863162592163</v>
      </c>
      <c r="EG14" s="16">
        <f t="shared" ref="EG14" si="231">EG12+EG13</f>
        <v>813.22271149333176</v>
      </c>
      <c r="EH14" s="16">
        <f t="shared" ref="EH14" si="232">EH12+EH13</f>
        <v>815.51131556564451</v>
      </c>
      <c r="EI14" s="16">
        <f t="shared" ref="EI14" si="233">EI12+EI13</f>
        <v>678.17280223355419</v>
      </c>
      <c r="EJ14" s="16">
        <f t="shared" ref="EJ14" si="234">EJ12+EJ13</f>
        <v>601.15954615313478</v>
      </c>
      <c r="EK14" s="16">
        <f t="shared" ref="EK14" si="235">EK12+EK13</f>
        <v>490.17041344996096</v>
      </c>
      <c r="EL14" s="16">
        <f t="shared" ref="EL14" si="236">EL12+EL13</f>
        <v>618.72675938479688</v>
      </c>
      <c r="EM14" s="16">
        <f t="shared" ref="EM14" si="237">EM12+EM13</f>
        <v>585.94423168698211</v>
      </c>
      <c r="EN14" s="16">
        <f t="shared" ref="EN14" si="238">EN12+EN13</f>
        <v>503.75285198454714</v>
      </c>
      <c r="EO14" s="16">
        <f t="shared" ref="EO14" si="239">EO12+EO13</f>
        <v>464.98206260788675</v>
      </c>
      <c r="EP14" s="16">
        <f t="shared" ref="EP14" si="240">EP12+EP13</f>
        <v>440.32245956850261</v>
      </c>
      <c r="EQ14" s="16">
        <f t="shared" ref="EQ14" si="241">EQ12+EQ13</f>
        <v>373.54425400974958</v>
      </c>
      <c r="ER14" s="16">
        <f t="shared" ref="ER14" si="242">ER12+ER13</f>
        <v>248.55648985625527</v>
      </c>
      <c r="ES14" s="16">
        <f t="shared" ref="ES14" si="243">ES12+ES13</f>
        <v>52.805196074388036</v>
      </c>
      <c r="ET14" s="16">
        <f t="shared" ref="ET14" si="244">ET12+ET13</f>
        <v>8.7555043469969291</v>
      </c>
      <c r="EU14" s="11">
        <f t="shared" si="71"/>
        <v>9694.7994262313368</v>
      </c>
      <c r="EV14" s="11">
        <f t="shared" si="41"/>
        <v>526.72118932460535</v>
      </c>
      <c r="EW14" s="11">
        <f t="shared" si="42"/>
        <v>228.05372414718738</v>
      </c>
      <c r="EX14" s="11">
        <f t="shared" si="10"/>
        <v>2678.6630501353084</v>
      </c>
      <c r="EY14" s="11">
        <f t="shared" si="43"/>
        <v>1588.9659664637791</v>
      </c>
      <c r="EZ14" s="15">
        <f t="shared" si="44"/>
        <v>0.276298965287267</v>
      </c>
      <c r="FA14" s="15">
        <f t="shared" si="45"/>
        <v>0.16389879734535762</v>
      </c>
      <c r="FB14" s="11">
        <f t="shared" si="72"/>
        <v>2202.8614884537565</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113.62908102365691</v>
      </c>
      <c r="BL15" s="9">
        <f>IF(管理者入力シート!$B$14=1,BK12*管理者用人口入力シート!AM$3,IF(管理者入力シート!$B$14=2,BK12*管理者用人口入力シート!AM$7))</f>
        <v>125.11222360952416</v>
      </c>
      <c r="BM15" s="9">
        <f>IF(管理者入力シート!$B$14=1,BL12*管理者用人口入力シート!AN$3,IF(管理者入力シート!$B$14=2,BL12*管理者用人口入力シート!AN$7))</f>
        <v>133.48677591207553</v>
      </c>
      <c r="BN15" s="9">
        <f>IF(管理者入力シート!$B$14=1,BM12*管理者用人口入力シート!AO$3,IF(管理者入力シート!$B$14=2,BM12*管理者用人口入力シート!AO$7))</f>
        <v>134.50610681652023</v>
      </c>
      <c r="BO15" s="9">
        <f>IF(管理者入力シート!$B$14=1,BN12*管理者用人口入力シート!AP$3,IF(管理者入力シート!$B$14=2,BN12*管理者用人口入力シート!AP$7))</f>
        <v>124.66767248532121</v>
      </c>
      <c r="BP15" s="9">
        <f>IF(管理者入力シート!$B$14=1,BO12*管理者用人口入力シート!AQ$3,IF(管理者入力シート!$B$14=2,BO12*管理者用人口入力シート!AQ$7))</f>
        <v>153.65442340074515</v>
      </c>
      <c r="BQ15" s="9">
        <f>IF(管理者入力シート!$B$14=1,BP12*管理者用人口入力シート!AR$3,IF(管理者入力シート!$B$14=2,BP12*管理者用人口入力シート!AR$7))</f>
        <v>174.0306326174867</v>
      </c>
      <c r="BR15" s="9">
        <f>IF(管理者入力シート!$B$14=1,BQ12*管理者用人口入力シート!AS$3,IF(管理者入力シート!$B$14=2,BQ12*管理者用人口入力シート!AS$7))</f>
        <v>182.00694792660383</v>
      </c>
      <c r="BS15" s="9">
        <f>IF(管理者入力シート!$B$14=1,BR12*管理者用人口入力シート!AT$3,IF(管理者入力シート!$B$14=2,BR12*管理者用人口入力シート!AT$7))</f>
        <v>172.38096106553834</v>
      </c>
      <c r="BT15" s="9">
        <f>IF(管理者入力シート!$B$14=1,BS12*管理者用人口入力シート!AU$3,IF(管理者入力シート!$B$14=2,BS12*管理者用人口入力シート!AU$7))</f>
        <v>194.16478502903871</v>
      </c>
      <c r="BU15" s="9">
        <f>IF(管理者入力シート!$B$14=1,BT12*管理者用人口入力シート!AV$3,IF(管理者入力シート!$B$14=2,BT12*管理者用人口入力シート!AV$7))</f>
        <v>193.09794025504769</v>
      </c>
      <c r="BV15" s="9">
        <f>IF(管理者入力シート!$B$14=1,BU12*管理者用人口入力シート!AW$3,IF(管理者入力シート!$B$14=2,BU12*管理者用人口入力シート!AW$7))</f>
        <v>214.87995793692892</v>
      </c>
      <c r="BW15" s="9">
        <f>IF(管理者入力シート!$B$14=1,BV12*管理者用人口入力シート!AX$3,IF(管理者入力シート!$B$14=2,BV12*管理者用人口入力シート!AX$7))</f>
        <v>234.41130510833284</v>
      </c>
      <c r="BX15" s="9">
        <f>IF(管理者入力シート!$B$14=1,BW12*管理者用人口入力シート!AY$3,IF(管理者入力シート!$B$14=2,BW12*管理者用人口入力シート!AY$7))</f>
        <v>294.21249042574146</v>
      </c>
      <c r="BY15" s="9">
        <f>IF(管理者入力シート!$B$14=1,BX12*管理者用人口入力シート!AZ$3,IF(管理者入力シート!$B$14=2,BX12*管理者用人口入力シート!AZ$7))</f>
        <v>259.55033129011872</v>
      </c>
      <c r="BZ15" s="9">
        <f>IF(管理者入力シート!$B$14=1,BY12*管理者用人口入力シート!BA$3,IF(管理者入力シート!$B$14=2,BY12*管理者用人口入力シート!BA$7))</f>
        <v>198.21785823216823</v>
      </c>
      <c r="CA15" s="9">
        <f>IF(管理者入力シート!$B$14=1,BZ12*管理者用人口入力シート!BB$3,IF(管理者入力シート!$B$14=2,BZ12*管理者用人口入力シート!BB$7))</f>
        <v>159.84945265334017</v>
      </c>
      <c r="CB15" s="9">
        <f>IF(管理者入力シート!$B$14=1,CA12*管理者用人口入力シート!BC$3,IF(管理者入力シート!$B$14=2,CA12*管理者用人口入力シート!BC$7))</f>
        <v>113.58242829012929</v>
      </c>
      <c r="CC15" s="9">
        <f>IF(管理者入力シート!$B$14=1,CB12*管理者用人口入力シート!BD$3,IF(管理者入力シート!$B$14=2,CB12*管理者用人口入力シート!BD$7))</f>
        <v>73.931899077820361</v>
      </c>
      <c r="CD15" s="9">
        <f>IF(管理者入力シート!$B$14=1,CC12*管理者用人口入力シート!BE$3,IF(管理者入力シート!$B$14=2,CC12*管理者用人口入力シート!BE$7))</f>
        <v>16.434563845551146</v>
      </c>
      <c r="CE15" s="9">
        <f>IF(管理者入力シート!$B$14=1,CD12*管理者用人口入力シート!BF$3,IF(管理者入力シート!$B$14=2,CD12*管理者用人口入力シート!BF$7))</f>
        <v>1.3285323512704079E-2</v>
      </c>
      <c r="CF15" s="9">
        <f t="shared" ref="CF15:CF20" si="252">SUM(BK15:CE15)</f>
        <v>3265.8211223252019</v>
      </c>
      <c r="CG15" s="9">
        <f t="shared" ref="CG15:CG20" si="253">BL15*3/5+BM15*3/5</f>
        <v>155.15939971295981</v>
      </c>
      <c r="CH15" s="9">
        <f t="shared" ref="CH15:CH20" si="254">BM15*2/5+BN15*1/5</f>
        <v>80.295931728134263</v>
      </c>
      <c r="CI15" s="9">
        <f t="shared" ref="CI15:CI20" si="255">SUM(BX15:CE15)</f>
        <v>1115.7923091383821</v>
      </c>
      <c r="CJ15" s="9">
        <f t="shared" ref="CJ15:CJ20" si="256">SUM(BZ15:CE15)</f>
        <v>562.02948742252192</v>
      </c>
      <c r="CK15" s="13">
        <f t="shared" ref="CK15:CK20" si="257">CI15/CF15</f>
        <v>0.34165750889135021</v>
      </c>
      <c r="CL15" s="13">
        <f t="shared" ref="CL15:CL20" si="258">CJ15/CF15</f>
        <v>0.17209438801791072</v>
      </c>
      <c r="CM15" s="9">
        <f t="shared" ref="CM15:CM20" si="259">SUM(BO15:BR15)</f>
        <v>634.35967643015692</v>
      </c>
      <c r="CO15" s="7" t="str">
        <f t="shared" si="26"/>
        <v>2045_1</v>
      </c>
      <c r="CP15" s="28">
        <f>管理者入力シート!B12</f>
        <v>2045</v>
      </c>
      <c r="CQ15" s="3" t="s">
        <v>21</v>
      </c>
      <c r="CR15" s="9">
        <f>DT16*$AK$13+将来予測シート②!$G17</f>
        <v>116.56849499064589</v>
      </c>
      <c r="CS15" s="9">
        <f>IF(管理者入力シート!$B$14=1,CR12*管理者用人口入力シート!AM$3,IF(管理者入力シート!$B$14=2,CR12*管理者用人口入力シート!AM$7))+将来予測シート②!$G18</f>
        <v>127.75449959870866</v>
      </c>
      <c r="CT15" s="9">
        <f>IF(管理者入力シート!$B$14=1,CS12*管理者用人口入力シート!AN$3,IF(管理者入力シート!$B$14=2,CS12*管理者用人口入力シート!AN$7))+将来予測シート②!$G19</f>
        <v>136.90720475399417</v>
      </c>
      <c r="CU15" s="9">
        <f>IF(管理者入力シート!$B$14=1,CT12*管理者用人口入力シート!AO$3,IF(管理者入力シート!$B$14=2,CT12*管理者用人口入力シート!AO$7))+将来予測シート②!$G20</f>
        <v>137.1911489501058</v>
      </c>
      <c r="CV15" s="9">
        <f>IF(管理者入力シート!$B$14=1,CU12*管理者用人口入力シート!AP$3,IF(管理者入力シート!$B$14=2,CU12*管理者用人口入力シート!AP$7))+将来予測シート②!$G21</f>
        <v>126.18572653069126</v>
      </c>
      <c r="CW15" s="9">
        <f>IF(管理者入力シート!$B$14=1,CV12*管理者用人口入力シート!AQ$3,IF(管理者入力シート!$B$14=2,CV12*管理者用人口入力シート!AQ$7))+将来予測シート②!$G22</f>
        <v>156.45915046324427</v>
      </c>
      <c r="CX15" s="9">
        <f>IF(管理者入力シート!$B$14=1,CW12*管理者用人口入力シート!AR$3,IF(管理者入力シート!$B$14=2,CW12*管理者用人口入力シート!AR$7))+将来予測シート②!$G23</f>
        <v>176.77879221195019</v>
      </c>
      <c r="CY15" s="9">
        <f>IF(管理者入力シート!$B$14=1,CX12*管理者用人口入力シート!AS$3,IF(管理者入力シート!$B$14=2,CX12*管理者用人口入力シート!AS$7))+将来予測シート②!$G24</f>
        <v>184.00542925655503</v>
      </c>
      <c r="CZ15" s="9">
        <f>IF(管理者入力シート!$B$14=1,CY12*管理者用人口入力シート!AT$3,IF(管理者入力シート!$B$14=2,CY12*管理者用人口入力シート!AT$7))+将来予測シート②!$G25</f>
        <v>174.31035853409801</v>
      </c>
      <c r="DA15" s="9">
        <f>IF(管理者入力シート!$B$14=1,CZ12*管理者用人口入力シート!AU$3,IF(管理者入力シート!$B$14=2,CZ12*管理者用人口入力シート!AU$7))+将来予測シート②!$G26</f>
        <v>196.01187089126017</v>
      </c>
      <c r="DB15" s="9">
        <f>IF(管理者入力シート!$B$14=1,DA12*管理者用人口入力シート!AV$3,IF(管理者入力シート!$B$14=2,DA12*管理者用人口入力シート!AV$7))+将来予測シート②!$G27</f>
        <v>193.09794025504769</v>
      </c>
      <c r="DC15" s="9">
        <f>IF(管理者入力シート!$B$14=1,DB12*管理者用人口入力シート!AW$3,IF(管理者入力シート!$B$14=2,DB12*管理者用人口入力シート!AW$7))+将来予測シート②!$G28</f>
        <v>214.87995793692892</v>
      </c>
      <c r="DD15" s="9">
        <f>IF(管理者入力シート!$B$14=1,DC12*管理者用人口入力シート!AX$3,IF(管理者入力シート!$B$14=2,DC12*管理者用人口入力シート!AX$7))+将来予測シート②!$G29</f>
        <v>234.41130510833284</v>
      </c>
      <c r="DE15" s="9">
        <f>IF(管理者入力シート!$B$14=1,DD12*管理者用人口入力シート!AY$3,IF(管理者入力シート!$B$14=2,DD12*管理者用人口入力シート!AY$7))</f>
        <v>294.21249042574146</v>
      </c>
      <c r="DF15" s="9">
        <f>IF(管理者入力シート!$B$14=1,DE12*管理者用人口入力シート!AZ$3,IF(管理者入力シート!$B$14=2,DE12*管理者用人口入力シート!AZ$7))</f>
        <v>259.55033129011872</v>
      </c>
      <c r="DG15" s="9">
        <f>IF(管理者入力シート!$B$14=1,DF12*管理者用人口入力シート!BA$3,IF(管理者入力シート!$B$14=2,DF12*管理者用人口入力シート!BA$7))</f>
        <v>198.21785823216823</v>
      </c>
      <c r="DH15" s="9">
        <f>IF(管理者入力シート!$B$14=1,DG12*管理者用人口入力シート!BB$3,IF(管理者入力シート!$B$14=2,DG12*管理者用人口入力シート!BB$7))</f>
        <v>159.84945265334017</v>
      </c>
      <c r="DI15" s="9">
        <f>IF(管理者入力シート!$B$14=1,DH12*管理者用人口入力シート!BC$3,IF(管理者入力シート!$B$14=2,DH12*管理者用人口入力シート!BC$7))</f>
        <v>113.58242829012929</v>
      </c>
      <c r="DJ15" s="9">
        <f>IF(管理者入力シート!$B$14=1,DI12*管理者用人口入力シート!BD$3,IF(管理者入力シート!$B$14=2,DI12*管理者用人口入力シート!BD$7))</f>
        <v>73.931899077820361</v>
      </c>
      <c r="DK15" s="9">
        <f>IF(管理者入力シート!$B$14=1,DJ12*管理者用人口入力シート!BE$3,IF(管理者入力シート!$B$14=2,DJ12*管理者用人口入力シート!BE$7))</f>
        <v>16.434563845551146</v>
      </c>
      <c r="DL15" s="9">
        <f>IF(管理者入力シート!$B$14=1,DK12*管理者用人口入力シート!BF$3,IF(管理者入力シート!$B$14=2,DK12*管理者用人口入力シート!BF$7))</f>
        <v>1.3285323512704079E-2</v>
      </c>
      <c r="DM15" s="9">
        <f t="shared" ref="DM15:DM20" si="260">SUM(CR15:DL15)</f>
        <v>3290.3541886199446</v>
      </c>
      <c r="DN15" s="9">
        <f t="shared" ref="DN15:DN20" si="261">CS15*3/5+CT15*3/5</f>
        <v>158.79702261162168</v>
      </c>
      <c r="DO15" s="9">
        <f t="shared" ref="DO15:DO20" si="262">CT15*2/5+CU15*1/5</f>
        <v>82.20111169161882</v>
      </c>
      <c r="DP15" s="9">
        <f t="shared" ref="DP15:DP20" si="263">SUM(DE15:DL15)</f>
        <v>1115.7923091383821</v>
      </c>
      <c r="DQ15" s="9">
        <f t="shared" ref="DQ15:DQ20" si="264">SUM(DG15:DL15)</f>
        <v>562.02948742252192</v>
      </c>
      <c r="DR15" s="13">
        <f t="shared" ref="DR15:DR20" si="265">DP15/DM15</f>
        <v>0.33911009124715924</v>
      </c>
      <c r="DS15" s="13">
        <f t="shared" ref="DS15:DS20" si="266">DQ15/DM15</f>
        <v>0.17081124256056182</v>
      </c>
      <c r="DT15" s="9">
        <f t="shared" ref="DT15:DT20" si="267">SUM(CV15:CY15)</f>
        <v>643.42909846244083</v>
      </c>
      <c r="DV15" s="62" t="s">
        <v>404</v>
      </c>
      <c r="DW15" s="211">
        <f>AK13+AK14</f>
        <v>0.43111619080577884</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102.38007765047118</v>
      </c>
      <c r="BL16" s="10">
        <f>IF(管理者入力シート!$B$14=1,BK13*管理者用人口入力シート!AM$4,IF(管理者入力シート!$B$14=2,BK13*管理者用人口入力シート!AM$8))</f>
        <v>103.36341272523941</v>
      </c>
      <c r="BM16" s="10">
        <f>IF(管理者入力シート!$B$14=1,BL13*管理者用人口入力シート!AN$4,IF(管理者入力シート!$B$14=2,BL13*管理者用人口入力シート!AN$8))</f>
        <v>113.60414894835823</v>
      </c>
      <c r="BN16" s="10">
        <f>IF(管理者入力シート!$B$14=1,BM13*管理者用人口入力シート!AO$4,IF(管理者入力シート!$B$14=2,BM13*管理者用人口入力シート!AO$8))</f>
        <v>114.94718392918701</v>
      </c>
      <c r="BO16" s="10">
        <f>IF(管理者入力シート!$B$14=1,BN13*管理者用人口入力シート!AP$4,IF(管理者入力シート!$B$14=2,BN13*管理者用人口入力シート!AP$8))</f>
        <v>97.71345573053145</v>
      </c>
      <c r="BP16" s="10">
        <f>IF(管理者入力シート!$B$14=1,BO13*管理者用人口入力シート!AQ$4,IF(管理者入力シート!$B$14=2,BO13*管理者用人口入力シート!AQ$8))</f>
        <v>113.24586009014006</v>
      </c>
      <c r="BQ16" s="10">
        <f>IF(管理者入力シート!$B$14=1,BP13*管理者用人口入力シート!AR$4,IF(管理者入力シート!$B$14=2,BP13*管理者用人口入力シート!AR$8))</f>
        <v>138.77166442853431</v>
      </c>
      <c r="BR16" s="10">
        <f>IF(管理者入力シート!$B$14=1,BQ13*管理者用人口入力シート!AS$4,IF(管理者入力シート!$B$14=2,BQ13*管理者用人口入力シート!AS$8))</f>
        <v>151.31528820662655</v>
      </c>
      <c r="BS16" s="10">
        <f>IF(管理者入力シート!$B$14=1,BR13*管理者用人口入力シート!AT$4,IF(管理者入力シート!$B$14=2,BR13*管理者用人口入力シート!AT$8))</f>
        <v>133.4602204060474</v>
      </c>
      <c r="BT16" s="10">
        <f>IF(管理者入力シート!$B$14=1,BS13*管理者用人口入力シート!AU$4,IF(管理者入力シート!$B$14=2,BS13*管理者用人口入力シート!AU$8))</f>
        <v>153.3210624244004</v>
      </c>
      <c r="BU16" s="10">
        <f>IF(管理者入力シート!$B$14=1,BT13*管理者用人口入力シート!AV$4,IF(管理者入力シート!$B$14=2,BT13*管理者用人口入力シート!AV$8))</f>
        <v>173.62134197267451</v>
      </c>
      <c r="BV16" s="10">
        <f>IF(管理者入力シート!$B$14=1,BU13*管理者用人口入力シート!AW$4,IF(管理者入力シート!$B$14=2,BU13*管理者用人口入力シート!AW$8))</f>
        <v>223.17544472497067</v>
      </c>
      <c r="BW16" s="10">
        <f>IF(管理者入力シート!$B$14=1,BV13*管理者用人口入力シート!AX$4,IF(管理者入力シート!$B$14=2,BV13*管理者用人口入力シート!AX$8))</f>
        <v>253.65234810716188</v>
      </c>
      <c r="BX16" s="10">
        <f>IF(管理者入力シート!$B$14=1,BW13*管理者用人口入力シート!AY$4,IF(管理者入力シート!$B$14=2,BW13*管理者用人口入力シート!AY$8))</f>
        <v>314.41912892283256</v>
      </c>
      <c r="BY16" s="10">
        <f>IF(管理者入力シート!$B$14=1,BX13*管理者用人口入力シート!AZ$4,IF(管理者入力シート!$B$14=2,BX13*管理者用人口入力シート!AZ$8))</f>
        <v>291.48293902070208</v>
      </c>
      <c r="BZ16" s="10">
        <f>IF(管理者入力シート!$B$14=1,BY13*管理者用人口入力シート!BA$4,IF(管理者入力シート!$B$14=2,BY13*管理者用人口入力シート!BA$8))</f>
        <v>259.0119803227617</v>
      </c>
      <c r="CA16" s="10">
        <f>IF(管理者入力シート!$B$14=1,BZ13*管理者用人口入力シート!BB$4,IF(管理者入力シート!$B$14=2,BZ13*管理者用人口入力シート!BB$8))</f>
        <v>219.76501856027136</v>
      </c>
      <c r="CB16" s="10">
        <f>IF(管理者入力シート!$B$14=1,CA13*管理者用人口入力シート!BC$4,IF(管理者入力シート!$B$14=2,CA13*管理者用人口入力シート!BC$8))</f>
        <v>199.93475224287687</v>
      </c>
      <c r="CC16" s="10">
        <f>IF(管理者入力シート!$B$14=1,CB13*管理者用人口入力シート!BD$4,IF(管理者入力シート!$B$14=2,CB13*管理者用人口入力シート!BD$8))</f>
        <v>140.86320460946914</v>
      </c>
      <c r="CD16" s="10">
        <f>IF(管理者入力シート!$B$14=1,CC13*管理者用人口入力シート!BE$4,IF(管理者入力シート!$B$14=2,CC13*管理者用人口入力シート!BE$8))</f>
        <v>49.726816067534635</v>
      </c>
      <c r="CE16" s="10">
        <f>IF(管理者入力シート!$B$14=1,CD13*管理者用人口入力シート!BF$4,IF(管理者入力シート!$B$14=2,CD13*管理者用人口入力シート!BF$8))</f>
        <v>9.3441510724485877</v>
      </c>
      <c r="CF16" s="10">
        <f t="shared" si="252"/>
        <v>3357.1195001632404</v>
      </c>
      <c r="CG16" s="10">
        <f t="shared" si="253"/>
        <v>130.18053700415857</v>
      </c>
      <c r="CH16" s="10">
        <f t="shared" si="254"/>
        <v>68.431096365180693</v>
      </c>
      <c r="CI16" s="10">
        <f t="shared" si="255"/>
        <v>1484.5479908188968</v>
      </c>
      <c r="CJ16" s="10">
        <f t="shared" si="256"/>
        <v>878.6459228753622</v>
      </c>
      <c r="CK16" s="14">
        <f t="shared" si="257"/>
        <v>0.44220886112237301</v>
      </c>
      <c r="CL16" s="14">
        <f t="shared" si="258"/>
        <v>0.26172613838519537</v>
      </c>
      <c r="CM16" s="10">
        <f t="shared" si="259"/>
        <v>501.04626845583232</v>
      </c>
      <c r="CO16" s="7" t="str">
        <f t="shared" si="26"/>
        <v>2045_2</v>
      </c>
      <c r="CP16" s="29">
        <f>CP15</f>
        <v>2045</v>
      </c>
      <c r="CQ16" s="4" t="s">
        <v>22</v>
      </c>
      <c r="CR16" s="10">
        <f>DT16*$AK$14+将来予測シート②!$H17</f>
        <v>105.12749433947354</v>
      </c>
      <c r="CS16" s="10">
        <f>IF(管理者入力シート!$B$14=1,CR13*管理者用人口入力シート!AM$4,IF(管理者入力シート!$B$14=2,CR13*管理者用人口入力シート!AM$8))+将来予測シート②!$H18</f>
        <v>105.63710389784499</v>
      </c>
      <c r="CT16" s="10">
        <f>IF(管理者入力シート!$B$14=1,CS13*管理者用人口入力シート!AN$4,IF(管理者入力シート!$B$14=2,CS13*管理者用人口入力シート!AN$8))+将来予測シート②!$H19</f>
        <v>116.75512276177771</v>
      </c>
      <c r="CU16" s="10">
        <f>IF(管理者入力シート!$B$14=1,CT13*管理者用人口入力シート!AO$4,IF(管理者入力シート!$B$14=2,CT13*管理者用人口入力シート!AO$8))+将来予測シート②!$H20</f>
        <v>117.47047562245292</v>
      </c>
      <c r="CV16" s="10">
        <f>IF(管理者入力シート!$B$14=1,CU13*管理者用人口入力シート!AP$4,IF(管理者入力シート!$B$14=2,CU13*管理者用人口入力シート!AP$8))+将来予測シート②!$H21</f>
        <v>99.073294420107629</v>
      </c>
      <c r="CW16" s="10">
        <f>IF(管理者入力シート!$B$14=1,CV13*管理者用人口入力シート!AQ$4,IF(管理者入力シート!$B$14=2,CV13*管理者用人口入力シート!AQ$8))+将来予測シート②!$H22</f>
        <v>115.94275922456016</v>
      </c>
      <c r="CX16" s="10">
        <f>IF(管理者入力シート!$B$14=1,CW13*管理者用人口入力シート!AR$4,IF(管理者入力シート!$B$14=2,CW13*管理者用人口入力シート!AR$8))+将来予測シート②!$H23</f>
        <v>141.30023458509814</v>
      </c>
      <c r="CY16" s="10">
        <f>IF(管理者入力シート!$B$14=1,CX13*管理者用人口入力シート!AS$4,IF(管理者入力シート!$B$14=2,CX13*管理者用人口入力シート!AS$8))+将来予測シート②!$H24</f>
        <v>153.28180624099855</v>
      </c>
      <c r="CZ16" s="10">
        <f>IF(管理者入力シート!$B$14=1,CY13*管理者用人口入力シート!AT$4,IF(管理者入力シート!$B$14=2,CY13*管理者用人口入力シート!AT$8))+将来予測シート②!$H25</f>
        <v>136.27603733808024</v>
      </c>
      <c r="DA16" s="10">
        <f>IF(管理者入力シート!$B$14=1,CZ13*管理者用人口入力シート!AU$4,IF(管理者入力シート!$B$14=2,CZ13*管理者用人口入力シート!AU$8))+将来予測シート②!$H26</f>
        <v>156.20239493596145</v>
      </c>
      <c r="DB16" s="10">
        <f>IF(管理者入力シート!$B$14=1,DA13*管理者用人口入力シート!AV$4,IF(管理者入力シート!$B$14=2,DA13*管理者用人口入力シート!AV$8))+将来予測シート②!$H27</f>
        <v>174.64491168138278</v>
      </c>
      <c r="DC16" s="10">
        <f>IF(管理者入力シート!$B$14=1,DB13*管理者用人口入力シート!AW$4,IF(管理者入力シート!$B$14=2,DB13*管理者用人口入力シート!AW$8))+将来予測シート②!$H28</f>
        <v>224.16452616438281</v>
      </c>
      <c r="DD16" s="10">
        <f>IF(管理者入力シート!$B$14=1,DC13*管理者用人口入力シート!AX$4,IF(管理者入力シート!$B$14=2,DC13*管理者用人口入力シート!AX$8))+将来予測シート②!$H29</f>
        <v>254.6441250810166</v>
      </c>
      <c r="DE16" s="10">
        <f>IF(管理者入力シート!$B$14=1,DD13*管理者用人口入力シート!AY$4,IF(管理者入力シート!$B$14=2,DD13*管理者用人口入力シート!AY$8))</f>
        <v>314.41912892283256</v>
      </c>
      <c r="DF16" s="10">
        <f>IF(管理者入力シート!$B$14=1,DE13*管理者用人口入力シート!AZ$4,IF(管理者入力シート!$B$14=2,DE13*管理者用人口入力シート!AZ$8))</f>
        <v>291.48293902070208</v>
      </c>
      <c r="DG16" s="10">
        <f>IF(管理者入力シート!$B$14=1,DF13*管理者用人口入力シート!BA$4,IF(管理者入力シート!$B$14=2,DF13*管理者用人口入力シート!BA$8))</f>
        <v>259.0119803227617</v>
      </c>
      <c r="DH16" s="10">
        <f>IF(管理者入力シート!$B$14=1,DG13*管理者用人口入力シート!BB$4,IF(管理者入力シート!$B$14=2,DG13*管理者用人口入力シート!BB$8))</f>
        <v>219.76501856027136</v>
      </c>
      <c r="DI16" s="10">
        <f>IF(管理者入力シート!$B$14=1,DH13*管理者用人口入力シート!BC$4,IF(管理者入力シート!$B$14=2,DH13*管理者用人口入力シート!BC$8))</f>
        <v>199.93475224287687</v>
      </c>
      <c r="DJ16" s="10">
        <f>IF(管理者入力シート!$B$14=1,DI13*管理者用人口入力シート!BD$4,IF(管理者入力シート!$B$14=2,DI13*管理者用人口入力シート!BD$8))</f>
        <v>140.86320460946914</v>
      </c>
      <c r="DK16" s="10">
        <f>IF(管理者入力シート!$B$14=1,DJ13*管理者用人口入力シート!BE$4,IF(管理者入力シート!$B$14=2,DJ13*管理者用人口入力シート!BE$8))</f>
        <v>49.726816067534635</v>
      </c>
      <c r="DL16" s="10">
        <f>IF(管理者入力シート!$B$14=1,DK13*管理者用人口入力シート!BF$4,IF(管理者入力シート!$B$14=2,DK13*管理者用人口入力シート!BF$8))</f>
        <v>9.3441510724485877</v>
      </c>
      <c r="DM16" s="10">
        <f t="shared" si="260"/>
        <v>3385.068277112035</v>
      </c>
      <c r="DN16" s="10">
        <f t="shared" si="261"/>
        <v>133.43533599577361</v>
      </c>
      <c r="DO16" s="10">
        <f t="shared" si="262"/>
        <v>70.196144229201678</v>
      </c>
      <c r="DP16" s="10">
        <f t="shared" si="263"/>
        <v>1484.5479908188968</v>
      </c>
      <c r="DQ16" s="10">
        <f t="shared" si="264"/>
        <v>878.6459228753622</v>
      </c>
      <c r="DR16" s="14">
        <f t="shared" si="265"/>
        <v>0.43855776879201863</v>
      </c>
      <c r="DS16" s="14">
        <f t="shared" si="266"/>
        <v>0.25956519956075375</v>
      </c>
      <c r="DT16" s="10">
        <f t="shared" si="267"/>
        <v>509.59809447076452</v>
      </c>
      <c r="DV16" s="212" t="s">
        <v>406</v>
      </c>
      <c r="DW16" s="7">
        <f>IF(DW10&lt;0,ABS(DW10)/DW15,0)</f>
        <v>187.20579034832747</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216.00915867412809</v>
      </c>
      <c r="BL17" s="16">
        <f t="shared" ref="BL17:CE17" si="268">BL15+BL16</f>
        <v>228.47563633476358</v>
      </c>
      <c r="BM17" s="16">
        <f t="shared" si="268"/>
        <v>247.09092486043374</v>
      </c>
      <c r="BN17" s="16">
        <f t="shared" si="268"/>
        <v>249.45329074570725</v>
      </c>
      <c r="BO17" s="16">
        <f t="shared" si="268"/>
        <v>222.38112821585264</v>
      </c>
      <c r="BP17" s="16">
        <f t="shared" si="268"/>
        <v>266.90028349088522</v>
      </c>
      <c r="BQ17" s="16">
        <f t="shared" si="268"/>
        <v>312.80229704602101</v>
      </c>
      <c r="BR17" s="16">
        <f t="shared" si="268"/>
        <v>333.32223613323038</v>
      </c>
      <c r="BS17" s="16">
        <f t="shared" si="268"/>
        <v>305.84118147158574</v>
      </c>
      <c r="BT17" s="16">
        <f t="shared" si="268"/>
        <v>347.48584745343908</v>
      </c>
      <c r="BU17" s="16">
        <f t="shared" si="268"/>
        <v>366.7192822277222</v>
      </c>
      <c r="BV17" s="16">
        <f t="shared" si="268"/>
        <v>438.05540266189962</v>
      </c>
      <c r="BW17" s="16">
        <f t="shared" si="268"/>
        <v>488.0636532154947</v>
      </c>
      <c r="BX17" s="16">
        <f t="shared" si="268"/>
        <v>608.63161934857408</v>
      </c>
      <c r="BY17" s="16">
        <f t="shared" si="268"/>
        <v>551.03327031082085</v>
      </c>
      <c r="BZ17" s="16">
        <f t="shared" si="268"/>
        <v>457.22983855492993</v>
      </c>
      <c r="CA17" s="16">
        <f t="shared" si="268"/>
        <v>379.61447121361152</v>
      </c>
      <c r="CB17" s="16">
        <f t="shared" si="268"/>
        <v>313.51718053300613</v>
      </c>
      <c r="CC17" s="16">
        <f t="shared" si="268"/>
        <v>214.7951036872895</v>
      </c>
      <c r="CD17" s="16">
        <f t="shared" si="268"/>
        <v>66.161379913085781</v>
      </c>
      <c r="CE17" s="16">
        <f t="shared" si="268"/>
        <v>9.3574363959612921</v>
      </c>
      <c r="CF17" s="11">
        <f t="shared" si="252"/>
        <v>6622.9406224884433</v>
      </c>
      <c r="CG17" s="11">
        <f t="shared" si="253"/>
        <v>285.33993671711841</v>
      </c>
      <c r="CH17" s="11">
        <f t="shared" si="254"/>
        <v>148.72702809331494</v>
      </c>
      <c r="CI17" s="11">
        <f t="shared" si="255"/>
        <v>2600.3402999572795</v>
      </c>
      <c r="CJ17" s="11">
        <f t="shared" si="256"/>
        <v>1440.6754102978844</v>
      </c>
      <c r="CK17" s="15">
        <f t="shared" si="257"/>
        <v>0.39262624386631617</v>
      </c>
      <c r="CL17" s="15">
        <f t="shared" si="258"/>
        <v>0.21752805776425307</v>
      </c>
      <c r="CM17" s="11">
        <f t="shared" si="259"/>
        <v>1135.4059448859894</v>
      </c>
      <c r="CO17" s="7" t="str">
        <f t="shared" si="26"/>
        <v>2045_3</v>
      </c>
      <c r="CP17" s="30">
        <f>CP16</f>
        <v>2045</v>
      </c>
      <c r="CQ17" s="5" t="s">
        <v>23</v>
      </c>
      <c r="CR17" s="16">
        <f>CR15+CR16</f>
        <v>221.69598933011943</v>
      </c>
      <c r="CS17" s="16">
        <f>CS15+CS16</f>
        <v>233.39160349655367</v>
      </c>
      <c r="CT17" s="16">
        <f t="shared" ref="CT17:DL17" si="269">CT15+CT16</f>
        <v>253.66232751577189</v>
      </c>
      <c r="CU17" s="16">
        <f t="shared" si="269"/>
        <v>254.66162457255871</v>
      </c>
      <c r="CV17" s="16">
        <f t="shared" si="269"/>
        <v>225.25902095079888</v>
      </c>
      <c r="CW17" s="16">
        <f t="shared" si="269"/>
        <v>272.40190968780445</v>
      </c>
      <c r="CX17" s="16">
        <f t="shared" si="269"/>
        <v>318.0790267970483</v>
      </c>
      <c r="CY17" s="16">
        <f t="shared" si="269"/>
        <v>337.28723549755358</v>
      </c>
      <c r="CZ17" s="16">
        <f t="shared" si="269"/>
        <v>310.58639587217829</v>
      </c>
      <c r="DA17" s="16">
        <f t="shared" si="269"/>
        <v>352.21426582722165</v>
      </c>
      <c r="DB17" s="16">
        <f t="shared" si="269"/>
        <v>367.7428519364305</v>
      </c>
      <c r="DC17" s="16">
        <f t="shared" si="269"/>
        <v>439.0444841013117</v>
      </c>
      <c r="DD17" s="16">
        <f t="shared" si="269"/>
        <v>489.05543018934941</v>
      </c>
      <c r="DE17" s="16">
        <f t="shared" si="269"/>
        <v>608.63161934857408</v>
      </c>
      <c r="DF17" s="16">
        <f t="shared" si="269"/>
        <v>551.03327031082085</v>
      </c>
      <c r="DG17" s="16">
        <f t="shared" si="269"/>
        <v>457.22983855492993</v>
      </c>
      <c r="DH17" s="16">
        <f t="shared" si="269"/>
        <v>379.61447121361152</v>
      </c>
      <c r="DI17" s="16">
        <f t="shared" si="269"/>
        <v>313.51718053300613</v>
      </c>
      <c r="DJ17" s="16">
        <f t="shared" si="269"/>
        <v>214.7951036872895</v>
      </c>
      <c r="DK17" s="16">
        <f t="shared" si="269"/>
        <v>66.161379913085781</v>
      </c>
      <c r="DL17" s="16">
        <f t="shared" si="269"/>
        <v>9.3574363959612921</v>
      </c>
      <c r="DM17" s="11">
        <f t="shared" si="260"/>
        <v>6675.4224657319801</v>
      </c>
      <c r="DN17" s="11">
        <f t="shared" si="261"/>
        <v>292.23235860739533</v>
      </c>
      <c r="DO17" s="11">
        <f t="shared" si="262"/>
        <v>152.3972559208205</v>
      </c>
      <c r="DP17" s="11">
        <f t="shared" si="263"/>
        <v>2600.3402999572795</v>
      </c>
      <c r="DQ17" s="11">
        <f t="shared" si="264"/>
        <v>1440.6754102978844</v>
      </c>
      <c r="DR17" s="15">
        <f t="shared" si="265"/>
        <v>0.38953943563962051</v>
      </c>
      <c r="DS17" s="15">
        <f t="shared" si="266"/>
        <v>0.2158178628683855</v>
      </c>
      <c r="DT17" s="11">
        <f t="shared" si="267"/>
        <v>1153.0271929332052</v>
      </c>
      <c r="DV17" s="62" t="s">
        <v>407</v>
      </c>
      <c r="DW17" s="7">
        <f>IF(DW9&gt;=0,0,IF(AND(DW10&lt;=0,DW9&lt;=0,DW16*2&gt;=ABS(DW9)),ROUND(DW16/3,0),ROUND(ABS(DW9)/6,0)))</f>
        <v>81</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98.264948562100656</v>
      </c>
      <c r="BL18" s="9">
        <f>IF(管理者入力シート!$B$14=1,BK15*管理者用人口入力シート!AM$3,IF(管理者入力シート!$B$14=2,BK15*管理者用人口入力シート!AM$7))</f>
        <v>113.57753004420961</v>
      </c>
      <c r="BM18" s="9">
        <f>IF(管理者入力シート!$B$14=1,BL15*管理者用人口入力シート!AN$3,IF(管理者入力シート!$B$14=2,BL15*管理者用人口入力シート!AN$7))</f>
        <v>121.89548088749039</v>
      </c>
      <c r="BN18" s="9">
        <f>IF(管理者入力シート!$B$14=1,BM15*管理者用人口入力シート!AO$3,IF(管理者入力シート!$B$14=2,BM15*管理者用人口入力シート!AO$7))</f>
        <v>126.66329750081529</v>
      </c>
      <c r="BO18" s="9">
        <f>IF(管理者入力シート!$B$14=1,BN15*管理者用人口入力シート!AP$3,IF(管理者入力シート!$B$14=2,BN15*管理者用人口入力シート!AP$7))</f>
        <v>109.01924639491178</v>
      </c>
      <c r="BP18" s="9">
        <f>IF(管理者入力シート!$B$14=1,BO15*管理者用人口入力シート!AQ$3,IF(管理者入力シート!$B$14=2,BO15*管理者用人口入力シート!AQ$7))</f>
        <v>130.44539091738591</v>
      </c>
      <c r="BQ18" s="9">
        <f>IF(管理者入力シート!$B$14=1,BP15*管理者用人口入力シート!AR$3,IF(管理者入力シート!$B$14=2,BP15*管理者用人口入力シート!AR$7))</f>
        <v>150.55542606853487</v>
      </c>
      <c r="BR18" s="9">
        <f>IF(管理者入力シート!$B$14=1,BQ15*管理者用人口入力シート!AS$3,IF(管理者入力シート!$B$14=2,BQ15*管理者用人口入力シート!AS$7))</f>
        <v>177.4779704082386</v>
      </c>
      <c r="BS18" s="9">
        <f>IF(管理者入力シート!$B$14=1,BR15*管理者用人口入力シート!AT$3,IF(管理者入力シート!$B$14=2,BR15*管理者用人口入力シート!AT$7))</f>
        <v>175.71529907584176</v>
      </c>
      <c r="BT18" s="9">
        <f>IF(管理者入力シート!$B$14=1,BS15*管理者用人口入力シート!AU$3,IF(管理者入力シート!$B$14=2,BS15*管理者用人口入力シート!AU$7))</f>
        <v>165.02687563801697</v>
      </c>
      <c r="BU18" s="9">
        <f>IF(管理者入力シート!$B$14=1,BT15*管理者用人口入力シート!AV$3,IF(管理者入力シート!$B$14=2,BT15*管理者用人口入力シート!AV$7))</f>
        <v>190.7079559889082</v>
      </c>
      <c r="BV18" s="9">
        <f>IF(管理者入力シート!$B$14=1,BU15*管理者用人口入力シート!AW$3,IF(管理者入力シート!$B$14=2,BU15*管理者用人口入力シート!AW$7))</f>
        <v>188.50486072978171</v>
      </c>
      <c r="BW18" s="9">
        <f>IF(管理者入力シート!$B$14=1,BV15*管理者用人口入力シート!AX$3,IF(管理者入力シート!$B$14=2,BV15*管理者用人口入力シート!AX$7))</f>
        <v>212.34699263686016</v>
      </c>
      <c r="BX18" s="9">
        <f>IF(管理者入力シート!$B$14=1,BW15*管理者用人口入力シート!AY$3,IF(管理者入力シート!$B$14=2,BW15*管理者用人口入力シート!AY$7))</f>
        <v>226.8014399742604</v>
      </c>
      <c r="BY18" s="9">
        <f>IF(管理者入力シート!$B$14=1,BX15*管理者用人口入力シート!AZ$3,IF(管理者入力シート!$B$14=2,BX15*管理者用人口入力シート!AZ$7))</f>
        <v>275.20316441288378</v>
      </c>
      <c r="BZ18" s="9">
        <f>IF(管理者入力シート!$B$14=1,BY15*管理者用人口入力シート!BA$3,IF(管理者入力シート!$B$14=2,BY15*管理者用人口入力シート!BA$7))</f>
        <v>227.34088641632212</v>
      </c>
      <c r="CA18" s="9">
        <f>IF(管理者入力シート!$B$14=1,BZ15*管理者用人口入力シート!BB$3,IF(管理者入力シート!$B$14=2,BZ15*管理者用人口入力シート!BB$7))</f>
        <v>146.81753973662904</v>
      </c>
      <c r="CB18" s="9">
        <f>IF(管理者入力シート!$B$14=1,CA15*管理者用人口入力シート!BC$3,IF(管理者入力シート!$B$14=2,CA15*管理者用人口入力シート!BC$7))</f>
        <v>101.88286706621106</v>
      </c>
      <c r="CC18" s="9">
        <f>IF(管理者入力シート!$B$14=1,CB15*管理者用人口入力シート!BD$3,IF(管理者入力シート!$B$14=2,CB15*管理者用人口入力シート!BD$7))</f>
        <v>59.701125262999902</v>
      </c>
      <c r="CD18" s="9">
        <f>IF(管理者入力シート!$B$14=1,CC15*管理者用人口入力シート!BE$3,IF(管理者入力シート!$B$14=2,CC15*管理者用人口入力シート!BE$7))</f>
        <v>14.537472188141944</v>
      </c>
      <c r="CE18" s="9">
        <f>IF(管理者入力シート!$B$14=1,CD15*管理者用人口入力シート!BF$3,IF(管理者入力シート!$B$14=2,CD15*管理者用人口入力シート!BF$7))</f>
        <v>1.6434563845551146E-2</v>
      </c>
      <c r="CF18" s="9">
        <f t="shared" si="252"/>
        <v>3012.5022044743901</v>
      </c>
      <c r="CG18" s="9">
        <f t="shared" si="253"/>
        <v>141.28380655902001</v>
      </c>
      <c r="CH18" s="9">
        <f t="shared" si="254"/>
        <v>74.090851855159215</v>
      </c>
      <c r="CI18" s="9">
        <f t="shared" si="255"/>
        <v>1052.3009296212938</v>
      </c>
      <c r="CJ18" s="9">
        <f t="shared" si="256"/>
        <v>550.29632523414966</v>
      </c>
      <c r="CK18" s="13">
        <f t="shared" si="257"/>
        <v>0.34931125628998344</v>
      </c>
      <c r="CL18" s="13">
        <f t="shared" si="258"/>
        <v>0.18267084565674643</v>
      </c>
      <c r="CM18" s="9">
        <f t="shared" si="259"/>
        <v>567.49803378907109</v>
      </c>
      <c r="CO18" s="7" t="str">
        <f t="shared" si="26"/>
        <v>2050_1</v>
      </c>
      <c r="CP18" s="28">
        <f>管理者入力シート!B13</f>
        <v>2050</v>
      </c>
      <c r="CQ18" s="3" t="s">
        <v>21</v>
      </c>
      <c r="CR18" s="9">
        <f>DT19*$AK$13+将来予測シート②!$G17</f>
        <v>101.62213936257365</v>
      </c>
      <c r="CS18" s="9">
        <f>IF(管理者入力シート!$B$14=1,CR15*管理者用人口入力シート!AM$3,IF(管理者入力シート!$B$14=2,CR15*管理者用人口入力シート!AM$7))+将来予測シート②!$G18</f>
        <v>116.51561046464842</v>
      </c>
      <c r="CT18" s="9">
        <f>IF(管理者入力シート!$B$14=1,CS15*管理者用人口入力シート!AN$3,IF(管理者入力シート!$B$14=2,CS15*管理者用人口入力シート!AN$7))+将来予測シート②!$G19</f>
        <v>125.46982169166579</v>
      </c>
      <c r="CU18" s="9">
        <f>IF(管理者入力シート!$B$14=1,CT15*管理者用人口入力シート!AO$3,IF(管理者入力シート!$B$14=2,CT15*管理者用人口入力シート!AO$7))+将来予測シート②!$G20</f>
        <v>129.90888338768752</v>
      </c>
      <c r="CV18" s="9">
        <f>IF(管理者入力シート!$B$14=1,CU15*管理者用人口入力シート!AP$3,IF(管理者入力シート!$B$14=2,CU15*管理者用人口入力シート!AP$7))+将来予測シート②!$G21</f>
        <v>111.19551390328138</v>
      </c>
      <c r="CW18" s="9">
        <f>IF(管理者入力シート!$B$14=1,CV15*管理者用人口入力シート!AQ$3,IF(管理者入力シート!$B$14=2,CV15*管理者用人口入力シート!AQ$7))+将来予測シート②!$G22</f>
        <v>134.03379911844004</v>
      </c>
      <c r="CX18" s="9">
        <f>IF(管理者入力シート!$B$14=1,CW15*管理者用人口入力シート!AR$3,IF(管理者入力シート!$B$14=2,CW15*管理者用人口入力シート!AR$7))+将来予測シート②!$G23</f>
        <v>153.30358566299833</v>
      </c>
      <c r="CY18" s="9">
        <f>IF(管理者入力シート!$B$14=1,CX15*管理者用人口入力シート!AS$3,IF(管理者入力シート!$B$14=2,CX15*管理者用人口入力シート!AS$7))+将来予測シート②!$G24</f>
        <v>180.28056774324534</v>
      </c>
      <c r="CZ18" s="9">
        <f>IF(管理者入力シート!$B$14=1,CY15*管理者用人口入力シート!AT$3,IF(管理者入力シート!$B$14=2,CY15*管理者用人口入力シート!AT$7))+将来予測シート②!$G25</f>
        <v>177.64469654440143</v>
      </c>
      <c r="DA18" s="9">
        <f>IF(管理者入力シート!$B$14=1,CZ15*管理者用人口入力シート!AU$3,IF(管理者入力シート!$B$14=2,CZ15*管理者用人口入力シート!AU$7))+将来予測シート②!$G26</f>
        <v>166.87396150023841</v>
      </c>
      <c r="DB18" s="9">
        <f>IF(管理者入力シート!$B$14=1,DA15*管理者用人口入力シート!AV$3,IF(管理者入力シート!$B$14=2,DA15*管理者用人口入力シート!AV$7))+将来予測シート②!$G27</f>
        <v>192.52215710301644</v>
      </c>
      <c r="DC18" s="9">
        <f>IF(管理者入力シート!$B$14=1,DB15*管理者用人口入力シート!AW$3,IF(管理者入力シート!$B$14=2,DB15*管理者用人口入力シート!AW$7))+将来予測シート②!$G28</f>
        <v>188.50486072978171</v>
      </c>
      <c r="DD18" s="9">
        <f>IF(管理者入力シート!$B$14=1,DC15*管理者用人口入力シート!AX$3,IF(管理者入力シート!$B$14=2,DC15*管理者用人口入力シート!AX$7))+将来予測シート②!$G29</f>
        <v>212.34699263686016</v>
      </c>
      <c r="DE18" s="9">
        <f>IF(管理者入力シート!$B$14=1,DD15*管理者用人口入力シート!AY$3,IF(管理者入力シート!$B$14=2,DD15*管理者用人口入力シート!AY$7))</f>
        <v>226.8014399742604</v>
      </c>
      <c r="DF18" s="9">
        <f>IF(管理者入力シート!$B$14=1,DE15*管理者用人口入力シート!AZ$3,IF(管理者入力シート!$B$14=2,DE15*管理者用人口入力シート!AZ$7))</f>
        <v>275.20316441288378</v>
      </c>
      <c r="DG18" s="9">
        <f>IF(管理者入力シート!$B$14=1,DF15*管理者用人口入力シート!BA$3,IF(管理者入力シート!$B$14=2,DF15*管理者用人口入力シート!BA$7))</f>
        <v>227.34088641632212</v>
      </c>
      <c r="DH18" s="9">
        <f>IF(管理者入力シート!$B$14=1,DG15*管理者用人口入力シート!BB$3,IF(管理者入力シート!$B$14=2,DG15*管理者用人口入力シート!BB$7))</f>
        <v>146.81753973662904</v>
      </c>
      <c r="DI18" s="9">
        <f>IF(管理者入力シート!$B$14=1,DH15*管理者用人口入力シート!BC$3,IF(管理者入力シート!$B$14=2,DH15*管理者用人口入力シート!BC$7))</f>
        <v>101.88286706621106</v>
      </c>
      <c r="DJ18" s="9">
        <f>IF(管理者入力シート!$B$14=1,DI15*管理者用人口入力シート!BD$3,IF(管理者入力シート!$B$14=2,DI15*管理者用人口入力シート!BD$7))</f>
        <v>59.701125262999902</v>
      </c>
      <c r="DK18" s="9">
        <f>IF(管理者入力シート!$B$14=1,DJ15*管理者用人口入力シート!BE$3,IF(管理者入力シート!$B$14=2,DJ15*管理者用人口入力シート!BE$7))</f>
        <v>14.537472188141944</v>
      </c>
      <c r="DL18" s="9">
        <f>IF(管理者入力シート!$B$14=1,DK15*管理者用人口入力シート!BF$3,IF(管理者入力シート!$B$14=2,DK15*管理者用人口入力シート!BF$7))</f>
        <v>1.6434563845551146E-2</v>
      </c>
      <c r="DM18" s="9">
        <f t="shared" si="260"/>
        <v>3042.5235194701327</v>
      </c>
      <c r="DN18" s="9">
        <f t="shared" si="261"/>
        <v>145.19125929378851</v>
      </c>
      <c r="DO18" s="9">
        <f t="shared" si="262"/>
        <v>76.169705354203813</v>
      </c>
      <c r="DP18" s="9">
        <f t="shared" si="263"/>
        <v>1052.3009296212938</v>
      </c>
      <c r="DQ18" s="9">
        <f t="shared" si="264"/>
        <v>550.29632523414966</v>
      </c>
      <c r="DR18" s="13">
        <f t="shared" si="265"/>
        <v>0.34586451768976173</v>
      </c>
      <c r="DS18" s="13">
        <f t="shared" si="266"/>
        <v>0.18086838826803414</v>
      </c>
      <c r="DT18" s="9">
        <f t="shared" si="267"/>
        <v>578.81346642796507</v>
      </c>
      <c r="DX18" s="307">
        <f>DX1</f>
        <v>81</v>
      </c>
      <c r="DY18" s="308"/>
      <c r="DZ18" s="311" t="s">
        <v>0</v>
      </c>
      <c r="EA18" s="311" t="s">
        <v>1</v>
      </c>
      <c r="EB18" s="311" t="s">
        <v>2</v>
      </c>
      <c r="EC18" s="311" t="s">
        <v>3</v>
      </c>
      <c r="ED18" s="311" t="s">
        <v>4</v>
      </c>
      <c r="EE18" s="311" t="s">
        <v>5</v>
      </c>
      <c r="EF18" s="311" t="s">
        <v>6</v>
      </c>
      <c r="EG18" s="311" t="s">
        <v>7</v>
      </c>
      <c r="EH18" s="311" t="s">
        <v>8</v>
      </c>
      <c r="EI18" s="311" t="s">
        <v>9</v>
      </c>
      <c r="EJ18" s="311" t="s">
        <v>10</v>
      </c>
      <c r="EK18" s="311" t="s">
        <v>11</v>
      </c>
      <c r="EL18" s="311" t="s">
        <v>12</v>
      </c>
      <c r="EM18" s="311" t="s">
        <v>13</v>
      </c>
      <c r="EN18" s="311" t="s">
        <v>14</v>
      </c>
      <c r="EO18" s="311" t="s">
        <v>15</v>
      </c>
      <c r="EP18" s="311" t="s">
        <v>16</v>
      </c>
      <c r="EQ18" s="311" t="s">
        <v>17</v>
      </c>
      <c r="ER18" s="311" t="s">
        <v>18</v>
      </c>
      <c r="ES18" s="311" t="s">
        <v>19</v>
      </c>
      <c r="ET18" s="311" t="s">
        <v>20</v>
      </c>
      <c r="EU18" s="311" t="s">
        <v>23</v>
      </c>
      <c r="EV18" s="312" t="s">
        <v>50</v>
      </c>
      <c r="EW18" s="312" t="s">
        <v>51</v>
      </c>
      <c r="EX18" s="313" t="s">
        <v>79</v>
      </c>
      <c r="EY18" s="313" t="s">
        <v>80</v>
      </c>
      <c r="EZ18" s="312" t="s">
        <v>48</v>
      </c>
      <c r="FA18" s="312" t="s">
        <v>49</v>
      </c>
      <c r="FB18" s="312"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88.536957031386279</v>
      </c>
      <c r="BL19" s="10">
        <f>IF(管理者入力シート!$B$14=1,BK16*管理者用人口入力シート!AM$4,IF(管理者入力シート!$B$14=2,BK16*管理者用人口入力シート!AM$8))</f>
        <v>93.833845931095965</v>
      </c>
      <c r="BM19" s="10">
        <f>IF(管理者入力シート!$B$14=1,BL16*管理者用人口入力シート!AN$4,IF(管理者入力シート!$B$14=2,BL16*管理者用人口入力シート!AN$8))</f>
        <v>103.73935749257619</v>
      </c>
      <c r="BN19" s="10">
        <f>IF(管理者入力シート!$B$14=1,BM16*管理者用人口入力シート!AO$4,IF(管理者入力シート!$B$14=2,BM16*管理者用人口入力シート!AO$8))</f>
        <v>108.2448202501637</v>
      </c>
      <c r="BO19" s="10">
        <f>IF(管理者入力シート!$B$14=1,BN16*管理者用人口入力シート!AP$4,IF(管理者入力シート!$B$14=2,BN16*管理者用人口入力シート!AP$8))</f>
        <v>85.44835316179811</v>
      </c>
      <c r="BP19" s="10">
        <f>IF(管理者入力シート!$B$14=1,BO16*管理者用人口入力シート!AQ$4,IF(管理者入力シート!$B$14=2,BO16*管理者用人口入力シート!AQ$8))</f>
        <v>96.140417973559451</v>
      </c>
      <c r="BQ19" s="10">
        <f>IF(管理者入力シート!$B$14=1,BP16*管理者用人口入力シート!AR$4,IF(管理者入力シート!$B$14=2,BP16*管理者用人口入力シート!AR$8))</f>
        <v>106.17753497848118</v>
      </c>
      <c r="BR19" s="10">
        <f>IF(管理者入力シート!$B$14=1,BQ16*管理者用人口入力シート!AS$4,IF(管理者入力シート!$B$14=2,BQ16*管理者用人口入力シート!AS$8))</f>
        <v>145.53197768372493</v>
      </c>
      <c r="BS19" s="10">
        <f>IF(管理者入力シート!$B$14=1,BR16*管理者用人口入力シート!AT$4,IF(管理者入力シート!$B$14=2,BR16*管理者用人口入力シート!AT$8))</f>
        <v>139.71947248822045</v>
      </c>
      <c r="BT19" s="10">
        <f>IF(管理者入力シート!$B$14=1,BS16*管理者用人口入力シート!AU$4,IF(管理者入力シート!$B$14=2,BS16*管理者用人口入力シート!AU$8))</f>
        <v>136.56543778875189</v>
      </c>
      <c r="BU19" s="10">
        <f>IF(管理者入力シート!$B$14=1,BT16*管理者用人口入力シート!AV$4,IF(管理者入力シート!$B$14=2,BT16*管理者用人口入力シート!AV$8))</f>
        <v>153.36642049783811</v>
      </c>
      <c r="BV19" s="10">
        <f>IF(管理者入力シート!$B$14=1,BU16*管理者用人口入力シート!AW$4,IF(管理者入力シート!$B$14=2,BU16*管理者用人口入力シート!AW$8))</f>
        <v>167.77132555800986</v>
      </c>
      <c r="BW19" s="10">
        <f>IF(管理者入力シート!$B$14=1,BV16*管理者用人口入力シート!AX$4,IF(管理者入力シート!$B$14=2,BV16*管理者用人口入力シート!AX$8))</f>
        <v>223.78366268761917</v>
      </c>
      <c r="BX19" s="10">
        <f>IF(管理者入力シート!$B$14=1,BW16*管理者用人口入力シート!AY$4,IF(管理者入力シート!$B$14=2,BW16*管理者用人口入力シート!AY$8))</f>
        <v>253.47222529598341</v>
      </c>
      <c r="BY19" s="10">
        <f>IF(管理者入力シート!$B$14=1,BX16*管理者用人口入力シート!AZ$4,IF(管理者入力シート!$B$14=2,BX16*管理者用人口入力シート!AZ$8))</f>
        <v>297.10852624613148</v>
      </c>
      <c r="BZ19" s="10">
        <f>IF(管理者入力シート!$B$14=1,BY16*管理者用人口入力シート!BA$4,IF(管理者入力シート!$B$14=2,BY16*管理者用人口入力シート!BA$8))</f>
        <v>272.11071615651412</v>
      </c>
      <c r="CA19" s="10">
        <f>IF(管理者入力シート!$B$14=1,BZ16*管理者用人口入力シート!BB$4,IF(管理者入力シート!$B$14=2,BZ16*管理者用人口入力シート!BB$8))</f>
        <v>228.44565512224153</v>
      </c>
      <c r="CB19" s="10">
        <f>IF(管理者入力シート!$B$14=1,CA16*管理者用人口入力シート!BC$4,IF(管理者入力シート!$B$14=2,CA16*管理者用人口入力シート!BC$8))</f>
        <v>167.63000551380108</v>
      </c>
      <c r="CC19" s="10">
        <f>IF(管理者入力シート!$B$14=1,CB16*管理者用人口入力シート!BD$4,IF(管理者入力シート!$B$14=2,CB16*管理者用人口入力シート!BD$8))</f>
        <v>120.93154907942623</v>
      </c>
      <c r="CD19" s="10">
        <f>IF(管理者入力シート!$B$14=1,CC16*管理者用人口入力シート!BE$4,IF(管理者入力シート!$B$14=2,CC16*管理者用人口入力シート!BE$8))</f>
        <v>42.458587362585781</v>
      </c>
      <c r="CE19" s="10">
        <f>IF(管理者入力シート!$B$14=1,CD16*管理者用人口入力シート!BF$4,IF(管理者入力シート!$B$14=2,CD16*管理者用人口入力シート!BF$8))</f>
        <v>11.757499495011233</v>
      </c>
      <c r="CF19" s="10">
        <f t="shared" si="252"/>
        <v>3042.7743477949202</v>
      </c>
      <c r="CG19" s="10">
        <f t="shared" si="253"/>
        <v>118.54392205420328</v>
      </c>
      <c r="CH19" s="10">
        <f t="shared" si="254"/>
        <v>63.144707047063214</v>
      </c>
      <c r="CI19" s="10">
        <f t="shared" si="255"/>
        <v>1393.9147642716948</v>
      </c>
      <c r="CJ19" s="10">
        <f t="shared" si="256"/>
        <v>843.33401272957997</v>
      </c>
      <c r="CK19" s="14">
        <f t="shared" si="257"/>
        <v>0.45810651890169124</v>
      </c>
      <c r="CL19" s="14">
        <f t="shared" si="258"/>
        <v>0.27715956437608952</v>
      </c>
      <c r="CM19" s="10">
        <f t="shared" si="259"/>
        <v>433.29828379756361</v>
      </c>
      <c r="CO19" s="7" t="str">
        <f t="shared" si="26"/>
        <v>2050_2</v>
      </c>
      <c r="CP19" s="29">
        <f>CP18</f>
        <v>2050</v>
      </c>
      <c r="CQ19" s="4" t="s">
        <v>22</v>
      </c>
      <c r="CR19" s="10">
        <f>DT19*$AK$14+将来予測シート②!$H17</f>
        <v>91.660791660825538</v>
      </c>
      <c r="CS19" s="10">
        <f>IF(管理者入力シート!$B$14=1,CR16*管理者用人口入力シート!AM$4,IF(管理者入力シート!$B$14=2,CR16*管理者用人口入力シート!AM$8))+将来予測シート②!$H18</f>
        <v>96.351920543077696</v>
      </c>
      <c r="CT19" s="10">
        <f>IF(管理者入力シート!$B$14=1,CS16*管理者用人口入力シート!AN$4,IF(管理者入力シート!$B$14=2,CS16*管理者用人口入力シート!AN$8))+将来予測シート②!$H19</f>
        <v>107.02131834471676</v>
      </c>
      <c r="CU19" s="10">
        <f>IF(管理者入力シート!$B$14=1,CT16*管理者用人口入力シート!AO$4,IF(管理者入力シート!$B$14=2,CT16*管理者用人口入力シート!AO$8))+将来予測シート②!$H20</f>
        <v>111.24714540469314</v>
      </c>
      <c r="CV19" s="10">
        <f>IF(管理者入力シート!$B$14=1,CU16*管理者用人口入力シート!AP$4,IF(管理者入力シート!$B$14=2,CU16*管理者用人口入力シート!AP$8))+将来予測シート②!$H21</f>
        <v>87.324093935658595</v>
      </c>
      <c r="CW19" s="10">
        <f>IF(管理者入力シート!$B$14=1,CV16*管理者用人口入力シート!AQ$4,IF(管理者入力シート!$B$14=2,CV16*管理者用人口入力シート!AQ$8))+将来予測シート②!$H22</f>
        <v>99.478365332140299</v>
      </c>
      <c r="CX19" s="10">
        <f>IF(管理者入力シート!$B$14=1,CW16*管理者用人口入力シート!AR$4,IF(管理者入力シート!$B$14=2,CW16*管理者用人口入力シート!AR$8))+将来予測シート②!$H23</f>
        <v>108.70610513504498</v>
      </c>
      <c r="CY19" s="10">
        <f>IF(管理者入力シート!$B$14=1,CX16*管理者用人口入力シート!AS$4,IF(管理者入力シート!$B$14=2,CX16*管理者用人口入力シート!AS$8))+将来予測シート②!$H24</f>
        <v>148.18372807608466</v>
      </c>
      <c r="CZ19" s="10">
        <f>IF(管理者入力シート!$B$14=1,CY16*管理者用人口入力シート!AT$4,IF(管理者入力シート!$B$14=2,CY16*管理者用人口入力シート!AT$8))+将来予測シート②!$H25</f>
        <v>142.53528942025332</v>
      </c>
      <c r="DA19" s="10">
        <f>IF(管理者入力シート!$B$14=1,CZ16*管理者用人口入力シート!AU$4,IF(管理者入力シート!$B$14=2,CZ16*管理者用人口入力シート!AU$8))+将来予測シート②!$H26</f>
        <v>139.44677030031292</v>
      </c>
      <c r="DB19" s="10">
        <f>IF(管理者入力シート!$B$14=1,DA16*管理者用人口入力シート!AV$4,IF(管理者入力シート!$B$14=2,DA16*管理者用人口入力シート!AV$8))+将来予測シート②!$H27</f>
        <v>156.24860541473467</v>
      </c>
      <c r="DC19" s="10">
        <f>IF(管理者入力シート!$B$14=1,DB16*管理者用人口入力シート!AW$4,IF(管理者入力シート!$B$14=2,DB16*管理者用人口入力シート!AW$8))+将来予測シート②!$H28</f>
        <v>168.76040699742208</v>
      </c>
      <c r="DD19" s="10">
        <f>IF(管理者入力シート!$B$14=1,DC16*管理者用人口入力シート!AX$4,IF(管理者入力シート!$B$14=2,DC16*管理者用人口入力シート!AX$8))+将来予測シート②!$H29</f>
        <v>224.7754396614738</v>
      </c>
      <c r="DE19" s="10">
        <f>IF(管理者入力シート!$B$14=1,DD16*管理者用人口入力シート!AY$4,IF(管理者入力シート!$B$14=2,DD16*管理者用人口入力シート!AY$8))</f>
        <v>254.463297992279</v>
      </c>
      <c r="DF19" s="10">
        <f>IF(管理者入力シート!$B$14=1,DE16*管理者用人口入力シート!AZ$4,IF(管理者入力シート!$B$14=2,DE16*管理者用人口入力シート!AZ$8))</f>
        <v>297.10852624613148</v>
      </c>
      <c r="DG19" s="10">
        <f>IF(管理者入力シート!$B$14=1,DF16*管理者用人口入力シート!BA$4,IF(管理者入力シート!$B$14=2,DF16*管理者用人口入力シート!BA$8))</f>
        <v>272.11071615651412</v>
      </c>
      <c r="DH19" s="10">
        <f>IF(管理者入力シート!$B$14=1,DG16*管理者用人口入力シート!BB$4,IF(管理者入力シート!$B$14=2,DG16*管理者用人口入力シート!BB$8))</f>
        <v>228.44565512224153</v>
      </c>
      <c r="DI19" s="10">
        <f>IF(管理者入力シート!$B$14=1,DH16*管理者用人口入力シート!BC$4,IF(管理者入力シート!$B$14=2,DH16*管理者用人口入力シート!BC$8))</f>
        <v>167.63000551380108</v>
      </c>
      <c r="DJ19" s="10">
        <f>IF(管理者入力シート!$B$14=1,DI16*管理者用人口入力シート!BD$4,IF(管理者入力シート!$B$14=2,DI16*管理者用人口入力シート!BD$8))</f>
        <v>120.93154907942623</v>
      </c>
      <c r="DK19" s="10">
        <f>IF(管理者入力シート!$B$14=1,DJ16*管理者用人口入力シート!BE$4,IF(管理者入力シート!$B$14=2,DJ16*管理者用人口入力シート!BE$8))</f>
        <v>42.458587362585781</v>
      </c>
      <c r="DL19" s="10">
        <f>IF(管理者入力シート!$B$14=1,DK16*管理者用人口入力シート!BF$4,IF(管理者入力シート!$B$14=2,DK16*管理者用人口入力シート!BF$8))</f>
        <v>11.757499495011233</v>
      </c>
      <c r="DM19" s="10">
        <f t="shared" si="260"/>
        <v>3076.6458171944287</v>
      </c>
      <c r="DN19" s="10">
        <f t="shared" si="261"/>
        <v>122.02394333267668</v>
      </c>
      <c r="DO19" s="10">
        <f t="shared" si="262"/>
        <v>65.057956418825327</v>
      </c>
      <c r="DP19" s="10">
        <f t="shared" si="263"/>
        <v>1394.9058369679906</v>
      </c>
      <c r="DQ19" s="10">
        <f t="shared" si="264"/>
        <v>843.33401272957997</v>
      </c>
      <c r="DR19" s="14">
        <f t="shared" si="265"/>
        <v>0.45338525129291457</v>
      </c>
      <c r="DS19" s="14">
        <f t="shared" si="266"/>
        <v>0.27410825387064225</v>
      </c>
      <c r="DT19" s="10">
        <f t="shared" si="267"/>
        <v>443.69229247892855</v>
      </c>
      <c r="DX19" s="309"/>
      <c r="DY19" s="310"/>
      <c r="DZ19" s="311"/>
      <c r="EA19" s="311"/>
      <c r="EB19" s="311"/>
      <c r="EC19" s="311"/>
      <c r="ED19" s="311"/>
      <c r="EE19" s="311"/>
      <c r="EF19" s="311"/>
      <c r="EG19" s="311"/>
      <c r="EH19" s="311"/>
      <c r="EI19" s="311"/>
      <c r="EJ19" s="311"/>
      <c r="EK19" s="311"/>
      <c r="EL19" s="311"/>
      <c r="EM19" s="311"/>
      <c r="EN19" s="311"/>
      <c r="EO19" s="311"/>
      <c r="EP19" s="311"/>
      <c r="EQ19" s="311"/>
      <c r="ER19" s="311"/>
      <c r="ES19" s="311"/>
      <c r="ET19" s="311"/>
      <c r="EU19" s="311"/>
      <c r="EV19" s="312"/>
      <c r="EW19" s="312"/>
      <c r="EX19" s="314"/>
      <c r="EY19" s="314"/>
      <c r="EZ19" s="312"/>
      <c r="FA19" s="312"/>
      <c r="FB19" s="312"/>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186.80190559348694</v>
      </c>
      <c r="BL20" s="16">
        <f t="shared" ref="BL20:CE20" si="276">BL18+BL19</f>
        <v>207.41137597530559</v>
      </c>
      <c r="BM20" s="16">
        <f t="shared" si="276"/>
        <v>225.63483838006658</v>
      </c>
      <c r="BN20" s="16">
        <f t="shared" si="276"/>
        <v>234.90811775097899</v>
      </c>
      <c r="BO20" s="16">
        <f t="shared" si="276"/>
        <v>194.4675995567099</v>
      </c>
      <c r="BP20" s="16">
        <f t="shared" si="276"/>
        <v>226.58580889094537</v>
      </c>
      <c r="BQ20" s="16">
        <f t="shared" si="276"/>
        <v>256.73296104701603</v>
      </c>
      <c r="BR20" s="16">
        <f t="shared" si="276"/>
        <v>323.00994809196357</v>
      </c>
      <c r="BS20" s="16">
        <f t="shared" si="276"/>
        <v>315.4347715640622</v>
      </c>
      <c r="BT20" s="16">
        <f t="shared" si="276"/>
        <v>301.5923134267689</v>
      </c>
      <c r="BU20" s="16">
        <f t="shared" si="276"/>
        <v>344.0743764867463</v>
      </c>
      <c r="BV20" s="16">
        <f t="shared" si="276"/>
        <v>356.27618628779157</v>
      </c>
      <c r="BW20" s="16">
        <f t="shared" si="276"/>
        <v>436.13065532447933</v>
      </c>
      <c r="BX20" s="16">
        <f t="shared" si="276"/>
        <v>480.27366527024378</v>
      </c>
      <c r="BY20" s="16">
        <f t="shared" si="276"/>
        <v>572.31169065901531</v>
      </c>
      <c r="BZ20" s="16">
        <f t="shared" si="276"/>
        <v>499.45160257283624</v>
      </c>
      <c r="CA20" s="16">
        <f t="shared" si="276"/>
        <v>375.26319485887058</v>
      </c>
      <c r="CB20" s="16">
        <f t="shared" si="276"/>
        <v>269.51287258001213</v>
      </c>
      <c r="CC20" s="16">
        <f t="shared" si="276"/>
        <v>180.63267434242613</v>
      </c>
      <c r="CD20" s="16">
        <f t="shared" si="276"/>
        <v>56.996059550727722</v>
      </c>
      <c r="CE20" s="16">
        <f t="shared" si="276"/>
        <v>11.773934058856785</v>
      </c>
      <c r="CF20" s="11">
        <f t="shared" si="252"/>
        <v>6055.2765522693089</v>
      </c>
      <c r="CG20" s="11">
        <f t="shared" si="253"/>
        <v>259.82772861322326</v>
      </c>
      <c r="CH20" s="11">
        <f t="shared" si="254"/>
        <v>137.23555890222244</v>
      </c>
      <c r="CI20" s="11">
        <f t="shared" si="255"/>
        <v>2446.2156938929888</v>
      </c>
      <c r="CJ20" s="11">
        <f t="shared" si="256"/>
        <v>1393.6303379637295</v>
      </c>
      <c r="CK20" s="15">
        <f t="shared" si="257"/>
        <v>0.40398083766731208</v>
      </c>
      <c r="CL20" s="15">
        <f t="shared" si="258"/>
        <v>0.23015139373633478</v>
      </c>
      <c r="CM20" s="11">
        <f t="shared" si="259"/>
        <v>1000.7963175866349</v>
      </c>
      <c r="CO20" s="7" t="str">
        <f t="shared" si="26"/>
        <v>2050_3</v>
      </c>
      <c r="CP20" s="30">
        <f>CP19</f>
        <v>2050</v>
      </c>
      <c r="CQ20" s="5" t="s">
        <v>23</v>
      </c>
      <c r="CR20" s="16">
        <f>CR18+CR19</f>
        <v>193.28293102339919</v>
      </c>
      <c r="CS20" s="16">
        <f t="shared" ref="CS20:DL20" si="277">CS18+CS19</f>
        <v>212.86753100772611</v>
      </c>
      <c r="CT20" s="16">
        <f t="shared" si="277"/>
        <v>232.49114003638255</v>
      </c>
      <c r="CU20" s="16">
        <f t="shared" si="277"/>
        <v>241.15602879238065</v>
      </c>
      <c r="CV20" s="16">
        <f t="shared" si="277"/>
        <v>198.51960783893998</v>
      </c>
      <c r="CW20" s="16">
        <f t="shared" si="277"/>
        <v>233.51216445058034</v>
      </c>
      <c r="CX20" s="16">
        <f t="shared" si="277"/>
        <v>262.00969079804332</v>
      </c>
      <c r="CY20" s="16">
        <f t="shared" si="277"/>
        <v>328.46429581933</v>
      </c>
      <c r="CZ20" s="16">
        <f t="shared" si="277"/>
        <v>320.17998596465475</v>
      </c>
      <c r="DA20" s="16">
        <f t="shared" si="277"/>
        <v>306.32073180055136</v>
      </c>
      <c r="DB20" s="16">
        <f t="shared" si="277"/>
        <v>348.77076251775111</v>
      </c>
      <c r="DC20" s="16">
        <f t="shared" si="277"/>
        <v>357.26526772720376</v>
      </c>
      <c r="DD20" s="16">
        <f t="shared" si="277"/>
        <v>437.12243229833393</v>
      </c>
      <c r="DE20" s="16">
        <f t="shared" si="277"/>
        <v>481.26473796653943</v>
      </c>
      <c r="DF20" s="16">
        <f t="shared" si="277"/>
        <v>572.31169065901531</v>
      </c>
      <c r="DG20" s="16">
        <f t="shared" si="277"/>
        <v>499.45160257283624</v>
      </c>
      <c r="DH20" s="16">
        <f t="shared" si="277"/>
        <v>375.26319485887058</v>
      </c>
      <c r="DI20" s="16">
        <f t="shared" si="277"/>
        <v>269.51287258001213</v>
      </c>
      <c r="DJ20" s="16">
        <f t="shared" si="277"/>
        <v>180.63267434242613</v>
      </c>
      <c r="DK20" s="16">
        <f t="shared" si="277"/>
        <v>56.996059550727722</v>
      </c>
      <c r="DL20" s="16">
        <f t="shared" si="277"/>
        <v>11.773934058856785</v>
      </c>
      <c r="DM20" s="11">
        <f t="shared" si="260"/>
        <v>6119.1693366645604</v>
      </c>
      <c r="DN20" s="11">
        <f t="shared" si="261"/>
        <v>267.21520262646516</v>
      </c>
      <c r="DO20" s="11">
        <f t="shared" si="262"/>
        <v>141.22766177302915</v>
      </c>
      <c r="DP20" s="11">
        <f t="shared" si="263"/>
        <v>2447.2067665892846</v>
      </c>
      <c r="DQ20" s="11">
        <f t="shared" si="264"/>
        <v>1393.6303379637295</v>
      </c>
      <c r="DR20" s="15">
        <f t="shared" si="265"/>
        <v>0.39992466819413258</v>
      </c>
      <c r="DS20" s="15">
        <f t="shared" si="266"/>
        <v>0.22774828760064519</v>
      </c>
      <c r="DT20" s="11">
        <f t="shared" si="267"/>
        <v>1022.5057589068937</v>
      </c>
      <c r="DX20" s="28">
        <f>DX3</f>
        <v>2025</v>
      </c>
      <c r="DY20" s="3" t="s">
        <v>21</v>
      </c>
      <c r="DZ20" s="9">
        <f t="shared" ref="DZ20:ET20" si="278">ROUND(DZ3,0)</f>
        <v>166</v>
      </c>
      <c r="EA20" s="9">
        <f t="shared" si="278"/>
        <v>196</v>
      </c>
      <c r="EB20" s="9">
        <f t="shared" si="278"/>
        <v>221</v>
      </c>
      <c r="EC20" s="9">
        <f t="shared" si="278"/>
        <v>215</v>
      </c>
      <c r="ED20" s="9">
        <f t="shared" si="278"/>
        <v>171</v>
      </c>
      <c r="EE20" s="9">
        <f t="shared" si="278"/>
        <v>291</v>
      </c>
      <c r="EF20" s="9">
        <f t="shared" si="278"/>
        <v>290</v>
      </c>
      <c r="EG20" s="9">
        <f t="shared" si="278"/>
        <v>323</v>
      </c>
      <c r="EH20" s="9">
        <f t="shared" si="278"/>
        <v>258</v>
      </c>
      <c r="EI20" s="9">
        <f t="shared" si="278"/>
        <v>321</v>
      </c>
      <c r="EJ20" s="9">
        <f t="shared" si="278"/>
        <v>297</v>
      </c>
      <c r="EK20" s="9">
        <f t="shared" si="278"/>
        <v>253</v>
      </c>
      <c r="EL20" s="9">
        <f t="shared" si="278"/>
        <v>272</v>
      </c>
      <c r="EM20" s="9">
        <f t="shared" si="278"/>
        <v>294</v>
      </c>
      <c r="EN20" s="9">
        <f t="shared" si="278"/>
        <v>340</v>
      </c>
      <c r="EO20" s="9">
        <f t="shared" si="278"/>
        <v>337</v>
      </c>
      <c r="EP20" s="9">
        <f t="shared" si="278"/>
        <v>202</v>
      </c>
      <c r="EQ20" s="9">
        <f t="shared" si="278"/>
        <v>99</v>
      </c>
      <c r="ER20" s="9">
        <f t="shared" si="278"/>
        <v>69</v>
      </c>
      <c r="ES20" s="9">
        <f t="shared" si="278"/>
        <v>9</v>
      </c>
      <c r="ET20" s="9">
        <f t="shared" si="278"/>
        <v>0</v>
      </c>
      <c r="EU20" s="9">
        <f t="shared" ref="EU20:EU21" si="279">SUM(DZ20:ET20)</f>
        <v>4624</v>
      </c>
      <c r="EV20" s="9">
        <f>EA20*3/5+EB20*3/5</f>
        <v>250.2</v>
      </c>
      <c r="EW20" s="9">
        <f>EB20*2/5+EC20*1/5</f>
        <v>131.4</v>
      </c>
      <c r="EX20" s="9">
        <f t="shared" ref="EX20:EX31" si="280">SUM(EM20:ET20)</f>
        <v>1350</v>
      </c>
      <c r="EY20" s="9">
        <f>SUM(EO20:ET20)</f>
        <v>716</v>
      </c>
      <c r="EZ20" s="13">
        <f>EX20/EU20</f>
        <v>0.29195501730103807</v>
      </c>
      <c r="FA20" s="13">
        <f>EY20/EU20</f>
        <v>0.15484429065743946</v>
      </c>
      <c r="FB20" s="9">
        <f>SUM(ED20:EG20)</f>
        <v>1075</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150</v>
      </c>
      <c r="EA21" s="10">
        <f t="shared" si="281"/>
        <v>162</v>
      </c>
      <c r="EB21" s="10">
        <f t="shared" si="281"/>
        <v>212</v>
      </c>
      <c r="EC21" s="10">
        <f t="shared" si="281"/>
        <v>210</v>
      </c>
      <c r="ED21" s="10">
        <f t="shared" si="281"/>
        <v>149</v>
      </c>
      <c r="EE21" s="10">
        <f t="shared" si="281"/>
        <v>246</v>
      </c>
      <c r="EF21" s="10">
        <f t="shared" si="281"/>
        <v>256</v>
      </c>
      <c r="EG21" s="10">
        <f t="shared" si="281"/>
        <v>325</v>
      </c>
      <c r="EH21" s="10">
        <f t="shared" si="281"/>
        <v>256</v>
      </c>
      <c r="EI21" s="10">
        <f t="shared" si="281"/>
        <v>325</v>
      </c>
      <c r="EJ21" s="10">
        <f t="shared" si="281"/>
        <v>319</v>
      </c>
      <c r="EK21" s="10">
        <f t="shared" si="281"/>
        <v>293</v>
      </c>
      <c r="EL21" s="10">
        <f t="shared" si="281"/>
        <v>283</v>
      </c>
      <c r="EM21" s="10">
        <f t="shared" si="281"/>
        <v>337</v>
      </c>
      <c r="EN21" s="10">
        <f t="shared" si="281"/>
        <v>371</v>
      </c>
      <c r="EO21" s="10">
        <f t="shared" si="281"/>
        <v>405</v>
      </c>
      <c r="EP21" s="10">
        <f t="shared" si="281"/>
        <v>284</v>
      </c>
      <c r="EQ21" s="10">
        <f t="shared" si="281"/>
        <v>203</v>
      </c>
      <c r="ER21" s="10">
        <f t="shared" si="281"/>
        <v>128</v>
      </c>
      <c r="ES21" s="10">
        <f t="shared" si="281"/>
        <v>37</v>
      </c>
      <c r="ET21" s="10">
        <f t="shared" si="281"/>
        <v>7</v>
      </c>
      <c r="EU21" s="10">
        <f t="shared" si="279"/>
        <v>4958</v>
      </c>
      <c r="EV21" s="10">
        <f t="shared" ref="EV21:EV31" si="282">EA21*3/5+EB21*3/5</f>
        <v>224.4</v>
      </c>
      <c r="EW21" s="10">
        <f t="shared" ref="EW21:EW31" si="283">EB21*2/5+EC21*1/5</f>
        <v>126.8</v>
      </c>
      <c r="EX21" s="10">
        <f t="shared" si="280"/>
        <v>1772</v>
      </c>
      <c r="EY21" s="10">
        <f t="shared" ref="EY21:EY31" si="284">SUM(EO21:ET21)</f>
        <v>1064</v>
      </c>
      <c r="EZ21" s="14">
        <f t="shared" ref="EZ21:EZ31" si="285">EX21/EU21</f>
        <v>0.35740217829770071</v>
      </c>
      <c r="FA21" s="14">
        <f t="shared" ref="FA21:FA31" si="286">EY21/EU21</f>
        <v>0.21460266236385639</v>
      </c>
      <c r="FB21" s="10">
        <f>SUM(ED21:EG21)</f>
        <v>976</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316</v>
      </c>
      <c r="EA22" s="16">
        <f t="shared" ref="EA22:ET22" si="287">EA20+EA21</f>
        <v>358</v>
      </c>
      <c r="EB22" s="16">
        <f t="shared" si="287"/>
        <v>433</v>
      </c>
      <c r="EC22" s="16">
        <f t="shared" si="287"/>
        <v>425</v>
      </c>
      <c r="ED22" s="16">
        <f t="shared" si="287"/>
        <v>320</v>
      </c>
      <c r="EE22" s="16">
        <f t="shared" si="287"/>
        <v>537</v>
      </c>
      <c r="EF22" s="16">
        <f t="shared" si="287"/>
        <v>546</v>
      </c>
      <c r="EG22" s="16">
        <f t="shared" si="287"/>
        <v>648</v>
      </c>
      <c r="EH22" s="16">
        <f t="shared" si="287"/>
        <v>514</v>
      </c>
      <c r="EI22" s="16">
        <f t="shared" si="287"/>
        <v>646</v>
      </c>
      <c r="EJ22" s="16">
        <f t="shared" si="287"/>
        <v>616</v>
      </c>
      <c r="EK22" s="16">
        <f t="shared" si="287"/>
        <v>546</v>
      </c>
      <c r="EL22" s="16">
        <f t="shared" si="287"/>
        <v>555</v>
      </c>
      <c r="EM22" s="16">
        <f t="shared" si="287"/>
        <v>631</v>
      </c>
      <c r="EN22" s="16">
        <f t="shared" si="287"/>
        <v>711</v>
      </c>
      <c r="EO22" s="16">
        <f t="shared" si="287"/>
        <v>742</v>
      </c>
      <c r="EP22" s="16">
        <f t="shared" si="287"/>
        <v>486</v>
      </c>
      <c r="EQ22" s="16">
        <f t="shared" si="287"/>
        <v>302</v>
      </c>
      <c r="ER22" s="16">
        <f t="shared" si="287"/>
        <v>197</v>
      </c>
      <c r="ES22" s="16">
        <f t="shared" si="287"/>
        <v>46</v>
      </c>
      <c r="ET22" s="16">
        <f t="shared" si="287"/>
        <v>7</v>
      </c>
      <c r="EU22" s="11">
        <f>SUM(DZ22:ET22)</f>
        <v>9582</v>
      </c>
      <c r="EV22" s="11">
        <f t="shared" si="282"/>
        <v>474.6</v>
      </c>
      <c r="EW22" s="11">
        <f t="shared" si="283"/>
        <v>258.2</v>
      </c>
      <c r="EX22" s="11">
        <f t="shared" si="280"/>
        <v>3122</v>
      </c>
      <c r="EY22" s="11">
        <f t="shared" si="284"/>
        <v>1780</v>
      </c>
      <c r="EZ22" s="15">
        <f t="shared" si="285"/>
        <v>0.32581924441661447</v>
      </c>
      <c r="FA22" s="15">
        <f t="shared" si="286"/>
        <v>0.18576497599666039</v>
      </c>
      <c r="FB22" s="11">
        <f>SUM(ED22:EG22)</f>
        <v>2051</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237</v>
      </c>
      <c r="EA23" s="9">
        <f t="shared" si="288"/>
        <v>166</v>
      </c>
      <c r="EB23" s="9">
        <f t="shared" si="288"/>
        <v>191</v>
      </c>
      <c r="EC23" s="9">
        <f t="shared" si="288"/>
        <v>209</v>
      </c>
      <c r="ED23" s="9">
        <f t="shared" si="288"/>
        <v>174</v>
      </c>
      <c r="EE23" s="9">
        <f t="shared" si="288"/>
        <v>260</v>
      </c>
      <c r="EF23" s="9">
        <f t="shared" si="288"/>
        <v>366</v>
      </c>
      <c r="EG23" s="9">
        <f t="shared" si="288"/>
        <v>376</v>
      </c>
      <c r="EH23" s="9">
        <f t="shared" si="288"/>
        <v>312</v>
      </c>
      <c r="EI23" s="9">
        <f t="shared" si="288"/>
        <v>247</v>
      </c>
      <c r="EJ23" s="9">
        <f t="shared" si="288"/>
        <v>315</v>
      </c>
      <c r="EK23" s="9">
        <f t="shared" si="288"/>
        <v>290</v>
      </c>
      <c r="EL23" s="9">
        <f t="shared" si="288"/>
        <v>250</v>
      </c>
      <c r="EM23" s="9">
        <f t="shared" si="288"/>
        <v>263</v>
      </c>
      <c r="EN23" s="9">
        <f t="shared" si="288"/>
        <v>275</v>
      </c>
      <c r="EO23" s="9">
        <f t="shared" si="288"/>
        <v>298</v>
      </c>
      <c r="EP23" s="9">
        <f t="shared" si="288"/>
        <v>249</v>
      </c>
      <c r="EQ23" s="9">
        <f t="shared" si="288"/>
        <v>129</v>
      </c>
      <c r="ER23" s="9">
        <f t="shared" si="288"/>
        <v>52</v>
      </c>
      <c r="ES23" s="9">
        <f t="shared" si="288"/>
        <v>14</v>
      </c>
      <c r="ET23" s="9">
        <f t="shared" si="288"/>
        <v>0</v>
      </c>
      <c r="EU23" s="9">
        <f t="shared" ref="EU23:EU31" si="289">SUM(DZ23:ET23)</f>
        <v>4673</v>
      </c>
      <c r="EV23" s="9">
        <f t="shared" si="282"/>
        <v>214.2</v>
      </c>
      <c r="EW23" s="9">
        <f t="shared" si="283"/>
        <v>118.2</v>
      </c>
      <c r="EX23" s="9">
        <f t="shared" si="280"/>
        <v>1280</v>
      </c>
      <c r="EY23" s="9">
        <f t="shared" si="284"/>
        <v>742</v>
      </c>
      <c r="EZ23" s="13">
        <f t="shared" si="285"/>
        <v>0.27391397389257438</v>
      </c>
      <c r="FA23" s="13">
        <f t="shared" si="286"/>
        <v>0.15878450674085171</v>
      </c>
      <c r="FB23" s="9">
        <f t="shared" ref="FB23:FB31" si="290">SUM(ED23:EG23)</f>
        <v>1176</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214</v>
      </c>
      <c r="EA24" s="10">
        <f t="shared" si="291"/>
        <v>137</v>
      </c>
      <c r="EB24" s="10">
        <f t="shared" si="291"/>
        <v>162</v>
      </c>
      <c r="EC24" s="10">
        <f t="shared" si="291"/>
        <v>202</v>
      </c>
      <c r="ED24" s="10">
        <f t="shared" si="291"/>
        <v>156</v>
      </c>
      <c r="EE24" s="10">
        <f t="shared" si="291"/>
        <v>228</v>
      </c>
      <c r="EF24" s="10">
        <f t="shared" si="291"/>
        <v>312</v>
      </c>
      <c r="EG24" s="10">
        <f t="shared" si="291"/>
        <v>350</v>
      </c>
      <c r="EH24" s="10">
        <f t="shared" si="291"/>
        <v>300</v>
      </c>
      <c r="EI24" s="10">
        <f t="shared" si="291"/>
        <v>262</v>
      </c>
      <c r="EJ24" s="10">
        <f t="shared" si="291"/>
        <v>325</v>
      </c>
      <c r="EK24" s="10">
        <f t="shared" si="291"/>
        <v>308</v>
      </c>
      <c r="EL24" s="10">
        <f t="shared" si="291"/>
        <v>294</v>
      </c>
      <c r="EM24" s="10">
        <f t="shared" si="291"/>
        <v>282</v>
      </c>
      <c r="EN24" s="10">
        <f t="shared" si="291"/>
        <v>318</v>
      </c>
      <c r="EO24" s="10">
        <f t="shared" si="291"/>
        <v>346</v>
      </c>
      <c r="EP24" s="10">
        <f t="shared" si="291"/>
        <v>358</v>
      </c>
      <c r="EQ24" s="10">
        <f t="shared" si="291"/>
        <v>217</v>
      </c>
      <c r="ER24" s="10">
        <f t="shared" si="291"/>
        <v>123</v>
      </c>
      <c r="ES24" s="10">
        <f t="shared" si="291"/>
        <v>39</v>
      </c>
      <c r="ET24" s="10">
        <f t="shared" si="291"/>
        <v>9</v>
      </c>
      <c r="EU24" s="10">
        <f t="shared" si="289"/>
        <v>4942</v>
      </c>
      <c r="EV24" s="10">
        <f t="shared" si="282"/>
        <v>179.4</v>
      </c>
      <c r="EW24" s="10">
        <f t="shared" si="283"/>
        <v>105.19999999999999</v>
      </c>
      <c r="EX24" s="10">
        <f t="shared" si="280"/>
        <v>1692</v>
      </c>
      <c r="EY24" s="10">
        <f t="shared" si="284"/>
        <v>1092</v>
      </c>
      <c r="EZ24" s="14">
        <f t="shared" si="285"/>
        <v>0.34237150951031969</v>
      </c>
      <c r="FA24" s="14">
        <f t="shared" si="286"/>
        <v>0.22096317280453256</v>
      </c>
      <c r="FB24" s="10">
        <f t="shared" si="290"/>
        <v>1046</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451</v>
      </c>
      <c r="EA25" s="16">
        <f t="shared" ref="EA25:ET25" si="292">EA23+EA24</f>
        <v>303</v>
      </c>
      <c r="EB25" s="16">
        <f t="shared" si="292"/>
        <v>353</v>
      </c>
      <c r="EC25" s="16">
        <f t="shared" si="292"/>
        <v>411</v>
      </c>
      <c r="ED25" s="16">
        <f t="shared" si="292"/>
        <v>330</v>
      </c>
      <c r="EE25" s="16">
        <f t="shared" si="292"/>
        <v>488</v>
      </c>
      <c r="EF25" s="16">
        <f t="shared" si="292"/>
        <v>678</v>
      </c>
      <c r="EG25" s="16">
        <f t="shared" si="292"/>
        <v>726</v>
      </c>
      <c r="EH25" s="16">
        <f t="shared" si="292"/>
        <v>612</v>
      </c>
      <c r="EI25" s="16">
        <f t="shared" si="292"/>
        <v>509</v>
      </c>
      <c r="EJ25" s="16">
        <f t="shared" si="292"/>
        <v>640</v>
      </c>
      <c r="EK25" s="16">
        <f t="shared" si="292"/>
        <v>598</v>
      </c>
      <c r="EL25" s="16">
        <f t="shared" si="292"/>
        <v>544</v>
      </c>
      <c r="EM25" s="16">
        <f t="shared" si="292"/>
        <v>545</v>
      </c>
      <c r="EN25" s="16">
        <f t="shared" si="292"/>
        <v>593</v>
      </c>
      <c r="EO25" s="16">
        <f t="shared" si="292"/>
        <v>644</v>
      </c>
      <c r="EP25" s="16">
        <f t="shared" si="292"/>
        <v>607</v>
      </c>
      <c r="EQ25" s="16">
        <f t="shared" si="292"/>
        <v>346</v>
      </c>
      <c r="ER25" s="16">
        <f t="shared" si="292"/>
        <v>175</v>
      </c>
      <c r="ES25" s="16">
        <f t="shared" si="292"/>
        <v>53</v>
      </c>
      <c r="ET25" s="16">
        <f t="shared" si="292"/>
        <v>9</v>
      </c>
      <c r="EU25" s="11">
        <f t="shared" si="289"/>
        <v>9615</v>
      </c>
      <c r="EV25" s="11">
        <f t="shared" si="282"/>
        <v>393.6</v>
      </c>
      <c r="EW25" s="11">
        <f t="shared" si="283"/>
        <v>223.39999999999998</v>
      </c>
      <c r="EX25" s="11">
        <f t="shared" si="280"/>
        <v>2972</v>
      </c>
      <c r="EY25" s="11">
        <f t="shared" si="284"/>
        <v>1834</v>
      </c>
      <c r="EZ25" s="15">
        <f t="shared" si="285"/>
        <v>0.30910036401456059</v>
      </c>
      <c r="FA25" s="15">
        <f t="shared" si="286"/>
        <v>0.1907436297451898</v>
      </c>
      <c r="FB25" s="11">
        <f t="shared" si="290"/>
        <v>2222</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247</v>
      </c>
      <c r="EA26" s="9">
        <f t="shared" si="293"/>
        <v>237</v>
      </c>
      <c r="EB26" s="9">
        <f t="shared" si="293"/>
        <v>162</v>
      </c>
      <c r="EC26" s="9">
        <f t="shared" si="293"/>
        <v>181</v>
      </c>
      <c r="ED26" s="9">
        <f t="shared" si="293"/>
        <v>170</v>
      </c>
      <c r="EE26" s="9">
        <f t="shared" si="293"/>
        <v>263</v>
      </c>
      <c r="EF26" s="9">
        <f t="shared" si="293"/>
        <v>335</v>
      </c>
      <c r="EG26" s="9">
        <f t="shared" si="293"/>
        <v>455</v>
      </c>
      <c r="EH26" s="9">
        <f t="shared" si="293"/>
        <v>363</v>
      </c>
      <c r="EI26" s="9">
        <f t="shared" si="293"/>
        <v>299</v>
      </c>
      <c r="EJ26" s="9">
        <f t="shared" si="293"/>
        <v>243</v>
      </c>
      <c r="EK26" s="9">
        <f t="shared" si="293"/>
        <v>308</v>
      </c>
      <c r="EL26" s="9">
        <f t="shared" si="293"/>
        <v>287</v>
      </c>
      <c r="EM26" s="9">
        <f t="shared" si="293"/>
        <v>242</v>
      </c>
      <c r="EN26" s="9">
        <f t="shared" si="293"/>
        <v>246</v>
      </c>
      <c r="EO26" s="9">
        <f t="shared" si="293"/>
        <v>241</v>
      </c>
      <c r="EP26" s="9">
        <f t="shared" si="293"/>
        <v>221</v>
      </c>
      <c r="EQ26" s="9">
        <f t="shared" si="293"/>
        <v>159</v>
      </c>
      <c r="ER26" s="9">
        <f t="shared" si="293"/>
        <v>68</v>
      </c>
      <c r="ES26" s="9">
        <f t="shared" si="293"/>
        <v>10</v>
      </c>
      <c r="ET26" s="9">
        <f t="shared" si="293"/>
        <v>0</v>
      </c>
      <c r="EU26" s="9">
        <f t="shared" si="289"/>
        <v>4737</v>
      </c>
      <c r="EV26" s="9">
        <f t="shared" si="282"/>
        <v>239.39999999999998</v>
      </c>
      <c r="EW26" s="9">
        <f t="shared" si="283"/>
        <v>101</v>
      </c>
      <c r="EX26" s="9">
        <f t="shared" si="280"/>
        <v>1187</v>
      </c>
      <c r="EY26" s="9">
        <f t="shared" si="284"/>
        <v>699</v>
      </c>
      <c r="EZ26" s="13">
        <f t="shared" si="285"/>
        <v>0.25058053620434872</v>
      </c>
      <c r="FA26" s="13">
        <f t="shared" si="286"/>
        <v>0.14756174794173527</v>
      </c>
      <c r="FB26" s="9">
        <f t="shared" si="290"/>
        <v>1223</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222</v>
      </c>
      <c r="EA27" s="10">
        <f t="shared" si="294"/>
        <v>196</v>
      </c>
      <c r="EB27" s="10">
        <f t="shared" si="294"/>
        <v>138</v>
      </c>
      <c r="EC27" s="10">
        <f t="shared" si="294"/>
        <v>155</v>
      </c>
      <c r="ED27" s="10">
        <f t="shared" si="294"/>
        <v>150</v>
      </c>
      <c r="EE27" s="10">
        <f t="shared" si="294"/>
        <v>235</v>
      </c>
      <c r="EF27" s="10">
        <f t="shared" si="294"/>
        <v>295</v>
      </c>
      <c r="EG27" s="10">
        <f t="shared" si="294"/>
        <v>408</v>
      </c>
      <c r="EH27" s="10">
        <f t="shared" si="294"/>
        <v>323</v>
      </c>
      <c r="EI27" s="10">
        <f t="shared" si="294"/>
        <v>307</v>
      </c>
      <c r="EJ27" s="10">
        <f t="shared" si="294"/>
        <v>262</v>
      </c>
      <c r="EK27" s="10">
        <f t="shared" si="294"/>
        <v>314</v>
      </c>
      <c r="EL27" s="10">
        <f t="shared" si="294"/>
        <v>309</v>
      </c>
      <c r="EM27" s="10">
        <f t="shared" si="294"/>
        <v>294</v>
      </c>
      <c r="EN27" s="10">
        <f t="shared" si="294"/>
        <v>267</v>
      </c>
      <c r="EO27" s="10">
        <f t="shared" si="294"/>
        <v>297</v>
      </c>
      <c r="EP27" s="10">
        <f t="shared" si="294"/>
        <v>305</v>
      </c>
      <c r="EQ27" s="10">
        <f t="shared" si="294"/>
        <v>273</v>
      </c>
      <c r="ER27" s="10">
        <f t="shared" si="294"/>
        <v>131</v>
      </c>
      <c r="ES27" s="10">
        <f t="shared" si="294"/>
        <v>37</v>
      </c>
      <c r="ET27" s="10">
        <f t="shared" si="294"/>
        <v>9</v>
      </c>
      <c r="EU27" s="10">
        <f t="shared" si="289"/>
        <v>4927</v>
      </c>
      <c r="EV27" s="10">
        <f t="shared" si="282"/>
        <v>200.39999999999998</v>
      </c>
      <c r="EW27" s="10">
        <f t="shared" si="283"/>
        <v>86.2</v>
      </c>
      <c r="EX27" s="10">
        <f t="shared" si="280"/>
        <v>1613</v>
      </c>
      <c r="EY27" s="10">
        <f t="shared" si="284"/>
        <v>1052</v>
      </c>
      <c r="EZ27" s="14">
        <f t="shared" si="285"/>
        <v>0.3273797442662878</v>
      </c>
      <c r="FA27" s="14">
        <f t="shared" si="286"/>
        <v>0.21351735335904201</v>
      </c>
      <c r="FB27" s="10">
        <f t="shared" si="290"/>
        <v>1088</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469</v>
      </c>
      <c r="EA28" s="16">
        <f t="shared" ref="EA28:ET28" si="295">EA26+EA27</f>
        <v>433</v>
      </c>
      <c r="EB28" s="16">
        <f t="shared" si="295"/>
        <v>300</v>
      </c>
      <c r="EC28" s="16">
        <f t="shared" si="295"/>
        <v>336</v>
      </c>
      <c r="ED28" s="16">
        <f t="shared" si="295"/>
        <v>320</v>
      </c>
      <c r="EE28" s="16">
        <f t="shared" si="295"/>
        <v>498</v>
      </c>
      <c r="EF28" s="16">
        <f t="shared" si="295"/>
        <v>630</v>
      </c>
      <c r="EG28" s="16">
        <f t="shared" si="295"/>
        <v>863</v>
      </c>
      <c r="EH28" s="16">
        <f t="shared" si="295"/>
        <v>686</v>
      </c>
      <c r="EI28" s="16">
        <f t="shared" si="295"/>
        <v>606</v>
      </c>
      <c r="EJ28" s="16">
        <f t="shared" si="295"/>
        <v>505</v>
      </c>
      <c r="EK28" s="16">
        <f t="shared" si="295"/>
        <v>622</v>
      </c>
      <c r="EL28" s="16">
        <f t="shared" si="295"/>
        <v>596</v>
      </c>
      <c r="EM28" s="16">
        <f t="shared" si="295"/>
        <v>536</v>
      </c>
      <c r="EN28" s="16">
        <f t="shared" si="295"/>
        <v>513</v>
      </c>
      <c r="EO28" s="16">
        <f t="shared" si="295"/>
        <v>538</v>
      </c>
      <c r="EP28" s="16">
        <f t="shared" si="295"/>
        <v>526</v>
      </c>
      <c r="EQ28" s="16">
        <f t="shared" si="295"/>
        <v>432</v>
      </c>
      <c r="ER28" s="16">
        <f t="shared" si="295"/>
        <v>199</v>
      </c>
      <c r="ES28" s="16">
        <f t="shared" si="295"/>
        <v>47</v>
      </c>
      <c r="ET28" s="16">
        <f t="shared" si="295"/>
        <v>9</v>
      </c>
      <c r="EU28" s="11">
        <f t="shared" si="289"/>
        <v>9664</v>
      </c>
      <c r="EV28" s="11">
        <f t="shared" si="282"/>
        <v>439.8</v>
      </c>
      <c r="EW28" s="11">
        <f t="shared" si="283"/>
        <v>187.2</v>
      </c>
      <c r="EX28" s="11">
        <f t="shared" si="280"/>
        <v>2800</v>
      </c>
      <c r="EY28" s="11">
        <f t="shared" si="284"/>
        <v>1751</v>
      </c>
      <c r="EZ28" s="15">
        <f t="shared" si="285"/>
        <v>0.28973509933774833</v>
      </c>
      <c r="FA28" s="15">
        <f t="shared" si="286"/>
        <v>0.18118791390728478</v>
      </c>
      <c r="FB28" s="11">
        <f t="shared" si="290"/>
        <v>2311</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235</v>
      </c>
      <c r="EA29" s="9">
        <f t="shared" si="296"/>
        <v>247</v>
      </c>
      <c r="EB29" s="9">
        <f t="shared" si="296"/>
        <v>231</v>
      </c>
      <c r="EC29" s="9">
        <f t="shared" si="296"/>
        <v>154</v>
      </c>
      <c r="ED29" s="9">
        <f t="shared" si="296"/>
        <v>147</v>
      </c>
      <c r="EE29" s="9">
        <f t="shared" si="296"/>
        <v>259</v>
      </c>
      <c r="EF29" s="9">
        <f t="shared" si="296"/>
        <v>339</v>
      </c>
      <c r="EG29" s="9">
        <f t="shared" si="296"/>
        <v>423</v>
      </c>
      <c r="EH29" s="9">
        <f t="shared" si="296"/>
        <v>439</v>
      </c>
      <c r="EI29" s="9">
        <f t="shared" si="296"/>
        <v>348</v>
      </c>
      <c r="EJ29" s="9">
        <f t="shared" si="296"/>
        <v>294</v>
      </c>
      <c r="EK29" s="9">
        <f t="shared" si="296"/>
        <v>237</v>
      </c>
      <c r="EL29" s="9">
        <f t="shared" si="296"/>
        <v>304</v>
      </c>
      <c r="EM29" s="9">
        <f t="shared" si="296"/>
        <v>277</v>
      </c>
      <c r="EN29" s="9">
        <f t="shared" si="296"/>
        <v>226</v>
      </c>
      <c r="EO29" s="9">
        <f t="shared" si="296"/>
        <v>216</v>
      </c>
      <c r="EP29" s="9">
        <f t="shared" si="296"/>
        <v>178</v>
      </c>
      <c r="EQ29" s="9">
        <f t="shared" si="296"/>
        <v>141</v>
      </c>
      <c r="ER29" s="9">
        <f t="shared" si="296"/>
        <v>84</v>
      </c>
      <c r="ES29" s="9">
        <f t="shared" si="296"/>
        <v>13</v>
      </c>
      <c r="ET29" s="9">
        <f t="shared" si="296"/>
        <v>0</v>
      </c>
      <c r="EU29" s="9">
        <f t="shared" si="289"/>
        <v>4792</v>
      </c>
      <c r="EV29" s="9">
        <f t="shared" si="282"/>
        <v>286.79999999999995</v>
      </c>
      <c r="EW29" s="9">
        <f t="shared" si="283"/>
        <v>123.2</v>
      </c>
      <c r="EX29" s="9">
        <f t="shared" si="280"/>
        <v>1135</v>
      </c>
      <c r="EY29" s="9">
        <f t="shared" si="284"/>
        <v>632</v>
      </c>
      <c r="EZ29" s="13">
        <f t="shared" si="285"/>
        <v>0.23685308848080133</v>
      </c>
      <c r="FA29" s="13">
        <f t="shared" si="286"/>
        <v>0.1318864774624374</v>
      </c>
      <c r="FB29" s="9">
        <f t="shared" si="290"/>
        <v>1168</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212</v>
      </c>
      <c r="EA30" s="10">
        <f t="shared" si="297"/>
        <v>204</v>
      </c>
      <c r="EB30" s="10">
        <f t="shared" si="297"/>
        <v>197</v>
      </c>
      <c r="EC30" s="10">
        <f t="shared" si="297"/>
        <v>131</v>
      </c>
      <c r="ED30" s="10">
        <f t="shared" si="297"/>
        <v>115</v>
      </c>
      <c r="EE30" s="10">
        <f t="shared" si="297"/>
        <v>229</v>
      </c>
      <c r="EF30" s="10">
        <f t="shared" si="297"/>
        <v>301</v>
      </c>
      <c r="EG30" s="10">
        <f t="shared" si="297"/>
        <v>390</v>
      </c>
      <c r="EH30" s="10">
        <f t="shared" si="297"/>
        <v>377</v>
      </c>
      <c r="EI30" s="10">
        <f t="shared" si="297"/>
        <v>330</v>
      </c>
      <c r="EJ30" s="10">
        <f t="shared" si="297"/>
        <v>308</v>
      </c>
      <c r="EK30" s="10">
        <f t="shared" si="297"/>
        <v>253</v>
      </c>
      <c r="EL30" s="10">
        <f t="shared" si="297"/>
        <v>315</v>
      </c>
      <c r="EM30" s="10">
        <f t="shared" si="297"/>
        <v>308</v>
      </c>
      <c r="EN30" s="10">
        <f t="shared" si="297"/>
        <v>277</v>
      </c>
      <c r="EO30" s="10">
        <f t="shared" si="297"/>
        <v>249</v>
      </c>
      <c r="EP30" s="10">
        <f t="shared" si="297"/>
        <v>262</v>
      </c>
      <c r="EQ30" s="10">
        <f t="shared" si="297"/>
        <v>233</v>
      </c>
      <c r="ER30" s="10">
        <f t="shared" si="297"/>
        <v>165</v>
      </c>
      <c r="ES30" s="10">
        <f t="shared" si="297"/>
        <v>40</v>
      </c>
      <c r="ET30" s="10">
        <f t="shared" si="297"/>
        <v>9</v>
      </c>
      <c r="EU30" s="10">
        <f t="shared" si="289"/>
        <v>4905</v>
      </c>
      <c r="EV30" s="10">
        <f t="shared" si="282"/>
        <v>240.60000000000002</v>
      </c>
      <c r="EW30" s="10">
        <f t="shared" si="283"/>
        <v>105</v>
      </c>
      <c r="EX30" s="10">
        <f t="shared" si="280"/>
        <v>1543</v>
      </c>
      <c r="EY30" s="10">
        <f t="shared" si="284"/>
        <v>958</v>
      </c>
      <c r="EZ30" s="14">
        <f t="shared" si="285"/>
        <v>0.31457696228338428</v>
      </c>
      <c r="FA30" s="14">
        <f t="shared" si="286"/>
        <v>0.19531090723751274</v>
      </c>
      <c r="FB30" s="10">
        <f t="shared" si="290"/>
        <v>1035</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447</v>
      </c>
      <c r="EA31" s="16">
        <f t="shared" ref="EA31:ET31" si="298">EA29+EA30</f>
        <v>451</v>
      </c>
      <c r="EB31" s="16">
        <f t="shared" si="298"/>
        <v>428</v>
      </c>
      <c r="EC31" s="16">
        <f t="shared" si="298"/>
        <v>285</v>
      </c>
      <c r="ED31" s="16">
        <f t="shared" si="298"/>
        <v>262</v>
      </c>
      <c r="EE31" s="16">
        <f t="shared" si="298"/>
        <v>488</v>
      </c>
      <c r="EF31" s="16">
        <f t="shared" si="298"/>
        <v>640</v>
      </c>
      <c r="EG31" s="16">
        <f t="shared" si="298"/>
        <v>813</v>
      </c>
      <c r="EH31" s="16">
        <f t="shared" si="298"/>
        <v>816</v>
      </c>
      <c r="EI31" s="16">
        <f t="shared" si="298"/>
        <v>678</v>
      </c>
      <c r="EJ31" s="16">
        <f t="shared" si="298"/>
        <v>602</v>
      </c>
      <c r="EK31" s="16">
        <f t="shared" si="298"/>
        <v>490</v>
      </c>
      <c r="EL31" s="16">
        <f t="shared" si="298"/>
        <v>619</v>
      </c>
      <c r="EM31" s="16">
        <f t="shared" si="298"/>
        <v>585</v>
      </c>
      <c r="EN31" s="16">
        <f t="shared" si="298"/>
        <v>503</v>
      </c>
      <c r="EO31" s="16">
        <f t="shared" si="298"/>
        <v>465</v>
      </c>
      <c r="EP31" s="16">
        <f t="shared" si="298"/>
        <v>440</v>
      </c>
      <c r="EQ31" s="16">
        <f t="shared" si="298"/>
        <v>374</v>
      </c>
      <c r="ER31" s="16">
        <f t="shared" si="298"/>
        <v>249</v>
      </c>
      <c r="ES31" s="16">
        <f t="shared" si="298"/>
        <v>53</v>
      </c>
      <c r="ET31" s="16">
        <f t="shared" si="298"/>
        <v>9</v>
      </c>
      <c r="EU31" s="11">
        <f t="shared" si="289"/>
        <v>9697</v>
      </c>
      <c r="EV31" s="11">
        <f t="shared" si="282"/>
        <v>527.40000000000009</v>
      </c>
      <c r="EW31" s="11">
        <f t="shared" si="283"/>
        <v>228.2</v>
      </c>
      <c r="EX31" s="11">
        <f t="shared" si="280"/>
        <v>2678</v>
      </c>
      <c r="EY31" s="11">
        <f t="shared" si="284"/>
        <v>1590</v>
      </c>
      <c r="EZ31" s="15">
        <f t="shared" si="285"/>
        <v>0.27616788697535322</v>
      </c>
      <c r="FA31" s="15">
        <f t="shared" si="286"/>
        <v>0.16396823759925749</v>
      </c>
      <c r="FB31" s="11">
        <f t="shared" si="290"/>
        <v>2203</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4893</v>
      </c>
      <c r="D4" s="17">
        <f>SUM(C41:C61)</f>
        <v>5478</v>
      </c>
      <c r="E4" s="17">
        <f>C4+D4</f>
        <v>10371</v>
      </c>
      <c r="F4" s="85"/>
      <c r="G4" s="1" t="s">
        <v>58</v>
      </c>
      <c r="H4" s="1">
        <f>B4</f>
        <v>2010</v>
      </c>
      <c r="I4" s="17">
        <f>C4</f>
        <v>4893</v>
      </c>
      <c r="J4" s="17">
        <f>D4</f>
        <v>5478</v>
      </c>
      <c r="K4" s="17">
        <f>I4+J4</f>
        <v>10371</v>
      </c>
      <c r="N4" s="1" t="s">
        <v>58</v>
      </c>
      <c r="O4" s="1">
        <f>H4</f>
        <v>2010</v>
      </c>
      <c r="P4" s="17">
        <f>I4</f>
        <v>4893</v>
      </c>
      <c r="Q4" s="17">
        <f t="shared" ref="Q4:R4" si="0">J4</f>
        <v>5478</v>
      </c>
      <c r="R4" s="17">
        <f t="shared" si="0"/>
        <v>10371</v>
      </c>
      <c r="S4" s="1"/>
      <c r="T4" s="1"/>
      <c r="U4" s="1"/>
    </row>
    <row r="5" spans="1:21" x14ac:dyDescent="0.15">
      <c r="A5" s="1" t="s">
        <v>61</v>
      </c>
      <c r="B5" s="1">
        <f>管理者入力シート!B6</f>
        <v>2015</v>
      </c>
      <c r="C5" s="17">
        <f>SUM(B65:B85)</f>
        <v>4725</v>
      </c>
      <c r="D5" s="17">
        <f>SUM(C65:C85)</f>
        <v>5323</v>
      </c>
      <c r="E5" s="17">
        <f t="shared" ref="E5" si="1">C5+D5</f>
        <v>10048</v>
      </c>
      <c r="F5" s="85"/>
      <c r="G5" s="1" t="s">
        <v>57</v>
      </c>
      <c r="H5" s="1">
        <f t="shared" ref="H5:H6" si="2">B5</f>
        <v>2015</v>
      </c>
      <c r="I5" s="17">
        <f t="shared" ref="I5" si="3">C5</f>
        <v>4725</v>
      </c>
      <c r="J5" s="17">
        <f>D5</f>
        <v>5323</v>
      </c>
      <c r="K5" s="17">
        <f t="shared" ref="K5:K10" si="4">I5+J5</f>
        <v>10048</v>
      </c>
      <c r="N5" s="1" t="s">
        <v>57</v>
      </c>
      <c r="O5" s="1">
        <f t="shared" ref="O5:O10" si="5">H5</f>
        <v>2015</v>
      </c>
      <c r="P5" s="17">
        <f t="shared" ref="P5:P10" si="6">I5</f>
        <v>4725</v>
      </c>
      <c r="Q5" s="17">
        <f t="shared" ref="Q5:Q10" si="7">J5</f>
        <v>5323</v>
      </c>
      <c r="R5" s="17">
        <f t="shared" ref="R5:R10" si="8">K5</f>
        <v>10048</v>
      </c>
      <c r="S5" s="1"/>
      <c r="T5" s="1"/>
      <c r="U5" s="1"/>
    </row>
    <row r="6" spans="1:21" x14ac:dyDescent="0.15">
      <c r="A6" s="1" t="s">
        <v>62</v>
      </c>
      <c r="B6" s="1">
        <f>管理者入力シート!B5</f>
        <v>2020</v>
      </c>
      <c r="C6" s="17">
        <f>SUM(B89:B109)</f>
        <v>4614</v>
      </c>
      <c r="D6" s="17">
        <f>SUM(C89:C109)</f>
        <v>5015</v>
      </c>
      <c r="E6" s="17">
        <f>C6+D6</f>
        <v>9629</v>
      </c>
      <c r="F6" s="85"/>
      <c r="G6" s="1" t="s">
        <v>62</v>
      </c>
      <c r="H6" s="1">
        <f t="shared" si="2"/>
        <v>2020</v>
      </c>
      <c r="I6" s="17">
        <f>C6</f>
        <v>4614</v>
      </c>
      <c r="J6" s="17">
        <f>D6</f>
        <v>5015</v>
      </c>
      <c r="K6" s="17">
        <f t="shared" si="4"/>
        <v>9629</v>
      </c>
      <c r="N6" s="1" t="s">
        <v>62</v>
      </c>
      <c r="O6" s="1">
        <f t="shared" si="5"/>
        <v>2020</v>
      </c>
      <c r="P6" s="17">
        <f t="shared" si="6"/>
        <v>4614</v>
      </c>
      <c r="Q6" s="17">
        <f t="shared" si="7"/>
        <v>5015</v>
      </c>
      <c r="R6" s="17">
        <f t="shared" si="8"/>
        <v>9629</v>
      </c>
      <c r="S6" s="1"/>
      <c r="T6" s="1"/>
      <c r="U6" s="1"/>
    </row>
    <row r="7" spans="1:21" x14ac:dyDescent="0.15">
      <c r="G7" s="1" t="s">
        <v>106</v>
      </c>
      <c r="H7" s="1">
        <f>管理者入力シート!B8</f>
        <v>2025</v>
      </c>
      <c r="I7" s="17">
        <f>SUM(H69:H89)</f>
        <v>4381</v>
      </c>
      <c r="J7" s="17">
        <f>SUM(I69:I89)</f>
        <v>4715</v>
      </c>
      <c r="K7" s="17">
        <f t="shared" si="4"/>
        <v>9096</v>
      </c>
      <c r="N7" s="1" t="s">
        <v>106</v>
      </c>
      <c r="O7" s="1">
        <f t="shared" si="5"/>
        <v>2025</v>
      </c>
      <c r="P7" s="17">
        <f t="shared" si="6"/>
        <v>4381</v>
      </c>
      <c r="Q7" s="17">
        <f t="shared" si="7"/>
        <v>4715</v>
      </c>
      <c r="R7" s="17">
        <f t="shared" si="8"/>
        <v>9096</v>
      </c>
      <c r="S7" s="236">
        <f>SUM(O69:O89)</f>
        <v>4385</v>
      </c>
      <c r="T7" s="236">
        <f>SUM(P69:P89)</f>
        <v>4720</v>
      </c>
      <c r="U7" s="236">
        <f>S7+T7</f>
        <v>9105</v>
      </c>
    </row>
    <row r="8" spans="1:21" x14ac:dyDescent="0.15">
      <c r="A8" s="69" t="s">
        <v>71</v>
      </c>
      <c r="G8" s="1" t="s">
        <v>107</v>
      </c>
      <c r="H8" s="1">
        <f>管理者入力シート!B9</f>
        <v>2030</v>
      </c>
      <c r="I8" s="17">
        <f>SUM(H93:H113)</f>
        <v>4100</v>
      </c>
      <c r="J8" s="17">
        <f>SUM(I93:I113)</f>
        <v>4381</v>
      </c>
      <c r="K8" s="17">
        <f t="shared" si="4"/>
        <v>8481</v>
      </c>
      <c r="N8" s="1" t="s">
        <v>107</v>
      </c>
      <c r="O8" s="1">
        <f t="shared" si="5"/>
        <v>2030</v>
      </c>
      <c r="P8" s="17">
        <f t="shared" si="6"/>
        <v>4100</v>
      </c>
      <c r="Q8" s="17">
        <f t="shared" si="7"/>
        <v>4381</v>
      </c>
      <c r="R8" s="17">
        <f t="shared" si="8"/>
        <v>8481</v>
      </c>
      <c r="S8" s="236">
        <f>SUM(O93:O113)</f>
        <v>4108</v>
      </c>
      <c r="T8" s="236">
        <f>SUM(P93:P113)</f>
        <v>4392</v>
      </c>
      <c r="U8" s="236">
        <f t="shared" ref="U8:U10" si="9">S8+T8</f>
        <v>8500</v>
      </c>
    </row>
    <row r="9" spans="1:21" x14ac:dyDescent="0.15">
      <c r="A9" s="2" t="s">
        <v>72</v>
      </c>
      <c r="G9" s="1" t="s">
        <v>108</v>
      </c>
      <c r="H9" s="1">
        <f>管理者入力シート!B10</f>
        <v>2035</v>
      </c>
      <c r="I9" s="17">
        <f>SUM(H117:H137)</f>
        <v>3816</v>
      </c>
      <c r="J9" s="17">
        <f>SUM(I117:I137)</f>
        <v>4040</v>
      </c>
      <c r="K9" s="17">
        <f t="shared" si="4"/>
        <v>7856</v>
      </c>
      <c r="N9" s="1" t="s">
        <v>108</v>
      </c>
      <c r="O9" s="1">
        <f t="shared" si="5"/>
        <v>2035</v>
      </c>
      <c r="P9" s="17">
        <f t="shared" si="6"/>
        <v>3816</v>
      </c>
      <c r="Q9" s="17">
        <f t="shared" si="7"/>
        <v>4040</v>
      </c>
      <c r="R9" s="17">
        <f t="shared" si="8"/>
        <v>7856</v>
      </c>
      <c r="S9" s="236">
        <f>SUM(O117:O137)</f>
        <v>3831</v>
      </c>
      <c r="T9" s="236">
        <f>SUM(P117:P137)</f>
        <v>4057</v>
      </c>
      <c r="U9" s="236">
        <f t="shared" si="9"/>
        <v>7888</v>
      </c>
    </row>
    <row r="10" spans="1:21" x14ac:dyDescent="0.15">
      <c r="A10" s="1" t="s">
        <v>58</v>
      </c>
      <c r="B10" s="1">
        <f>B4</f>
        <v>2010</v>
      </c>
      <c r="C10" s="17">
        <f>ROUND(VLOOKUP(B10&amp;"_3",管理者用人口入力シート!A:AA,26,FALSE),0)</f>
        <v>576</v>
      </c>
      <c r="D10" s="12"/>
      <c r="E10" s="12"/>
      <c r="G10" s="1" t="s">
        <v>109</v>
      </c>
      <c r="H10" s="1">
        <f>管理者入力シート!B11</f>
        <v>2040</v>
      </c>
      <c r="I10" s="17">
        <f>SUM(H141:H161)</f>
        <v>3536</v>
      </c>
      <c r="J10" s="17">
        <f>SUM(I141:I161)</f>
        <v>3696</v>
      </c>
      <c r="K10" s="17">
        <f t="shared" si="4"/>
        <v>7232</v>
      </c>
      <c r="N10" s="1" t="s">
        <v>109</v>
      </c>
      <c r="O10" s="1">
        <f t="shared" si="5"/>
        <v>2040</v>
      </c>
      <c r="P10" s="17">
        <f t="shared" si="6"/>
        <v>3536</v>
      </c>
      <c r="Q10" s="17">
        <f t="shared" si="7"/>
        <v>3696</v>
      </c>
      <c r="R10" s="17">
        <f t="shared" si="8"/>
        <v>7232</v>
      </c>
      <c r="S10" s="236">
        <f>SUM(O141:O161)</f>
        <v>3555</v>
      </c>
      <c r="T10" s="236">
        <f>SUM(P141:P161)</f>
        <v>3718</v>
      </c>
      <c r="U10" s="236">
        <f t="shared" si="9"/>
        <v>7273</v>
      </c>
    </row>
    <row r="11" spans="1:21" x14ac:dyDescent="0.15">
      <c r="A11" s="1" t="s">
        <v>61</v>
      </c>
      <c r="B11" s="1">
        <f t="shared" ref="B11:B12" si="10">B5</f>
        <v>2015</v>
      </c>
      <c r="C11" s="17">
        <f>ROUND(VLOOKUP(B11&amp;"_3",管理者用人口入力シート!A:AA,26,FALSE),0)</f>
        <v>505</v>
      </c>
      <c r="D11" s="12"/>
      <c r="E11" s="12"/>
      <c r="I11" s="12"/>
      <c r="J11" s="12"/>
      <c r="K11" s="12"/>
      <c r="P11" s="12"/>
    </row>
    <row r="12" spans="1:21" x14ac:dyDescent="0.15">
      <c r="A12" s="1" t="s">
        <v>62</v>
      </c>
      <c r="B12" s="1">
        <f t="shared" si="10"/>
        <v>2020</v>
      </c>
      <c r="C12" s="17">
        <f>ROUND(VLOOKUP(B12&amp;"_3",管理者用人口入力シート!A:AA,26,FALSE),0)</f>
        <v>531</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305</v>
      </c>
      <c r="D14" s="12"/>
      <c r="E14" s="12"/>
      <c r="G14" s="1" t="s">
        <v>58</v>
      </c>
      <c r="H14" s="1">
        <f>H4</f>
        <v>2010</v>
      </c>
      <c r="I14" s="17">
        <f>C10</f>
        <v>576</v>
      </c>
      <c r="J14" s="12"/>
      <c r="K14" s="12"/>
      <c r="N14" s="1" t="s">
        <v>58</v>
      </c>
      <c r="O14" s="1">
        <f>O4</f>
        <v>2010</v>
      </c>
      <c r="P14" s="17">
        <f>I14</f>
        <v>576</v>
      </c>
      <c r="Q14" s="17"/>
    </row>
    <row r="15" spans="1:21" x14ac:dyDescent="0.15">
      <c r="A15" s="1" t="s">
        <v>61</v>
      </c>
      <c r="B15" s="1">
        <f t="shared" ref="B15:B16" si="11">B5</f>
        <v>2015</v>
      </c>
      <c r="C15" s="17">
        <f>ROUND(VLOOKUP(B15&amp;"_3",管理者用人口入力シート!A:AA,27,FALSE),0)</f>
        <v>262</v>
      </c>
      <c r="D15" s="12"/>
      <c r="E15" s="12"/>
      <c r="G15" s="1" t="s">
        <v>57</v>
      </c>
      <c r="H15" s="1">
        <f t="shared" ref="H15:H20" si="12">H5</f>
        <v>2015</v>
      </c>
      <c r="I15" s="17">
        <f>C11</f>
        <v>505</v>
      </c>
      <c r="J15" s="12"/>
      <c r="K15" s="12"/>
      <c r="N15" s="1" t="s">
        <v>57</v>
      </c>
      <c r="O15" s="1">
        <f t="shared" ref="O15:O20" si="13">O5</f>
        <v>2015</v>
      </c>
      <c r="P15" s="17">
        <f t="shared" ref="P15:P20" si="14">I15</f>
        <v>505</v>
      </c>
      <c r="Q15" s="17"/>
    </row>
    <row r="16" spans="1:21" x14ac:dyDescent="0.15">
      <c r="A16" s="1" t="s">
        <v>62</v>
      </c>
      <c r="B16" s="1">
        <f t="shared" si="11"/>
        <v>2020</v>
      </c>
      <c r="C16" s="17">
        <f>ROUND(VLOOKUP(B16&amp;"_3",管理者用人口入力シート!A:AA,27,FALSE),0)</f>
        <v>261</v>
      </c>
      <c r="D16" s="12"/>
      <c r="E16" s="12"/>
      <c r="G16" s="1" t="s">
        <v>62</v>
      </c>
      <c r="H16" s="1">
        <f t="shared" si="12"/>
        <v>2020</v>
      </c>
      <c r="I16" s="17">
        <f>C12</f>
        <v>531</v>
      </c>
      <c r="J16" s="12"/>
      <c r="K16" s="12"/>
      <c r="N16" s="1" t="s">
        <v>62</v>
      </c>
      <c r="O16" s="1">
        <f t="shared" si="13"/>
        <v>2020</v>
      </c>
      <c r="P16" s="17">
        <f t="shared" si="14"/>
        <v>531</v>
      </c>
      <c r="Q16" s="17"/>
    </row>
    <row r="17" spans="1:17" x14ac:dyDescent="0.15">
      <c r="G17" s="1" t="s">
        <v>106</v>
      </c>
      <c r="H17" s="1">
        <f t="shared" si="12"/>
        <v>2025</v>
      </c>
      <c r="I17" s="17">
        <f>ROUND(VLOOKUP(H17&amp;"_3",管理者用人口入力シート!BH:CM,26,FALSE),0)</f>
        <v>475</v>
      </c>
      <c r="J17" s="12"/>
      <c r="K17" s="12"/>
      <c r="N17" s="1" t="s">
        <v>106</v>
      </c>
      <c r="O17" s="1">
        <f t="shared" si="13"/>
        <v>2025</v>
      </c>
      <c r="P17" s="17">
        <f t="shared" si="14"/>
        <v>475</v>
      </c>
      <c r="Q17" s="17">
        <f>ROUND(VLOOKUP(H17&amp;"_3",管理者用人口入力シート!CO:DT,26,FALSE),0)</f>
        <v>476</v>
      </c>
    </row>
    <row r="18" spans="1:17" x14ac:dyDescent="0.15">
      <c r="A18" s="69" t="s">
        <v>110</v>
      </c>
      <c r="G18" s="1" t="s">
        <v>107</v>
      </c>
      <c r="H18" s="1">
        <f t="shared" si="12"/>
        <v>2030</v>
      </c>
      <c r="I18" s="17">
        <f>ROUND(VLOOKUP(H18&amp;"_3",管理者用人口入力シート!BH:CM,26,FALSE),0)</f>
        <v>394</v>
      </c>
      <c r="J18" s="12"/>
      <c r="K18" s="12"/>
      <c r="N18" s="1" t="s">
        <v>107</v>
      </c>
      <c r="O18" s="1">
        <f t="shared" si="13"/>
        <v>2030</v>
      </c>
      <c r="P18" s="17">
        <f t="shared" si="14"/>
        <v>394</v>
      </c>
      <c r="Q18" s="17">
        <f>ROUND(VLOOKUP(H18&amp;"_3",管理者用人口入力シート!CO:DT,26,FALSE),0)</f>
        <v>397</v>
      </c>
    </row>
    <row r="19" spans="1:17" x14ac:dyDescent="0.15">
      <c r="A19" s="2" t="s">
        <v>84</v>
      </c>
      <c r="G19" s="1" t="s">
        <v>108</v>
      </c>
      <c r="H19" s="1">
        <f t="shared" si="12"/>
        <v>2035</v>
      </c>
      <c r="I19" s="17">
        <f>ROUND(VLOOKUP(H19&amp;"_3",管理者用人口入力シート!BH:CM,26,FALSE),0)</f>
        <v>339</v>
      </c>
      <c r="J19" s="12"/>
      <c r="K19" s="12"/>
      <c r="N19" s="1" t="s">
        <v>108</v>
      </c>
      <c r="O19" s="1">
        <f t="shared" si="13"/>
        <v>2035</v>
      </c>
      <c r="P19" s="17">
        <f t="shared" si="14"/>
        <v>339</v>
      </c>
      <c r="Q19" s="17">
        <f>ROUND(VLOOKUP(H19&amp;"_3",管理者用人口入力シート!CO:DT,26,FALSE),0)</f>
        <v>344</v>
      </c>
    </row>
    <row r="20" spans="1:17" x14ac:dyDescent="0.15">
      <c r="A20" s="1" t="s">
        <v>58</v>
      </c>
      <c r="B20" s="1">
        <f>B4</f>
        <v>2010</v>
      </c>
      <c r="C20" s="17">
        <f>SUM(B54:C61)</f>
        <v>2607</v>
      </c>
      <c r="D20" s="12"/>
      <c r="E20" s="12"/>
      <c r="G20" s="1" t="s">
        <v>109</v>
      </c>
      <c r="H20" s="1">
        <f t="shared" si="12"/>
        <v>2040</v>
      </c>
      <c r="I20" s="17">
        <f>ROUND(VLOOKUP(H20&amp;"_3",管理者用人口入力シート!BH:CM,26,FALSE),0)</f>
        <v>308</v>
      </c>
      <c r="J20" s="12"/>
      <c r="K20" s="12"/>
      <c r="N20" s="1" t="s">
        <v>109</v>
      </c>
      <c r="O20" s="1">
        <f t="shared" si="13"/>
        <v>2040</v>
      </c>
      <c r="P20" s="17">
        <f t="shared" si="14"/>
        <v>308</v>
      </c>
      <c r="Q20" s="17">
        <f>ROUND(VLOOKUP(H20&amp;"_3",管理者用人口入力シート!CO:DT,26,FALSE),0)</f>
        <v>314</v>
      </c>
    </row>
    <row r="21" spans="1:17" x14ac:dyDescent="0.15">
      <c r="A21" s="1" t="s">
        <v>61</v>
      </c>
      <c r="B21" s="1">
        <f t="shared" ref="B21:B22" si="15">B5</f>
        <v>2015</v>
      </c>
      <c r="C21" s="17">
        <f>SUM(B78:C85)</f>
        <v>2993</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3140</v>
      </c>
      <c r="D22" s="12"/>
      <c r="E22" s="12"/>
      <c r="G22" s="1" t="s">
        <v>58</v>
      </c>
      <c r="H22" s="1">
        <f>H4</f>
        <v>2010</v>
      </c>
      <c r="I22" s="17">
        <f>C14</f>
        <v>305</v>
      </c>
      <c r="J22" s="12"/>
      <c r="K22" s="12"/>
      <c r="N22" s="1" t="s">
        <v>58</v>
      </c>
      <c r="O22" s="1">
        <f>O4</f>
        <v>2010</v>
      </c>
      <c r="P22" s="17">
        <f>I22</f>
        <v>305</v>
      </c>
      <c r="Q22" s="17"/>
    </row>
    <row r="23" spans="1:17" x14ac:dyDescent="0.15">
      <c r="A23" s="2" t="s">
        <v>86</v>
      </c>
      <c r="G23" s="1" t="s">
        <v>57</v>
      </c>
      <c r="H23" s="1">
        <f t="shared" ref="H23:H28" si="16">H5</f>
        <v>2015</v>
      </c>
      <c r="I23" s="17">
        <f t="shared" ref="I23:I24" si="17">C15</f>
        <v>262</v>
      </c>
      <c r="J23" s="12"/>
      <c r="K23" s="12"/>
      <c r="N23" s="1" t="s">
        <v>57</v>
      </c>
      <c r="O23" s="1">
        <f t="shared" ref="O23:O28" si="18">O5</f>
        <v>2015</v>
      </c>
      <c r="P23" s="17">
        <f t="shared" ref="P23:P28" si="19">I23</f>
        <v>262</v>
      </c>
      <c r="Q23" s="17"/>
    </row>
    <row r="24" spans="1:17" x14ac:dyDescent="0.15">
      <c r="A24" s="1" t="s">
        <v>58</v>
      </c>
      <c r="B24" s="1">
        <f>B4</f>
        <v>2010</v>
      </c>
      <c r="C24" s="17">
        <f>SUM(B56:C61)</f>
        <v>1341</v>
      </c>
      <c r="D24" s="12"/>
      <c r="E24" s="12"/>
      <c r="G24" s="1" t="s">
        <v>62</v>
      </c>
      <c r="H24" s="1">
        <f t="shared" si="16"/>
        <v>2020</v>
      </c>
      <c r="I24" s="17">
        <f t="shared" si="17"/>
        <v>261</v>
      </c>
      <c r="J24" s="12"/>
      <c r="K24" s="12"/>
      <c r="N24" s="1" t="s">
        <v>62</v>
      </c>
      <c r="O24" s="1">
        <f t="shared" si="18"/>
        <v>2020</v>
      </c>
      <c r="P24" s="17">
        <f t="shared" si="19"/>
        <v>261</v>
      </c>
      <c r="Q24" s="17"/>
    </row>
    <row r="25" spans="1:17" x14ac:dyDescent="0.15">
      <c r="A25" s="1" t="s">
        <v>61</v>
      </c>
      <c r="B25" s="1">
        <f t="shared" ref="B25:B26" si="20">B5</f>
        <v>2015</v>
      </c>
      <c r="C25" s="17">
        <f>SUM(B80:C85)</f>
        <v>1454</v>
      </c>
      <c r="D25" s="12"/>
      <c r="E25" s="12"/>
      <c r="G25" s="1" t="s">
        <v>106</v>
      </c>
      <c r="H25" s="1">
        <f t="shared" si="16"/>
        <v>2025</v>
      </c>
      <c r="I25" s="17">
        <f>ROUND(VLOOKUP(H25&amp;"_3",管理者用人口入力シート!BH:CM,27,FALSE),0)</f>
        <v>258</v>
      </c>
      <c r="J25" s="12"/>
      <c r="K25" s="12"/>
      <c r="N25" s="1" t="s">
        <v>106</v>
      </c>
      <c r="O25" s="1">
        <f t="shared" si="18"/>
        <v>2025</v>
      </c>
      <c r="P25" s="17">
        <f t="shared" si="19"/>
        <v>258</v>
      </c>
      <c r="Q25" s="17">
        <f>ROUND(VLOOKUP(H17&amp;"_3",管理者用人口入力シート!CO:DT,27,FALSE),0)</f>
        <v>259</v>
      </c>
    </row>
    <row r="26" spans="1:17" x14ac:dyDescent="0.15">
      <c r="A26" s="1" t="s">
        <v>62</v>
      </c>
      <c r="B26" s="1">
        <f t="shared" si="20"/>
        <v>2020</v>
      </c>
      <c r="C26" s="17">
        <f>SUM(B104:C109)</f>
        <v>1565</v>
      </c>
      <c r="D26" s="12"/>
      <c r="E26" s="12"/>
      <c r="G26" s="1" t="s">
        <v>107</v>
      </c>
      <c r="H26" s="1">
        <f t="shared" si="16"/>
        <v>2030</v>
      </c>
      <c r="I26" s="17">
        <f>ROUND(VLOOKUP(H26&amp;"_3",管理者用人口入力シート!BH:CM,27,FALSE),0)</f>
        <v>224</v>
      </c>
      <c r="J26" s="12"/>
      <c r="K26" s="12"/>
      <c r="N26" s="1" t="s">
        <v>107</v>
      </c>
      <c r="O26" s="1">
        <f t="shared" si="18"/>
        <v>2030</v>
      </c>
      <c r="P26" s="17">
        <f t="shared" si="19"/>
        <v>224</v>
      </c>
      <c r="Q26" s="17">
        <f>ROUND(VLOOKUP(H18&amp;"_3",管理者用人口入力シート!CO:DT,27,FALSE),0)</f>
        <v>225</v>
      </c>
    </row>
    <row r="27" spans="1:17" x14ac:dyDescent="0.15">
      <c r="G27" s="1" t="s">
        <v>108</v>
      </c>
      <c r="H27" s="1">
        <f t="shared" si="16"/>
        <v>2035</v>
      </c>
      <c r="I27" s="17">
        <f>ROUND(VLOOKUP(H27&amp;"_3",管理者用人口入力シート!BH:CM,27,FALSE),0)</f>
        <v>187</v>
      </c>
      <c r="J27" s="12"/>
      <c r="K27" s="12"/>
      <c r="N27" s="1" t="s">
        <v>108</v>
      </c>
      <c r="O27" s="1">
        <f t="shared" si="18"/>
        <v>2035</v>
      </c>
      <c r="P27" s="17">
        <f t="shared" si="19"/>
        <v>187</v>
      </c>
      <c r="Q27" s="17">
        <f>ROUND(VLOOKUP(H19&amp;"_3",管理者用人口入力シート!CO:DT,27,FALSE),0)</f>
        <v>189</v>
      </c>
    </row>
    <row r="28" spans="1:17" x14ac:dyDescent="0.15">
      <c r="A28" s="69" t="s">
        <v>85</v>
      </c>
      <c r="G28" s="1" t="s">
        <v>109</v>
      </c>
      <c r="H28" s="1">
        <f t="shared" si="16"/>
        <v>2040</v>
      </c>
      <c r="I28" s="17">
        <f>ROUND(VLOOKUP(H28&amp;"_3",管理者用人口入力シート!BH:CM,27,FALSE),0)</f>
        <v>162</v>
      </c>
      <c r="J28" s="12"/>
      <c r="K28" s="12"/>
      <c r="N28" s="1" t="s">
        <v>109</v>
      </c>
      <c r="O28" s="1">
        <f t="shared" si="18"/>
        <v>2040</v>
      </c>
      <c r="P28" s="17">
        <f t="shared" si="19"/>
        <v>162</v>
      </c>
      <c r="Q28" s="17">
        <f>ROUND(VLOOKUP(H20&amp;"_3",管理者用人口入力シート!CO:DT,27,FALSE),0)</f>
        <v>165</v>
      </c>
    </row>
    <row r="29" spans="1:17" x14ac:dyDescent="0.15">
      <c r="A29" s="2" t="s">
        <v>84</v>
      </c>
    </row>
    <row r="30" spans="1:17" x14ac:dyDescent="0.15">
      <c r="A30" s="1" t="s">
        <v>58</v>
      </c>
      <c r="B30" s="1">
        <f>B4</f>
        <v>2010</v>
      </c>
      <c r="C30" s="38">
        <f>ROUND((SUM(B54:C61)/SUM(B41:C61)),2)</f>
        <v>0.25</v>
      </c>
      <c r="D30" s="205"/>
      <c r="E30" s="205"/>
      <c r="G30" s="69" t="s">
        <v>110</v>
      </c>
      <c r="N30" s="69" t="s">
        <v>110</v>
      </c>
    </row>
    <row r="31" spans="1:17" x14ac:dyDescent="0.15">
      <c r="A31" s="1" t="s">
        <v>61</v>
      </c>
      <c r="B31" s="1">
        <f t="shared" ref="B31:B32" si="21">B5</f>
        <v>2015</v>
      </c>
      <c r="C31" s="38">
        <f>ROUND((SUM(B78:C85)/SUM(B65:C85)),2)</f>
        <v>0.3</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0.33</v>
      </c>
      <c r="D32" s="205"/>
      <c r="E32" s="205"/>
      <c r="G32" s="1" t="s">
        <v>58</v>
      </c>
      <c r="H32" s="1">
        <f>H4</f>
        <v>2010</v>
      </c>
      <c r="I32" s="17">
        <f>C20</f>
        <v>2607</v>
      </c>
      <c r="J32" s="12"/>
      <c r="K32" s="12"/>
      <c r="N32" s="1" t="s">
        <v>58</v>
      </c>
      <c r="O32" s="1">
        <f>O4</f>
        <v>2010</v>
      </c>
      <c r="P32" s="17">
        <f>I32</f>
        <v>2607</v>
      </c>
      <c r="Q32" s="17"/>
    </row>
    <row r="33" spans="1:17" x14ac:dyDescent="0.15">
      <c r="A33" s="2" t="s">
        <v>86</v>
      </c>
      <c r="G33" s="1" t="s">
        <v>57</v>
      </c>
      <c r="H33" s="1">
        <f t="shared" ref="H33:H38" si="22">H5</f>
        <v>2015</v>
      </c>
      <c r="I33" s="17">
        <f>C21</f>
        <v>2993</v>
      </c>
      <c r="J33" s="12"/>
      <c r="K33" s="12"/>
      <c r="N33" s="1" t="s">
        <v>57</v>
      </c>
      <c r="O33" s="1">
        <f t="shared" ref="O33:O38" si="23">O5</f>
        <v>2015</v>
      </c>
      <c r="P33" s="17">
        <f t="shared" ref="P33:P38" si="24">I33</f>
        <v>2993</v>
      </c>
      <c r="Q33" s="17"/>
    </row>
    <row r="34" spans="1:17" x14ac:dyDescent="0.15">
      <c r="A34" s="1" t="s">
        <v>58</v>
      </c>
      <c r="B34" s="1">
        <f>B4</f>
        <v>2010</v>
      </c>
      <c r="C34" s="38">
        <f>ROUND((SUM(B56:C61)/SUM(B41:C61)),2)</f>
        <v>0.13</v>
      </c>
      <c r="D34" s="205"/>
      <c r="E34" s="205"/>
      <c r="G34" s="1" t="s">
        <v>62</v>
      </c>
      <c r="H34" s="1">
        <f t="shared" si="22"/>
        <v>2020</v>
      </c>
      <c r="I34" s="17">
        <f>C22</f>
        <v>3140</v>
      </c>
      <c r="J34" s="12"/>
      <c r="K34" s="12"/>
      <c r="N34" s="1" t="s">
        <v>62</v>
      </c>
      <c r="O34" s="1">
        <f t="shared" si="23"/>
        <v>2020</v>
      </c>
      <c r="P34" s="17">
        <f t="shared" si="24"/>
        <v>3140</v>
      </c>
      <c r="Q34" s="17"/>
    </row>
    <row r="35" spans="1:17" x14ac:dyDescent="0.15">
      <c r="A35" s="1" t="s">
        <v>61</v>
      </c>
      <c r="B35" s="1">
        <f t="shared" ref="B35:B36" si="25">B5</f>
        <v>2015</v>
      </c>
      <c r="C35" s="38">
        <f>ROUND((SUM(B80:C85)/SUM(B65:C85)),2)</f>
        <v>0.14000000000000001</v>
      </c>
      <c r="D35" s="205"/>
      <c r="E35" s="205"/>
      <c r="G35" s="1" t="s">
        <v>106</v>
      </c>
      <c r="H35" s="1">
        <f t="shared" si="22"/>
        <v>2025</v>
      </c>
      <c r="I35" s="17">
        <f>SUM(H82:I89)</f>
        <v>3122</v>
      </c>
      <c r="J35" s="12"/>
      <c r="K35" s="12"/>
      <c r="N35" s="1" t="s">
        <v>106</v>
      </c>
      <c r="O35" s="1">
        <f t="shared" si="23"/>
        <v>2025</v>
      </c>
      <c r="P35" s="17">
        <f t="shared" si="24"/>
        <v>3122</v>
      </c>
      <c r="Q35" s="17">
        <f>SUM(O82:P89)</f>
        <v>3122</v>
      </c>
    </row>
    <row r="36" spans="1:17" x14ac:dyDescent="0.15">
      <c r="A36" s="1" t="s">
        <v>62</v>
      </c>
      <c r="B36" s="1">
        <f t="shared" si="25"/>
        <v>2020</v>
      </c>
      <c r="C36" s="38">
        <f>ROUND((SUM(B104:C109)/SUM(B89:C109)),2)</f>
        <v>0.16</v>
      </c>
      <c r="D36" s="205"/>
      <c r="E36" s="205"/>
      <c r="G36" s="1" t="s">
        <v>107</v>
      </c>
      <c r="H36" s="1">
        <f t="shared" si="22"/>
        <v>2030</v>
      </c>
      <c r="I36" s="17">
        <f>SUM(H106:I113)</f>
        <v>2972</v>
      </c>
      <c r="J36" s="12"/>
      <c r="K36" s="12"/>
      <c r="N36" s="1" t="s">
        <v>107</v>
      </c>
      <c r="O36" s="1">
        <f t="shared" si="23"/>
        <v>2030</v>
      </c>
      <c r="P36" s="17">
        <f t="shared" si="24"/>
        <v>2972</v>
      </c>
      <c r="Q36" s="17">
        <f>SUM(O106:P113)</f>
        <v>2972</v>
      </c>
    </row>
    <row r="37" spans="1:17" x14ac:dyDescent="0.15">
      <c r="G37" s="1" t="s">
        <v>108</v>
      </c>
      <c r="H37" s="1">
        <f t="shared" si="22"/>
        <v>2035</v>
      </c>
      <c r="I37" s="17">
        <f>SUM(H130:I137)</f>
        <v>2800</v>
      </c>
      <c r="J37" s="12"/>
      <c r="K37" s="12"/>
      <c r="N37" s="1" t="s">
        <v>108</v>
      </c>
      <c r="O37" s="1">
        <f t="shared" si="23"/>
        <v>2035</v>
      </c>
      <c r="P37" s="17">
        <f t="shared" si="24"/>
        <v>2800</v>
      </c>
      <c r="Q37" s="17">
        <f>SUM(O130:P137)</f>
        <v>2800</v>
      </c>
    </row>
    <row r="38" spans="1:17" x14ac:dyDescent="0.15">
      <c r="A38" s="69" t="s">
        <v>113</v>
      </c>
      <c r="G38" s="1" t="s">
        <v>109</v>
      </c>
      <c r="H38" s="1">
        <f t="shared" si="22"/>
        <v>2040</v>
      </c>
      <c r="I38" s="17">
        <f>SUM(H154:I161)</f>
        <v>2678</v>
      </c>
      <c r="J38" s="12"/>
      <c r="K38" s="12"/>
      <c r="N38" s="1" t="s">
        <v>109</v>
      </c>
      <c r="O38" s="1">
        <f t="shared" si="23"/>
        <v>2040</v>
      </c>
      <c r="P38" s="17">
        <f t="shared" si="24"/>
        <v>2678</v>
      </c>
      <c r="Q38" s="17">
        <f>SUM(O154:P161)</f>
        <v>2678</v>
      </c>
    </row>
    <row r="39" spans="1:17" x14ac:dyDescent="0.15">
      <c r="A39" s="2" t="s">
        <v>383</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1341</v>
      </c>
      <c r="J40" s="12"/>
      <c r="K40" s="12"/>
      <c r="N40" s="1" t="s">
        <v>58</v>
      </c>
      <c r="O40" s="1">
        <f>O4</f>
        <v>2010</v>
      </c>
      <c r="P40" s="17">
        <f>I40</f>
        <v>1341</v>
      </c>
      <c r="Q40" s="17"/>
    </row>
    <row r="41" spans="1:17" x14ac:dyDescent="0.15">
      <c r="A41" s="2" t="s">
        <v>0</v>
      </c>
      <c r="B41" s="17">
        <f>ROUND(VLOOKUP(B$39&amp;"_1",管理者用人口入力シート!A:X,D41,FALSE),0)</f>
        <v>207</v>
      </c>
      <c r="C41" s="17">
        <f>ROUND(VLOOKUP(B$39&amp;"_2",管理者用人口入力シート!A:X,D41,FALSE),0)</f>
        <v>225</v>
      </c>
      <c r="D41" s="2">
        <v>4</v>
      </c>
      <c r="G41" s="1" t="s">
        <v>57</v>
      </c>
      <c r="H41" s="1">
        <f t="shared" ref="H41:H46" si="26">H5</f>
        <v>2015</v>
      </c>
      <c r="I41" s="17">
        <f>C25</f>
        <v>1454</v>
      </c>
      <c r="J41" s="12"/>
      <c r="K41" s="12"/>
      <c r="N41" s="1" t="s">
        <v>57</v>
      </c>
      <c r="O41" s="1">
        <f t="shared" ref="O41:O46" si="27">O5</f>
        <v>2015</v>
      </c>
      <c r="P41" s="17">
        <f t="shared" ref="P41:P46" si="28">I41</f>
        <v>1454</v>
      </c>
      <c r="Q41" s="17"/>
    </row>
    <row r="42" spans="1:17" x14ac:dyDescent="0.15">
      <c r="A42" s="2" t="s">
        <v>1</v>
      </c>
      <c r="B42" s="17">
        <f>ROUND(VLOOKUP(B$39&amp;"_1",管理者用人口入力シート!A:X,D42,FALSE),0)</f>
        <v>232</v>
      </c>
      <c r="C42" s="17">
        <f>ROUND(VLOOKUP(B$39&amp;"_2",管理者用人口入力シート!A:X,D42,FALSE),0)</f>
        <v>228</v>
      </c>
      <c r="D42" s="2">
        <v>5</v>
      </c>
      <c r="G42" s="1" t="s">
        <v>62</v>
      </c>
      <c r="H42" s="1">
        <f t="shared" si="26"/>
        <v>2020</v>
      </c>
      <c r="I42" s="17">
        <f>C26</f>
        <v>1565</v>
      </c>
      <c r="J42" s="12"/>
      <c r="K42" s="12"/>
      <c r="N42" s="1" t="s">
        <v>62</v>
      </c>
      <c r="O42" s="1">
        <f t="shared" si="27"/>
        <v>2020</v>
      </c>
      <c r="P42" s="17">
        <f t="shared" si="28"/>
        <v>1565</v>
      </c>
      <c r="Q42" s="17"/>
    </row>
    <row r="43" spans="1:17" x14ac:dyDescent="0.15">
      <c r="A43" s="2" t="s">
        <v>2</v>
      </c>
      <c r="B43" s="17">
        <f>ROUND(VLOOKUP(B$39&amp;"_1",管理者用人口入力シート!A:X,D43,FALSE),0)</f>
        <v>259</v>
      </c>
      <c r="C43" s="17">
        <f>ROUND(VLOOKUP(B$39&amp;"_2",管理者用人口入力シート!A:X,D43,FALSE),0)</f>
        <v>242</v>
      </c>
      <c r="D43" s="2">
        <v>6</v>
      </c>
      <c r="G43" s="1" t="s">
        <v>106</v>
      </c>
      <c r="H43" s="1">
        <f t="shared" si="26"/>
        <v>2025</v>
      </c>
      <c r="I43" s="17">
        <f>SUM(H84:I89)</f>
        <v>1780</v>
      </c>
      <c r="J43" s="12"/>
      <c r="K43" s="12"/>
      <c r="N43" s="1" t="s">
        <v>106</v>
      </c>
      <c r="O43" s="1">
        <f t="shared" si="27"/>
        <v>2025</v>
      </c>
      <c r="P43" s="17">
        <f t="shared" si="28"/>
        <v>1780</v>
      </c>
      <c r="Q43" s="17">
        <f>SUM(O84:P89)</f>
        <v>1780</v>
      </c>
    </row>
    <row r="44" spans="1:17" x14ac:dyDescent="0.15">
      <c r="A44" s="2" t="s">
        <v>3</v>
      </c>
      <c r="B44" s="17">
        <f>ROUND(VLOOKUP(B$39&amp;"_1",管理者用人口入力シート!A:X,D44,FALSE),0)</f>
        <v>263</v>
      </c>
      <c r="C44" s="17">
        <f>ROUND(VLOOKUP(B$39&amp;"_2",管理者用人口入力シート!A:X,D44,FALSE),0)</f>
        <v>262</v>
      </c>
      <c r="D44" s="2">
        <v>7</v>
      </c>
      <c r="G44" s="1" t="s">
        <v>107</v>
      </c>
      <c r="H44" s="1">
        <f t="shared" si="26"/>
        <v>2030</v>
      </c>
      <c r="I44" s="17">
        <f>SUM(H108:I113)</f>
        <v>1834</v>
      </c>
      <c r="J44" s="12"/>
      <c r="K44" s="12"/>
      <c r="N44" s="1" t="s">
        <v>107</v>
      </c>
      <c r="O44" s="1">
        <f t="shared" si="27"/>
        <v>2030</v>
      </c>
      <c r="P44" s="17">
        <f t="shared" si="28"/>
        <v>1834</v>
      </c>
      <c r="Q44" s="17">
        <f>SUM(O108:P113)</f>
        <v>1834</v>
      </c>
    </row>
    <row r="45" spans="1:17" x14ac:dyDescent="0.15">
      <c r="A45" s="2" t="s">
        <v>4</v>
      </c>
      <c r="B45" s="17">
        <f>ROUND(VLOOKUP(B$39&amp;"_1",管理者用人口入力シート!A:X,D45,FALSE),0)</f>
        <v>239</v>
      </c>
      <c r="C45" s="17">
        <f>ROUND(VLOOKUP(B$39&amp;"_2",管理者用人口入力シート!A:X,D45,FALSE),0)</f>
        <v>241</v>
      </c>
      <c r="D45" s="2">
        <v>8</v>
      </c>
      <c r="G45" s="1" t="s">
        <v>108</v>
      </c>
      <c r="H45" s="1">
        <f t="shared" si="26"/>
        <v>2035</v>
      </c>
      <c r="I45" s="17">
        <f>SUM(H132:I137)</f>
        <v>1751</v>
      </c>
      <c r="J45" s="12"/>
      <c r="K45" s="12"/>
      <c r="N45" s="1" t="s">
        <v>108</v>
      </c>
      <c r="O45" s="1">
        <f t="shared" si="27"/>
        <v>2035</v>
      </c>
      <c r="P45" s="17">
        <f t="shared" si="28"/>
        <v>1751</v>
      </c>
      <c r="Q45" s="17">
        <f>SUM(O132:P137)</f>
        <v>1751</v>
      </c>
    </row>
    <row r="46" spans="1:17" x14ac:dyDescent="0.15">
      <c r="A46" s="2" t="s">
        <v>5</v>
      </c>
      <c r="B46" s="17">
        <f>ROUND(VLOOKUP(B$39&amp;"_1",管理者用人口入力シート!A:X,D46,FALSE),0)</f>
        <v>259</v>
      </c>
      <c r="C46" s="17">
        <f>ROUND(VLOOKUP(B$39&amp;"_2",管理者用人口入力シート!A:X,D46,FALSE),0)</f>
        <v>269</v>
      </c>
      <c r="D46" s="2">
        <v>9</v>
      </c>
      <c r="G46" s="1" t="s">
        <v>109</v>
      </c>
      <c r="H46" s="1">
        <f t="shared" si="26"/>
        <v>2040</v>
      </c>
      <c r="I46" s="17">
        <f>SUM(H156:I161)</f>
        <v>1590</v>
      </c>
      <c r="J46" s="12"/>
      <c r="K46" s="12"/>
      <c r="N46" s="1" t="s">
        <v>109</v>
      </c>
      <c r="O46" s="1">
        <f t="shared" si="27"/>
        <v>2040</v>
      </c>
      <c r="P46" s="17">
        <f t="shared" si="28"/>
        <v>1590</v>
      </c>
      <c r="Q46" s="17">
        <f>SUM(O156:P161)</f>
        <v>1590</v>
      </c>
    </row>
    <row r="47" spans="1:17" x14ac:dyDescent="0.15">
      <c r="A47" s="2" t="s">
        <v>6</v>
      </c>
      <c r="B47" s="17">
        <f>ROUND(VLOOKUP(B$39&amp;"_1",管理者用人口入力シート!A:X,D47,FALSE),0)</f>
        <v>331</v>
      </c>
      <c r="C47" s="17">
        <f>ROUND(VLOOKUP(B$39&amp;"_2",管理者用人口入力シート!A:X,D47,FALSE),0)</f>
        <v>340</v>
      </c>
      <c r="D47" s="2">
        <v>10</v>
      </c>
    </row>
    <row r="48" spans="1:17" x14ac:dyDescent="0.15">
      <c r="A48" s="2" t="s">
        <v>7</v>
      </c>
      <c r="B48" s="17">
        <f>ROUND(VLOOKUP(B$39&amp;"_1",管理者用人口入力シート!A:X,D48,FALSE),0)</f>
        <v>363</v>
      </c>
      <c r="C48" s="17">
        <f>ROUND(VLOOKUP(B$39&amp;"_2",管理者用人口入力シート!A:X,D48,FALSE),0)</f>
        <v>336</v>
      </c>
      <c r="D48" s="2">
        <v>11</v>
      </c>
      <c r="G48" s="69" t="s">
        <v>85</v>
      </c>
      <c r="N48" s="69" t="s">
        <v>85</v>
      </c>
    </row>
    <row r="49" spans="1:17" x14ac:dyDescent="0.15">
      <c r="A49" s="2" t="s">
        <v>8</v>
      </c>
      <c r="B49" s="17">
        <f>ROUND(VLOOKUP(B$39&amp;"_1",管理者用人口入力シート!A:X,D49,FALSE),0)</f>
        <v>277</v>
      </c>
      <c r="C49" s="17">
        <f>ROUND(VLOOKUP(B$39&amp;"_2",管理者用人口入力シート!A:X,D49,FALSE),0)</f>
        <v>292</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277</v>
      </c>
      <c r="C50" s="17">
        <f>ROUND(VLOOKUP(B$39&amp;"_2",管理者用人口入力シート!A:X,D50,FALSE),0)</f>
        <v>295</v>
      </c>
      <c r="D50" s="2">
        <v>13</v>
      </c>
      <c r="G50" s="1" t="s">
        <v>58</v>
      </c>
      <c r="H50" s="1">
        <f>H4</f>
        <v>2010</v>
      </c>
      <c r="I50" s="38">
        <f>C30</f>
        <v>0.25</v>
      </c>
      <c r="J50" s="205"/>
      <c r="K50" s="205"/>
      <c r="N50" s="1" t="s">
        <v>58</v>
      </c>
      <c r="O50" s="1">
        <f>O4</f>
        <v>2010</v>
      </c>
      <c r="P50" s="38">
        <f t="shared" ref="P50:P56" si="29">I50</f>
        <v>0.25</v>
      </c>
      <c r="Q50" s="1"/>
    </row>
    <row r="51" spans="1:17" x14ac:dyDescent="0.15">
      <c r="A51" s="2" t="s">
        <v>10</v>
      </c>
      <c r="B51" s="17">
        <f>ROUND(VLOOKUP(B$39&amp;"_1",管理者用人口入力シート!A:X,D51,FALSE),0)</f>
        <v>317</v>
      </c>
      <c r="C51" s="17">
        <f>ROUND(VLOOKUP(B$39&amp;"_2",管理者用人口入力シート!A:X,D51,FALSE),0)</f>
        <v>354</v>
      </c>
      <c r="D51" s="2">
        <v>14</v>
      </c>
      <c r="G51" s="1" t="s">
        <v>57</v>
      </c>
      <c r="H51" s="1">
        <f t="shared" ref="H51:H56" si="30">H5</f>
        <v>2015</v>
      </c>
      <c r="I51" s="38">
        <f t="shared" ref="I51:I52" si="31">C31</f>
        <v>0.3</v>
      </c>
      <c r="J51" s="205"/>
      <c r="K51" s="205"/>
      <c r="N51" s="1" t="s">
        <v>57</v>
      </c>
      <c r="O51" s="1">
        <f t="shared" ref="O51:O56" si="32">O5</f>
        <v>2015</v>
      </c>
      <c r="P51" s="38">
        <f t="shared" si="29"/>
        <v>0.3</v>
      </c>
      <c r="Q51" s="1"/>
    </row>
    <row r="52" spans="1:17" x14ac:dyDescent="0.15">
      <c r="A52" s="2" t="s">
        <v>11</v>
      </c>
      <c r="B52" s="17">
        <f>ROUND(VLOOKUP(B$39&amp;"_1",管理者用人口入力シート!A:X,D52,FALSE),0)</f>
        <v>368</v>
      </c>
      <c r="C52" s="17">
        <f>ROUND(VLOOKUP(B$39&amp;"_2",管理者用人口入力シート!A:X,D52,FALSE),0)</f>
        <v>382</v>
      </c>
      <c r="D52" s="2">
        <v>15</v>
      </c>
      <c r="G52" s="1" t="s">
        <v>62</v>
      </c>
      <c r="H52" s="1">
        <f t="shared" si="30"/>
        <v>2020</v>
      </c>
      <c r="I52" s="38">
        <f t="shared" si="31"/>
        <v>0.33</v>
      </c>
      <c r="J52" s="205"/>
      <c r="K52" s="205"/>
      <c r="N52" s="1" t="s">
        <v>62</v>
      </c>
      <c r="O52" s="1">
        <f t="shared" si="32"/>
        <v>2020</v>
      </c>
      <c r="P52" s="38">
        <f t="shared" si="29"/>
        <v>0.33</v>
      </c>
      <c r="Q52" s="1"/>
    </row>
    <row r="53" spans="1:17" x14ac:dyDescent="0.15">
      <c r="A53" s="2" t="s">
        <v>12</v>
      </c>
      <c r="B53" s="17">
        <f>ROUND(VLOOKUP(B$39&amp;"_1",管理者用人口入力シート!A:X,D53,FALSE),0)</f>
        <v>433</v>
      </c>
      <c r="C53" s="17">
        <f>ROUND(VLOOKUP(B$39&amp;"_2",管理者用人口入力シート!A:X,D53,FALSE),0)</f>
        <v>473</v>
      </c>
      <c r="D53" s="2">
        <v>16</v>
      </c>
      <c r="G53" s="1" t="s">
        <v>106</v>
      </c>
      <c r="H53" s="1">
        <f t="shared" si="30"/>
        <v>2025</v>
      </c>
      <c r="I53" s="38">
        <f>ROUND((SUM(H82:I89)/SUM(H69:I89)),2)</f>
        <v>0.34</v>
      </c>
      <c r="J53" s="205"/>
      <c r="K53" s="205"/>
      <c r="L53" s="70"/>
      <c r="M53" s="70"/>
      <c r="N53" s="1" t="s">
        <v>106</v>
      </c>
      <c r="O53" s="1">
        <f t="shared" si="32"/>
        <v>2025</v>
      </c>
      <c r="P53" s="38">
        <f t="shared" si="29"/>
        <v>0.34</v>
      </c>
      <c r="Q53" s="38">
        <f>ROUND((SUM(O82:P89)/SUM(O69:P89)),2)</f>
        <v>0.34</v>
      </c>
    </row>
    <row r="54" spans="1:17" x14ac:dyDescent="0.15">
      <c r="A54" s="2" t="s">
        <v>13</v>
      </c>
      <c r="B54" s="17">
        <f>ROUND(VLOOKUP(B$39&amp;"_1",管理者用人口入力シート!A:X,D54,FALSE),0)</f>
        <v>333</v>
      </c>
      <c r="C54" s="17">
        <f>ROUND(VLOOKUP(B$39&amp;"_2",管理者用人口入力シート!A:X,D54,FALSE),0)</f>
        <v>356</v>
      </c>
      <c r="D54" s="2">
        <v>17</v>
      </c>
      <c r="G54" s="1" t="s">
        <v>107</v>
      </c>
      <c r="H54" s="1">
        <f t="shared" si="30"/>
        <v>2030</v>
      </c>
      <c r="I54" s="38">
        <f>ROUND((SUM(H106:I113)/SUM(H93:I113)),2)</f>
        <v>0.35</v>
      </c>
      <c r="J54" s="205"/>
      <c r="K54" s="205"/>
      <c r="N54" s="1" t="s">
        <v>107</v>
      </c>
      <c r="O54" s="1">
        <f t="shared" si="32"/>
        <v>2030</v>
      </c>
      <c r="P54" s="38">
        <f t="shared" si="29"/>
        <v>0.35</v>
      </c>
      <c r="Q54" s="38">
        <f>ROUND((SUM(O106:P113)/SUM(O93:P113)),2)</f>
        <v>0.35</v>
      </c>
    </row>
    <row r="55" spans="1:17" x14ac:dyDescent="0.15">
      <c r="A55" s="2" t="s">
        <v>14</v>
      </c>
      <c r="B55" s="17">
        <f>ROUND(VLOOKUP(B$39&amp;"_1",管理者用人口入力シート!A:X,D55,FALSE),0)</f>
        <v>257</v>
      </c>
      <c r="C55" s="17">
        <f>ROUND(VLOOKUP(B$39&amp;"_2",管理者用人口入力シート!A:X,D55,FALSE),0)</f>
        <v>320</v>
      </c>
      <c r="D55" s="2">
        <v>18</v>
      </c>
      <c r="G55" s="1" t="s">
        <v>108</v>
      </c>
      <c r="H55" s="1">
        <f t="shared" si="30"/>
        <v>2035</v>
      </c>
      <c r="I55" s="38">
        <f>ROUND((SUM(H130:I137)/SUM(H117:I137)),2)</f>
        <v>0.36</v>
      </c>
      <c r="J55" s="205"/>
      <c r="K55" s="205"/>
      <c r="N55" s="1" t="s">
        <v>108</v>
      </c>
      <c r="O55" s="1">
        <f t="shared" si="32"/>
        <v>2035</v>
      </c>
      <c r="P55" s="38">
        <f t="shared" si="29"/>
        <v>0.36</v>
      </c>
      <c r="Q55" s="38">
        <f>ROUND((SUM(O130:P137)/SUM(O117:P137)),2)</f>
        <v>0.35</v>
      </c>
    </row>
    <row r="56" spans="1:17" x14ac:dyDescent="0.15">
      <c r="A56" s="2" t="s">
        <v>15</v>
      </c>
      <c r="B56" s="17">
        <f>ROUND(VLOOKUP(B$39&amp;"_1",管理者用人口入力シート!A:X,D56,FALSE),0)</f>
        <v>230</v>
      </c>
      <c r="C56" s="17">
        <f>ROUND(VLOOKUP(B$39&amp;"_2",管理者用人口入力シート!A:X,D56,FALSE),0)</f>
        <v>320</v>
      </c>
      <c r="D56" s="2">
        <v>19</v>
      </c>
      <c r="G56" s="1" t="s">
        <v>109</v>
      </c>
      <c r="H56" s="1">
        <f t="shared" si="30"/>
        <v>2040</v>
      </c>
      <c r="I56" s="38">
        <f>ROUND((SUM(H154:I161)/SUM(H141:I161)),2)</f>
        <v>0.37</v>
      </c>
      <c r="J56" s="205"/>
      <c r="K56" s="205"/>
      <c r="N56" s="1" t="s">
        <v>109</v>
      </c>
      <c r="O56" s="1">
        <f t="shared" si="32"/>
        <v>2040</v>
      </c>
      <c r="P56" s="38">
        <f t="shared" si="29"/>
        <v>0.37</v>
      </c>
      <c r="Q56" s="38">
        <f>ROUND((SUM(O154:P161)/SUM(O141:P161)),2)</f>
        <v>0.37</v>
      </c>
    </row>
    <row r="57" spans="1:17" x14ac:dyDescent="0.15">
      <c r="A57" s="2" t="s">
        <v>16</v>
      </c>
      <c r="B57" s="17">
        <f>ROUND(VLOOKUP(B$39&amp;"_1",管理者用人口入力シート!A:X,D57,FALSE),0)</f>
        <v>139</v>
      </c>
      <c r="C57" s="17">
        <f>ROUND(VLOOKUP(B$39&amp;"_2",管理者用人口入力シート!A:X,D57,FALSE),0)</f>
        <v>270</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73</v>
      </c>
      <c r="C58" s="17">
        <f>ROUND(VLOOKUP(B$39&amp;"_2",管理者用人口入力シート!A:X,D58,FALSE),0)</f>
        <v>166</v>
      </c>
      <c r="D58" s="2">
        <v>21</v>
      </c>
      <c r="G58" s="1" t="s">
        <v>58</v>
      </c>
      <c r="H58" s="1">
        <f>H4</f>
        <v>2010</v>
      </c>
      <c r="I58" s="38">
        <f>C34</f>
        <v>0.13</v>
      </c>
      <c r="J58" s="205"/>
      <c r="K58" s="205"/>
      <c r="N58" s="1" t="s">
        <v>58</v>
      </c>
      <c r="O58" s="1">
        <f>O4</f>
        <v>2010</v>
      </c>
      <c r="P58" s="38">
        <f t="shared" ref="P58:P64" si="33">I58</f>
        <v>0.13</v>
      </c>
      <c r="Q58" s="1"/>
    </row>
    <row r="59" spans="1:17" x14ac:dyDescent="0.15">
      <c r="A59" s="2" t="s">
        <v>18</v>
      </c>
      <c r="B59" s="17">
        <f>ROUND(VLOOKUP(B$39&amp;"_1",管理者用人口入力シート!A:X,D59,FALSE),0)</f>
        <v>30</v>
      </c>
      <c r="C59" s="17">
        <f>ROUND(VLOOKUP(B$39&amp;"_2",管理者用人口入力シート!A:X,D59,FALSE),0)</f>
        <v>80</v>
      </c>
      <c r="D59" s="2">
        <v>22</v>
      </c>
      <c r="G59" s="1" t="s">
        <v>57</v>
      </c>
      <c r="H59" s="1">
        <f t="shared" ref="H59:H64" si="34">H5</f>
        <v>2015</v>
      </c>
      <c r="I59" s="38">
        <f t="shared" ref="I59:I60" si="35">C35</f>
        <v>0.14000000000000001</v>
      </c>
      <c r="J59" s="205"/>
      <c r="K59" s="205"/>
      <c r="N59" s="1" t="s">
        <v>57</v>
      </c>
      <c r="O59" s="1">
        <f t="shared" ref="O59:O64" si="36">O5</f>
        <v>2015</v>
      </c>
      <c r="P59" s="38">
        <f t="shared" si="33"/>
        <v>0.14000000000000001</v>
      </c>
      <c r="Q59" s="1"/>
    </row>
    <row r="60" spans="1:17" x14ac:dyDescent="0.15">
      <c r="A60" s="2" t="s">
        <v>19</v>
      </c>
      <c r="B60" s="17">
        <f>ROUND(VLOOKUP(B$39&amp;"_1",管理者用人口入力シート!A:X,D60,FALSE),0)</f>
        <v>6</v>
      </c>
      <c r="C60" s="17">
        <f>ROUND(VLOOKUP(B$39&amp;"_2",管理者用人口入力シート!A:X,D60,FALSE),0)</f>
        <v>24</v>
      </c>
      <c r="D60" s="2">
        <v>23</v>
      </c>
      <c r="G60" s="1" t="s">
        <v>62</v>
      </c>
      <c r="H60" s="1">
        <f t="shared" si="34"/>
        <v>2020</v>
      </c>
      <c r="I60" s="38">
        <f t="shared" si="35"/>
        <v>0.16</v>
      </c>
      <c r="J60" s="205"/>
      <c r="K60" s="205"/>
      <c r="N60" s="1" t="s">
        <v>62</v>
      </c>
      <c r="O60" s="1">
        <f t="shared" si="36"/>
        <v>2020</v>
      </c>
      <c r="P60" s="38">
        <f t="shared" si="33"/>
        <v>0.16</v>
      </c>
      <c r="Q60" s="1"/>
    </row>
    <row r="61" spans="1:17" x14ac:dyDescent="0.15">
      <c r="A61" s="2" t="s">
        <v>20</v>
      </c>
      <c r="B61" s="17">
        <f>ROUND(VLOOKUP(B$39&amp;"_1",管理者用人口入力シート!A:X,D61,FALSE),0)</f>
        <v>0</v>
      </c>
      <c r="C61" s="17">
        <f>ROUND(VLOOKUP(B$39&amp;"_2",管理者用人口入力シート!A:X,D61,FALSE),0)</f>
        <v>3</v>
      </c>
      <c r="D61" s="2">
        <v>24</v>
      </c>
      <c r="G61" s="1" t="s">
        <v>106</v>
      </c>
      <c r="H61" s="1">
        <f t="shared" si="34"/>
        <v>2025</v>
      </c>
      <c r="I61" s="38">
        <f>ROUND((SUM(H84:I89)/SUM(H69:I89)),2)</f>
        <v>0.2</v>
      </c>
      <c r="J61" s="205"/>
      <c r="K61" s="205"/>
      <c r="N61" s="1" t="s">
        <v>106</v>
      </c>
      <c r="O61" s="1">
        <f t="shared" si="36"/>
        <v>2025</v>
      </c>
      <c r="P61" s="38">
        <f t="shared" si="33"/>
        <v>0.2</v>
      </c>
      <c r="Q61" s="38">
        <f>ROUND((SUM(O84:P89)/SUM(O69:P89)),2)</f>
        <v>0.2</v>
      </c>
    </row>
    <row r="62" spans="1:17" x14ac:dyDescent="0.15">
      <c r="G62" s="1" t="s">
        <v>107</v>
      </c>
      <c r="H62" s="1">
        <f t="shared" si="34"/>
        <v>2030</v>
      </c>
      <c r="I62" s="38">
        <f>ROUND((SUM(H108:I113)/SUM(H93:I113)),2)</f>
        <v>0.22</v>
      </c>
      <c r="J62" s="205"/>
      <c r="K62" s="205"/>
      <c r="N62" s="1" t="s">
        <v>107</v>
      </c>
      <c r="O62" s="1">
        <f t="shared" si="36"/>
        <v>2030</v>
      </c>
      <c r="P62" s="38">
        <f t="shared" si="33"/>
        <v>0.22</v>
      </c>
      <c r="Q62" s="38">
        <f>ROUND((SUM(O108:P113)/SUM(O93:P113)),2)</f>
        <v>0.22</v>
      </c>
    </row>
    <row r="63" spans="1:17" x14ac:dyDescent="0.15">
      <c r="A63" s="2" t="s">
        <v>384</v>
      </c>
      <c r="B63" s="315">
        <f>管理者入力シート!B6</f>
        <v>2015</v>
      </c>
      <c r="C63" s="316"/>
      <c r="D63" s="2" t="s">
        <v>114</v>
      </c>
      <c r="G63" s="1" t="s">
        <v>108</v>
      </c>
      <c r="H63" s="1">
        <f t="shared" si="34"/>
        <v>2035</v>
      </c>
      <c r="I63" s="38">
        <f>ROUND((SUM(H132:I137)/SUM(H117:I137)),2)</f>
        <v>0.22</v>
      </c>
      <c r="J63" s="205"/>
      <c r="K63" s="205"/>
      <c r="N63" s="1" t="s">
        <v>108</v>
      </c>
      <c r="O63" s="1">
        <f t="shared" si="36"/>
        <v>2035</v>
      </c>
      <c r="P63" s="38">
        <f t="shared" si="33"/>
        <v>0.22</v>
      </c>
      <c r="Q63" s="38">
        <f>ROUND((SUM(O132:P137)/SUM(O117:P137)),2)</f>
        <v>0.22</v>
      </c>
    </row>
    <row r="64" spans="1:17" x14ac:dyDescent="0.15">
      <c r="A64" s="2" t="s">
        <v>115</v>
      </c>
      <c r="B64" s="18" t="s">
        <v>21</v>
      </c>
      <c r="C64" s="18" t="s">
        <v>22</v>
      </c>
      <c r="G64" s="1" t="s">
        <v>109</v>
      </c>
      <c r="H64" s="1">
        <f t="shared" si="34"/>
        <v>2040</v>
      </c>
      <c r="I64" s="38">
        <f>ROUND((SUM(H156:I161)/SUM(H141:I161)),2)</f>
        <v>0.22</v>
      </c>
      <c r="J64" s="205"/>
      <c r="K64" s="205"/>
      <c r="N64" s="1" t="s">
        <v>109</v>
      </c>
      <c r="O64" s="1">
        <f t="shared" si="36"/>
        <v>2040</v>
      </c>
      <c r="P64" s="38">
        <f t="shared" si="33"/>
        <v>0.22</v>
      </c>
      <c r="Q64" s="38">
        <f>ROUND((SUM(O156:P161)/SUM(O141:P161)),2)</f>
        <v>0.22</v>
      </c>
    </row>
    <row r="65" spans="1:21" x14ac:dyDescent="0.15">
      <c r="A65" s="2" t="s">
        <v>0</v>
      </c>
      <c r="B65" s="17">
        <f>ROUND(VLOOKUP(B$63&amp;"_1",管理者用人口入力シート!A:X,D65,FALSE),0)</f>
        <v>233</v>
      </c>
      <c r="C65" s="17">
        <f>ROUND(VLOOKUP(B$63&amp;"_2",管理者用人口入力シート!A:X,D65,FALSE),0)</f>
        <v>231</v>
      </c>
      <c r="D65" s="2">
        <v>4</v>
      </c>
    </row>
    <row r="66" spans="1:21" x14ac:dyDescent="0.15">
      <c r="A66" s="2" t="s">
        <v>1</v>
      </c>
      <c r="B66" s="17">
        <f>ROUND(VLOOKUP(B$63&amp;"_1",管理者用人口入力シート!A:X,D66,FALSE),0)</f>
        <v>213</v>
      </c>
      <c r="C66" s="17">
        <f>ROUND(VLOOKUP(B$63&amp;"_2",管理者用人口入力シート!A:X,D66,FALSE),0)</f>
        <v>207</v>
      </c>
      <c r="D66" s="2">
        <v>5</v>
      </c>
      <c r="G66" s="69" t="s">
        <v>113</v>
      </c>
      <c r="N66" s="69" t="s">
        <v>113</v>
      </c>
    </row>
    <row r="67" spans="1:21" x14ac:dyDescent="0.15">
      <c r="A67" s="2" t="s">
        <v>2</v>
      </c>
      <c r="B67" s="17">
        <f>ROUND(VLOOKUP(B$63&amp;"_1",管理者用人口入力シート!A:X,D67,FALSE),0)</f>
        <v>207</v>
      </c>
      <c r="C67" s="17">
        <f>ROUND(VLOOKUP(B$63&amp;"_2",管理者用人口入力シート!A:X,D67,FALSE),0)</f>
        <v>215</v>
      </c>
      <c r="D67" s="2">
        <v>6</v>
      </c>
      <c r="G67" s="2" t="s">
        <v>106</v>
      </c>
      <c r="H67" s="315">
        <f>管理者入力シート!B8</f>
        <v>2025</v>
      </c>
      <c r="I67" s="316"/>
      <c r="J67" s="2" t="s">
        <v>114</v>
      </c>
      <c r="K67" s="209"/>
      <c r="O67" s="315">
        <f>管理者入力シート!B8</f>
        <v>2025</v>
      </c>
      <c r="P67" s="316"/>
      <c r="Q67" s="2" t="s">
        <v>114</v>
      </c>
    </row>
    <row r="68" spans="1:21" x14ac:dyDescent="0.15">
      <c r="A68" s="2" t="s">
        <v>3</v>
      </c>
      <c r="B68" s="17">
        <f>ROUND(VLOOKUP(B$63&amp;"_1",管理者用人口入力シート!A:X,D68,FALSE),0)</f>
        <v>229</v>
      </c>
      <c r="C68" s="17">
        <f>ROUND(VLOOKUP(B$63&amp;"_2",管理者用人口入力シート!A:X,D68,FALSE),0)</f>
        <v>235</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197</v>
      </c>
      <c r="C69" s="17">
        <f>ROUND(VLOOKUP(B$63&amp;"_2",管理者用人口入力シート!A:X,D69,FALSE),0)</f>
        <v>203</v>
      </c>
      <c r="D69" s="2">
        <v>8</v>
      </c>
      <c r="G69" s="2" t="s">
        <v>0</v>
      </c>
      <c r="H69" s="17">
        <f>ROUND(VLOOKUP(H$67&amp;"_1",管理者用人口入力シート!BH:CE,J69,FALSE),0)</f>
        <v>166</v>
      </c>
      <c r="I69" s="17">
        <f>ROUND(VLOOKUP(H$67&amp;"_2",管理者用人口入力シート!BH:CE,J69,FALSE),0)</f>
        <v>150</v>
      </c>
      <c r="J69" s="2">
        <v>4</v>
      </c>
      <c r="K69" s="12"/>
      <c r="N69" s="2" t="s">
        <v>0</v>
      </c>
      <c r="O69" s="17">
        <f>ROUND(VLOOKUP(O$67&amp;"_1",管理者用人口入力シート!CO:DL,Q69,FALSE),0)</f>
        <v>167</v>
      </c>
      <c r="P69" s="17">
        <f>ROUND(VLOOKUP(O$67&amp;"_2",管理者用人口入力シート!CO:DL,Q69,FALSE),0)</f>
        <v>151</v>
      </c>
      <c r="Q69" s="2">
        <v>4</v>
      </c>
      <c r="U69" s="85"/>
    </row>
    <row r="70" spans="1:21" x14ac:dyDescent="0.15">
      <c r="A70" s="2" t="s">
        <v>5</v>
      </c>
      <c r="B70" s="17">
        <f>ROUND(VLOOKUP(B$63&amp;"_1",管理者用人口入力シート!A:X,D70,FALSE),0)</f>
        <v>242</v>
      </c>
      <c r="C70" s="17">
        <f>ROUND(VLOOKUP(B$63&amp;"_2",管理者用人口入力シート!A:X,D70,FALSE),0)</f>
        <v>253</v>
      </c>
      <c r="D70" s="2">
        <v>9</v>
      </c>
      <c r="G70" s="2" t="s">
        <v>1</v>
      </c>
      <c r="H70" s="17">
        <f>ROUND(VLOOKUP(H$67&amp;"_1",管理者用人口入力シート!BH:CE,J70,FALSE),0)</f>
        <v>196</v>
      </c>
      <c r="I70" s="17">
        <f>ROUND(VLOOKUP(H$67&amp;"_2",管理者用人口入力シート!BH:CE,J70,FALSE),0)</f>
        <v>162</v>
      </c>
      <c r="J70" s="2">
        <v>5</v>
      </c>
      <c r="K70" s="12"/>
      <c r="N70" s="2" t="s">
        <v>1</v>
      </c>
      <c r="O70" s="17">
        <f>ROUND(VLOOKUP(O$67&amp;"_1",管理者用人口入力シート!CO:DL,Q70,FALSE),0)</f>
        <v>196</v>
      </c>
      <c r="P70" s="17">
        <f>ROUND(VLOOKUP(O$67&amp;"_2",管理者用人口入力シート!CO:DL,Q70,FALSE),0)</f>
        <v>162</v>
      </c>
      <c r="Q70" s="2">
        <v>5</v>
      </c>
      <c r="U70" s="85"/>
    </row>
    <row r="71" spans="1:21" x14ac:dyDescent="0.15">
      <c r="A71" s="2" t="s">
        <v>6</v>
      </c>
      <c r="B71" s="17">
        <f>ROUND(VLOOKUP(B$63&amp;"_1",管理者用人口入力シート!A:X,D71,FALSE),0)</f>
        <v>253</v>
      </c>
      <c r="C71" s="17">
        <f>ROUND(VLOOKUP(B$63&amp;"_2",管理者用人口入力シート!A:X,D71,FALSE),0)</f>
        <v>257</v>
      </c>
      <c r="D71" s="2">
        <v>10</v>
      </c>
      <c r="G71" s="2" t="s">
        <v>2</v>
      </c>
      <c r="H71" s="17">
        <f>ROUND(VLOOKUP(H$67&amp;"_1",管理者用人口入力シート!BH:CE,J71,FALSE),0)</f>
        <v>221</v>
      </c>
      <c r="I71" s="17">
        <f>ROUND(VLOOKUP(H$67&amp;"_2",管理者用人口入力シート!BH:CE,J71,FALSE),0)</f>
        <v>212</v>
      </c>
      <c r="J71" s="2">
        <v>6</v>
      </c>
      <c r="K71" s="12"/>
      <c r="N71" s="2" t="s">
        <v>2</v>
      </c>
      <c r="O71" s="17">
        <f>ROUND(VLOOKUP(O$67&amp;"_1",管理者用人口入力シート!CO:DL,Q71,FALSE),0)</f>
        <v>222</v>
      </c>
      <c r="P71" s="17">
        <f>ROUND(VLOOKUP(O$67&amp;"_2",管理者用人口入力シート!CO:DL,Q71,FALSE),0)</f>
        <v>213</v>
      </c>
      <c r="Q71" s="2">
        <v>6</v>
      </c>
      <c r="U71" s="85"/>
    </row>
    <row r="72" spans="1:21" x14ac:dyDescent="0.15">
      <c r="A72" s="2" t="s">
        <v>7</v>
      </c>
      <c r="B72" s="17">
        <f>ROUND(VLOOKUP(B$63&amp;"_1",管理者用人口入力シート!A:X,D72,FALSE),0)</f>
        <v>325</v>
      </c>
      <c r="C72" s="17">
        <f>ROUND(VLOOKUP(B$63&amp;"_2",管理者用人口入力シート!A:X,D72,FALSE),0)</f>
        <v>347</v>
      </c>
      <c r="D72" s="2">
        <v>11</v>
      </c>
      <c r="G72" s="2" t="s">
        <v>3</v>
      </c>
      <c r="H72" s="17">
        <f>ROUND(VLOOKUP(H$67&amp;"_1",管理者用人口入力シート!BH:CE,J72,FALSE),0)</f>
        <v>215</v>
      </c>
      <c r="I72" s="17">
        <f>ROUND(VLOOKUP(H$67&amp;"_2",管理者用人口入力シート!BH:CE,J72,FALSE),0)</f>
        <v>210</v>
      </c>
      <c r="J72" s="2">
        <v>7</v>
      </c>
      <c r="K72" s="12"/>
      <c r="N72" s="2" t="s">
        <v>3</v>
      </c>
      <c r="O72" s="17">
        <f>ROUND(VLOOKUP(O$67&amp;"_1",管理者用人口入力シート!CO:DL,Q72,FALSE),0)</f>
        <v>215</v>
      </c>
      <c r="P72" s="17">
        <f>ROUND(VLOOKUP(O$67&amp;"_2",管理者用人口入力シート!CO:DL,Q72,FALSE),0)</f>
        <v>210</v>
      </c>
      <c r="Q72" s="2">
        <v>7</v>
      </c>
      <c r="U72" s="85"/>
    </row>
    <row r="73" spans="1:21" x14ac:dyDescent="0.15">
      <c r="A73" s="2" t="s">
        <v>8</v>
      </c>
      <c r="B73" s="17">
        <f>ROUND(VLOOKUP(B$63&amp;"_1",管理者用人口入力シート!A:X,D73,FALSE),0)</f>
        <v>328</v>
      </c>
      <c r="C73" s="17">
        <f>ROUND(VLOOKUP(B$63&amp;"_2",管理者用人口入力シート!A:X,D73,FALSE),0)</f>
        <v>313</v>
      </c>
      <c r="D73" s="2">
        <v>12</v>
      </c>
      <c r="G73" s="2" t="s">
        <v>4</v>
      </c>
      <c r="H73" s="17">
        <f>ROUND(VLOOKUP(H$67&amp;"_1",管理者用人口入力シート!BH:CE,J73,FALSE),0)</f>
        <v>171</v>
      </c>
      <c r="I73" s="17">
        <f>ROUND(VLOOKUP(H$67&amp;"_2",管理者用人口入力シート!BH:CE,J73,FALSE),0)</f>
        <v>149</v>
      </c>
      <c r="J73" s="2">
        <v>8</v>
      </c>
      <c r="K73" s="12"/>
      <c r="N73" s="2" t="s">
        <v>4</v>
      </c>
      <c r="O73" s="17">
        <f>ROUND(VLOOKUP(O$67&amp;"_1",管理者用人口入力シート!CO:DL,Q73,FALSE),0)</f>
        <v>171</v>
      </c>
      <c r="P73" s="17">
        <f>ROUND(VLOOKUP(O$67&amp;"_2",管理者用人口入力シート!CO:DL,Q73,FALSE),0)</f>
        <v>149</v>
      </c>
      <c r="Q73" s="2">
        <v>8</v>
      </c>
      <c r="U73" s="85"/>
    </row>
    <row r="74" spans="1:21" x14ac:dyDescent="0.15">
      <c r="A74" s="2" t="s">
        <v>9</v>
      </c>
      <c r="B74" s="17">
        <f>ROUND(VLOOKUP(B$63&amp;"_1",管理者用人口入力シート!A:X,D74,FALSE),0)</f>
        <v>276</v>
      </c>
      <c r="C74" s="17">
        <f>ROUND(VLOOKUP(B$63&amp;"_2",管理者用人口入力シート!A:X,D74,FALSE),0)</f>
        <v>300</v>
      </c>
      <c r="D74" s="2">
        <v>13</v>
      </c>
      <c r="G74" s="2" t="s">
        <v>5</v>
      </c>
      <c r="H74" s="17">
        <f>ROUND(VLOOKUP(H$67&amp;"_1",管理者用人口入力シート!BH:CE,J74,FALSE),0)</f>
        <v>210</v>
      </c>
      <c r="I74" s="17">
        <f>ROUND(VLOOKUP(H$67&amp;"_2",管理者用人口入力シート!BH:CE,J74,FALSE),0)</f>
        <v>165</v>
      </c>
      <c r="J74" s="2">
        <v>9</v>
      </c>
      <c r="K74" s="12"/>
      <c r="N74" s="2" t="s">
        <v>5</v>
      </c>
      <c r="O74" s="17">
        <f>ROUND(VLOOKUP(O$67&amp;"_1",管理者用人口入力シート!CO:DL,Q74,FALSE),0)</f>
        <v>212</v>
      </c>
      <c r="P74" s="17">
        <f>ROUND(VLOOKUP(O$67&amp;"_2",管理者用人口入力シート!CO:DL,Q74,FALSE),0)</f>
        <v>167</v>
      </c>
      <c r="Q74" s="2">
        <v>9</v>
      </c>
      <c r="U74" s="85"/>
    </row>
    <row r="75" spans="1:21" x14ac:dyDescent="0.15">
      <c r="A75" s="2" t="s">
        <v>10</v>
      </c>
      <c r="B75" s="17">
        <f>ROUND(VLOOKUP(B$63&amp;"_1",管理者用人口入力シート!A:X,D75,FALSE),0)</f>
        <v>284</v>
      </c>
      <c r="C75" s="17">
        <f>ROUND(VLOOKUP(B$63&amp;"_2",管理者用人口入力シート!A:X,D75,FALSE),0)</f>
        <v>292</v>
      </c>
      <c r="D75" s="2">
        <v>14</v>
      </c>
      <c r="G75" s="2" t="s">
        <v>6</v>
      </c>
      <c r="H75" s="17">
        <f>ROUND(VLOOKUP(H$67&amp;"_1",管理者用人口入力シート!BH:CE,J75,FALSE),0)</f>
        <v>209</v>
      </c>
      <c r="I75" s="17">
        <f>ROUND(VLOOKUP(H$67&amp;"_2",管理者用人口入力シート!BH:CE,J75,FALSE),0)</f>
        <v>175</v>
      </c>
      <c r="J75" s="2">
        <v>10</v>
      </c>
      <c r="K75" s="12"/>
      <c r="N75" s="2" t="s">
        <v>6</v>
      </c>
      <c r="O75" s="17">
        <f>ROUND(VLOOKUP(O$67&amp;"_1",管理者用人口入力シート!CO:DL,Q75,FALSE),0)</f>
        <v>209</v>
      </c>
      <c r="P75" s="17">
        <f>ROUND(VLOOKUP(O$67&amp;"_2",管理者用人口入力シート!CO:DL,Q75,FALSE),0)</f>
        <v>175</v>
      </c>
      <c r="Q75" s="2">
        <v>10</v>
      </c>
      <c r="U75" s="85"/>
    </row>
    <row r="76" spans="1:21" x14ac:dyDescent="0.15">
      <c r="A76" s="2" t="s">
        <v>11</v>
      </c>
      <c r="B76" s="17">
        <f>ROUND(VLOOKUP(B$63&amp;"_1",管理者用人口入力シート!A:X,D76,FALSE),0)</f>
        <v>312</v>
      </c>
      <c r="C76" s="17">
        <f>ROUND(VLOOKUP(B$63&amp;"_2",管理者用人口入力シート!A:X,D76,FALSE),0)</f>
        <v>343</v>
      </c>
      <c r="D76" s="2">
        <v>15</v>
      </c>
      <c r="G76" s="2" t="s">
        <v>7</v>
      </c>
      <c r="H76" s="17">
        <f>ROUND(VLOOKUP(H$67&amp;"_1",管理者用人口入力シート!BH:CE,J76,FALSE),0)</f>
        <v>242</v>
      </c>
      <c r="I76" s="17">
        <f>ROUND(VLOOKUP(H$67&amp;"_2",管理者用人口入力シート!BH:CE,J76,FALSE),0)</f>
        <v>244</v>
      </c>
      <c r="J76" s="2">
        <v>11</v>
      </c>
      <c r="K76" s="12"/>
      <c r="N76" s="2" t="s">
        <v>7</v>
      </c>
      <c r="O76" s="17">
        <f>ROUND(VLOOKUP(O$67&amp;"_1",管理者用人口入力シート!CO:DL,Q76,FALSE),0)</f>
        <v>242</v>
      </c>
      <c r="P76" s="17">
        <f>ROUND(VLOOKUP(O$67&amp;"_2",管理者用人口入力シート!CO:DL,Q76,FALSE),0)</f>
        <v>244</v>
      </c>
      <c r="Q76" s="2">
        <v>11</v>
      </c>
      <c r="U76" s="85"/>
    </row>
    <row r="77" spans="1:21" x14ac:dyDescent="0.15">
      <c r="A77" s="2" t="s">
        <v>12</v>
      </c>
      <c r="B77" s="17">
        <f>ROUND(VLOOKUP(B$63&amp;"_1",管理者用人口入力シート!A:X,D77,FALSE),0)</f>
        <v>369</v>
      </c>
      <c r="C77" s="17">
        <f>ROUND(VLOOKUP(B$63&amp;"_2",管理者用人口入力シート!A:X,D77,FALSE),0)</f>
        <v>391</v>
      </c>
      <c r="D77" s="2">
        <v>16</v>
      </c>
      <c r="G77" s="2" t="s">
        <v>8</v>
      </c>
      <c r="H77" s="17">
        <f>ROUND(VLOOKUP(H$67&amp;"_1",管理者用人口入力シート!BH:CE,J77,FALSE),0)</f>
        <v>258</v>
      </c>
      <c r="I77" s="17">
        <f>ROUND(VLOOKUP(H$67&amp;"_2",管理者用人口入力シート!BH:CE,J77,FALSE),0)</f>
        <v>256</v>
      </c>
      <c r="J77" s="2">
        <v>12</v>
      </c>
      <c r="K77" s="12"/>
      <c r="N77" s="2" t="s">
        <v>8</v>
      </c>
      <c r="O77" s="17">
        <f>ROUND(VLOOKUP(O$67&amp;"_1",管理者用人口入力シート!CO:DL,Q77,FALSE),0)</f>
        <v>258</v>
      </c>
      <c r="P77" s="17">
        <f>ROUND(VLOOKUP(O$67&amp;"_2",管理者用人口入力シート!CO:DL,Q77,FALSE),0)</f>
        <v>257</v>
      </c>
      <c r="Q77" s="2">
        <v>12</v>
      </c>
      <c r="U77" s="85"/>
    </row>
    <row r="78" spans="1:21" x14ac:dyDescent="0.15">
      <c r="A78" s="2" t="s">
        <v>13</v>
      </c>
      <c r="B78" s="17">
        <f>ROUND(VLOOKUP(B$63&amp;"_1",管理者用人口入力シート!A:X,D78,FALSE),0)</f>
        <v>412</v>
      </c>
      <c r="C78" s="17">
        <f>ROUND(VLOOKUP(B$63&amp;"_2",管理者用人口入力シート!A:X,D78,FALSE),0)</f>
        <v>470</v>
      </c>
      <c r="D78" s="2">
        <v>17</v>
      </c>
      <c r="G78" s="2" t="s">
        <v>9</v>
      </c>
      <c r="H78" s="17">
        <f>ROUND(VLOOKUP(H$67&amp;"_1",管理者用人口入力シート!BH:CE,J78,FALSE),0)</f>
        <v>321</v>
      </c>
      <c r="I78" s="17">
        <f>ROUND(VLOOKUP(H$67&amp;"_2",管理者用人口入力シート!BH:CE,J78,FALSE),0)</f>
        <v>325</v>
      </c>
      <c r="J78" s="2">
        <v>13</v>
      </c>
      <c r="K78" s="12"/>
      <c r="N78" s="2" t="s">
        <v>9</v>
      </c>
      <c r="O78" s="17">
        <f>ROUND(VLOOKUP(O$67&amp;"_1",管理者用人口入力シート!CO:DL,Q78,FALSE),0)</f>
        <v>321</v>
      </c>
      <c r="P78" s="17">
        <f>ROUND(VLOOKUP(O$67&amp;"_2",管理者用人口入力シート!CO:DL,Q78,FALSE),0)</f>
        <v>325</v>
      </c>
      <c r="Q78" s="2">
        <v>13</v>
      </c>
      <c r="U78" s="85"/>
    </row>
    <row r="79" spans="1:21" x14ac:dyDescent="0.15">
      <c r="A79" s="2" t="s">
        <v>14</v>
      </c>
      <c r="B79" s="17">
        <f>ROUND(VLOOKUP(B$63&amp;"_1",管理者用人口入力シート!A:X,D79,FALSE),0)</f>
        <v>312</v>
      </c>
      <c r="C79" s="17">
        <f>ROUND(VLOOKUP(B$63&amp;"_2",管理者用人口入力シート!A:X,D79,FALSE),0)</f>
        <v>345</v>
      </c>
      <c r="D79" s="2">
        <v>18</v>
      </c>
      <c r="G79" s="2" t="s">
        <v>10</v>
      </c>
      <c r="H79" s="17">
        <f>ROUND(VLOOKUP(H$67&amp;"_1",管理者用人口入力シート!BH:CE,J79,FALSE),0)</f>
        <v>297</v>
      </c>
      <c r="I79" s="17">
        <f>ROUND(VLOOKUP(H$67&amp;"_2",管理者用人口入力シート!BH:CE,J79,FALSE),0)</f>
        <v>319</v>
      </c>
      <c r="J79" s="2">
        <v>14</v>
      </c>
      <c r="K79" s="12"/>
      <c r="N79" s="2" t="s">
        <v>10</v>
      </c>
      <c r="O79" s="17">
        <f>ROUND(VLOOKUP(O$67&amp;"_1",管理者用人口入力シート!CO:DL,Q79,FALSE),0)</f>
        <v>297</v>
      </c>
      <c r="P79" s="17">
        <f>ROUND(VLOOKUP(O$67&amp;"_2",管理者用人口入力シート!CO:DL,Q79,FALSE),0)</f>
        <v>319</v>
      </c>
      <c r="Q79" s="2">
        <v>14</v>
      </c>
      <c r="U79" s="85"/>
    </row>
    <row r="80" spans="1:21" x14ac:dyDescent="0.15">
      <c r="A80" s="2" t="s">
        <v>15</v>
      </c>
      <c r="B80" s="17">
        <f>ROUND(VLOOKUP(B$63&amp;"_1",管理者用人口入力シート!A:X,D80,FALSE),0)</f>
        <v>226</v>
      </c>
      <c r="C80" s="17">
        <f>ROUND(VLOOKUP(B$63&amp;"_2",管理者用人口入力シート!A:X,D80,FALSE),0)</f>
        <v>299</v>
      </c>
      <c r="D80" s="2">
        <v>19</v>
      </c>
      <c r="G80" s="2" t="s">
        <v>11</v>
      </c>
      <c r="H80" s="17">
        <f>ROUND(VLOOKUP(H$67&amp;"_1",管理者用人口入力シート!BH:CE,J80,FALSE),0)</f>
        <v>253</v>
      </c>
      <c r="I80" s="17">
        <f>ROUND(VLOOKUP(H$67&amp;"_2",管理者用人口入力シート!BH:CE,J80,FALSE),0)</f>
        <v>293</v>
      </c>
      <c r="J80" s="2">
        <v>15</v>
      </c>
      <c r="K80" s="12"/>
      <c r="N80" s="2" t="s">
        <v>11</v>
      </c>
      <c r="O80" s="17">
        <f>ROUND(VLOOKUP(O$67&amp;"_1",管理者用人口入力シート!CO:DL,Q80,FALSE),0)</f>
        <v>253</v>
      </c>
      <c r="P80" s="17">
        <f>ROUND(VLOOKUP(O$67&amp;"_2",管理者用人口入力シート!CO:DL,Q80,FALSE),0)</f>
        <v>293</v>
      </c>
      <c r="Q80" s="2">
        <v>15</v>
      </c>
      <c r="U80" s="85"/>
    </row>
    <row r="81" spans="1:21" x14ac:dyDescent="0.15">
      <c r="A81" s="2" t="s">
        <v>16</v>
      </c>
      <c r="B81" s="17">
        <f>ROUND(VLOOKUP(B$63&amp;"_1",管理者用人口入力シート!A:X,D81,FALSE),0)</f>
        <v>184</v>
      </c>
      <c r="C81" s="17">
        <f>ROUND(VLOOKUP(B$63&amp;"_2",管理者用人口入力シート!A:X,D81,FALSE),0)</f>
        <v>280</v>
      </c>
      <c r="D81" s="2">
        <v>20</v>
      </c>
      <c r="G81" s="2" t="s">
        <v>12</v>
      </c>
      <c r="H81" s="17">
        <f>ROUND(VLOOKUP(H$67&amp;"_1",管理者用人口入力シート!BH:CE,J81,FALSE),0)</f>
        <v>272</v>
      </c>
      <c r="I81" s="17">
        <f>ROUND(VLOOKUP(H$67&amp;"_2",管理者用人口入力シート!BH:CE,J81,FALSE),0)</f>
        <v>283</v>
      </c>
      <c r="J81" s="2">
        <v>16</v>
      </c>
      <c r="K81" s="12"/>
      <c r="N81" s="2" t="s">
        <v>12</v>
      </c>
      <c r="O81" s="17">
        <f>ROUND(VLOOKUP(O$67&amp;"_1",管理者用人口入力シート!CO:DL,Q81,FALSE),0)</f>
        <v>272</v>
      </c>
      <c r="P81" s="17">
        <f>ROUND(VLOOKUP(O$67&amp;"_2",管理者用人口入力シート!CO:DL,Q81,FALSE),0)</f>
        <v>283</v>
      </c>
      <c r="Q81" s="2">
        <v>16</v>
      </c>
      <c r="U81" s="85"/>
    </row>
    <row r="82" spans="1:21" x14ac:dyDescent="0.15">
      <c r="A82" s="2" t="s">
        <v>17</v>
      </c>
      <c r="B82" s="17">
        <f>ROUND(VLOOKUP(B$63&amp;"_1",管理者用人口入力シート!A:X,D82,FALSE),0)</f>
        <v>80</v>
      </c>
      <c r="C82" s="17">
        <f>ROUND(VLOOKUP(B$63&amp;"_2",管理者用人口入力シート!A:X,D82,FALSE),0)</f>
        <v>207</v>
      </c>
      <c r="D82" s="2">
        <v>21</v>
      </c>
      <c r="G82" s="2" t="s">
        <v>13</v>
      </c>
      <c r="H82" s="17">
        <f>ROUND(VLOOKUP(H$67&amp;"_1",管理者用人口入力シート!BH:CE,J82,FALSE),0)</f>
        <v>294</v>
      </c>
      <c r="I82" s="17">
        <f>ROUND(VLOOKUP(H$67&amp;"_2",管理者用人口入力シート!BH:CE,J82,FALSE),0)</f>
        <v>337</v>
      </c>
      <c r="J82" s="2">
        <v>17</v>
      </c>
      <c r="K82" s="12"/>
      <c r="N82" s="2" t="s">
        <v>13</v>
      </c>
      <c r="O82" s="17">
        <f>ROUND(VLOOKUP(O$67&amp;"_1",管理者用人口入力シート!CO:DL,Q82,FALSE),0)</f>
        <v>294</v>
      </c>
      <c r="P82" s="17">
        <f>ROUND(VLOOKUP(O$67&amp;"_2",管理者用人口入力シート!CO:DL,Q82,FALSE),0)</f>
        <v>337</v>
      </c>
      <c r="Q82" s="2">
        <v>17</v>
      </c>
      <c r="U82" s="85"/>
    </row>
    <row r="83" spans="1:21" x14ac:dyDescent="0.15">
      <c r="A83" s="2" t="s">
        <v>18</v>
      </c>
      <c r="B83" s="17">
        <f>ROUND(VLOOKUP(B$63&amp;"_1",管理者用人口入力シート!A:X,D83,FALSE),0)</f>
        <v>37</v>
      </c>
      <c r="C83" s="17">
        <f>ROUND(VLOOKUP(B$63&amp;"_2",管理者用人口入力シート!A:X,D83,FALSE),0)</f>
        <v>102</v>
      </c>
      <c r="D83" s="2">
        <v>22</v>
      </c>
      <c r="G83" s="2" t="s">
        <v>14</v>
      </c>
      <c r="H83" s="17">
        <f>ROUND(VLOOKUP(H$67&amp;"_1",管理者用人口入力シート!BH:CE,J83,FALSE),0)</f>
        <v>340</v>
      </c>
      <c r="I83" s="17">
        <f>ROUND(VLOOKUP(H$67&amp;"_2",管理者用人口入力シート!BH:CE,J83,FALSE),0)</f>
        <v>371</v>
      </c>
      <c r="J83" s="2">
        <v>18</v>
      </c>
      <c r="K83" s="12"/>
      <c r="N83" s="2" t="s">
        <v>14</v>
      </c>
      <c r="O83" s="17">
        <f>ROUND(VLOOKUP(O$67&amp;"_1",管理者用人口入力シート!CO:DL,Q83,FALSE),0)</f>
        <v>340</v>
      </c>
      <c r="P83" s="17">
        <f>ROUND(VLOOKUP(O$67&amp;"_2",管理者用人口入力シート!CO:DL,Q83,FALSE),0)</f>
        <v>371</v>
      </c>
      <c r="Q83" s="2">
        <v>18</v>
      </c>
      <c r="U83" s="85"/>
    </row>
    <row r="84" spans="1:21" x14ac:dyDescent="0.15">
      <c r="A84" s="2" t="s">
        <v>19</v>
      </c>
      <c r="B84" s="17">
        <f>ROUND(VLOOKUP(B$63&amp;"_1",管理者用人口入力シート!A:X,D84,FALSE),0)</f>
        <v>6</v>
      </c>
      <c r="C84" s="17">
        <f>ROUND(VLOOKUP(B$63&amp;"_2",管理者用人口入力シート!A:X,D84,FALSE),0)</f>
        <v>26</v>
      </c>
      <c r="D84" s="2">
        <v>23</v>
      </c>
      <c r="G84" s="2" t="s">
        <v>15</v>
      </c>
      <c r="H84" s="17">
        <f>ROUND(VLOOKUP(H$67&amp;"_1",管理者用人口入力シート!BH:CE,J84,FALSE),0)</f>
        <v>337</v>
      </c>
      <c r="I84" s="17">
        <f>ROUND(VLOOKUP(H$67&amp;"_2",管理者用人口入力シート!BH:CE,J84,FALSE),0)</f>
        <v>405</v>
      </c>
      <c r="J84" s="2">
        <v>19</v>
      </c>
      <c r="K84" s="12"/>
      <c r="N84" s="2" t="s">
        <v>15</v>
      </c>
      <c r="O84" s="17">
        <f>ROUND(VLOOKUP(O$67&amp;"_1",管理者用人口入力シート!CO:DL,Q84,FALSE),0)</f>
        <v>337</v>
      </c>
      <c r="P84" s="17">
        <f>ROUND(VLOOKUP(O$67&amp;"_2",管理者用人口入力シート!CO:DL,Q84,FALSE),0)</f>
        <v>405</v>
      </c>
      <c r="Q84" s="2">
        <v>19</v>
      </c>
      <c r="U84" s="85"/>
    </row>
    <row r="85" spans="1:21" x14ac:dyDescent="0.15">
      <c r="A85" s="2" t="s">
        <v>20</v>
      </c>
      <c r="B85" s="17">
        <f>ROUND(VLOOKUP(B$63&amp;"_1",管理者用人口入力シート!A:X,D85,FALSE),0)</f>
        <v>0</v>
      </c>
      <c r="C85" s="17">
        <f>ROUND(VLOOKUP(B$63&amp;"_2",管理者用人口入力シート!A:X,D85,FALSE),0)</f>
        <v>7</v>
      </c>
      <c r="D85" s="2">
        <v>24</v>
      </c>
      <c r="G85" s="2" t="s">
        <v>16</v>
      </c>
      <c r="H85" s="17">
        <f>ROUND(VLOOKUP(H$67&amp;"_1",管理者用人口入力シート!BH:CE,J85,FALSE),0)</f>
        <v>202</v>
      </c>
      <c r="I85" s="17">
        <f>ROUND(VLOOKUP(H$67&amp;"_2",管理者用人口入力シート!BH:CE,J85,FALSE),0)</f>
        <v>284</v>
      </c>
      <c r="J85" s="2">
        <v>20</v>
      </c>
      <c r="K85" s="12"/>
      <c r="N85" s="2" t="s">
        <v>16</v>
      </c>
      <c r="O85" s="17">
        <f>ROUND(VLOOKUP(O$67&amp;"_1",管理者用人口入力シート!CO:DL,Q85,FALSE),0)</f>
        <v>202</v>
      </c>
      <c r="P85" s="17">
        <f>ROUND(VLOOKUP(O$67&amp;"_2",管理者用人口入力シート!CO:DL,Q85,FALSE),0)</f>
        <v>284</v>
      </c>
      <c r="Q85" s="2">
        <v>20</v>
      </c>
      <c r="U85" s="85"/>
    </row>
    <row r="86" spans="1:21" x14ac:dyDescent="0.15">
      <c r="G86" s="2" t="s">
        <v>17</v>
      </c>
      <c r="H86" s="17">
        <f>ROUND(VLOOKUP(H$67&amp;"_1",管理者用人口入力シート!BH:CE,J86,FALSE),0)</f>
        <v>99</v>
      </c>
      <c r="I86" s="17">
        <f>ROUND(VLOOKUP(H$67&amp;"_2",管理者用人口入力シート!BH:CE,J86,FALSE),0)</f>
        <v>203</v>
      </c>
      <c r="J86" s="2">
        <v>21</v>
      </c>
      <c r="K86" s="12"/>
      <c r="N86" s="2" t="s">
        <v>17</v>
      </c>
      <c r="O86" s="17">
        <f>ROUND(VLOOKUP(O$67&amp;"_1",管理者用人口入力シート!CO:DL,Q86,FALSE),0)</f>
        <v>99</v>
      </c>
      <c r="P86" s="17">
        <f>ROUND(VLOOKUP(O$67&amp;"_2",管理者用人口入力シート!CO:DL,Q86,FALSE),0)</f>
        <v>203</v>
      </c>
      <c r="Q86" s="2">
        <v>21</v>
      </c>
      <c r="U86" s="85"/>
    </row>
    <row r="87" spans="1:21" x14ac:dyDescent="0.15">
      <c r="A87" s="2" t="s">
        <v>62</v>
      </c>
      <c r="B87" s="315">
        <f>管理者入力シート!B5</f>
        <v>2020</v>
      </c>
      <c r="C87" s="316"/>
      <c r="D87" s="2" t="s">
        <v>114</v>
      </c>
      <c r="G87" s="2" t="s">
        <v>18</v>
      </c>
      <c r="H87" s="17">
        <f>ROUND(VLOOKUP(H$67&amp;"_1",管理者用人口入力シート!BH:CE,J87,FALSE),0)</f>
        <v>69</v>
      </c>
      <c r="I87" s="17">
        <f>ROUND(VLOOKUP(H$67&amp;"_2",管理者用人口入力シート!BH:CE,J87,FALSE),0)</f>
        <v>128</v>
      </c>
      <c r="J87" s="2">
        <v>22</v>
      </c>
      <c r="K87" s="12"/>
      <c r="N87" s="2" t="s">
        <v>18</v>
      </c>
      <c r="O87" s="17">
        <f>ROUND(VLOOKUP(O$67&amp;"_1",管理者用人口入力シート!CO:DL,Q87,FALSE),0)</f>
        <v>69</v>
      </c>
      <c r="P87" s="17">
        <f>ROUND(VLOOKUP(O$67&amp;"_2",管理者用人口入力シート!CO:DL,Q87,FALSE),0)</f>
        <v>128</v>
      </c>
      <c r="Q87" s="2">
        <v>22</v>
      </c>
      <c r="U87" s="85"/>
    </row>
    <row r="88" spans="1:21" x14ac:dyDescent="0.15">
      <c r="A88" s="2" t="s">
        <v>115</v>
      </c>
      <c r="B88" s="18" t="s">
        <v>21</v>
      </c>
      <c r="C88" s="18" t="s">
        <v>22</v>
      </c>
      <c r="G88" s="2" t="s">
        <v>19</v>
      </c>
      <c r="H88" s="17">
        <f>ROUND(VLOOKUP(H$67&amp;"_1",管理者用人口入力シート!BH:CE,J88,FALSE),0)</f>
        <v>9</v>
      </c>
      <c r="I88" s="17">
        <f>ROUND(VLOOKUP(H$67&amp;"_2",管理者用人口入力シート!BH:CE,J88,FALSE),0)</f>
        <v>37</v>
      </c>
      <c r="J88" s="2">
        <v>23</v>
      </c>
      <c r="K88" s="12"/>
      <c r="N88" s="2" t="s">
        <v>19</v>
      </c>
      <c r="O88" s="17">
        <f>ROUND(VLOOKUP(O$67&amp;"_1",管理者用人口入力シート!CO:DL,Q88,FALSE),0)</f>
        <v>9</v>
      </c>
      <c r="P88" s="17">
        <f>ROUND(VLOOKUP(O$67&amp;"_2",管理者用人口入力シート!CO:DL,Q88,FALSE),0)</f>
        <v>37</v>
      </c>
      <c r="Q88" s="2">
        <v>23</v>
      </c>
      <c r="U88" s="85"/>
    </row>
    <row r="89" spans="1:21" x14ac:dyDescent="0.15">
      <c r="A89" s="2" t="s">
        <v>0</v>
      </c>
      <c r="B89" s="17">
        <f>ROUND(VLOOKUP(B$87&amp;"_1",管理者用人口入力シート!A:X,D89,FALSE),0)</f>
        <v>196</v>
      </c>
      <c r="C89" s="17">
        <f>ROUND(VLOOKUP(B$87&amp;"_2",管理者用人口入力シート!A:X,D89,FALSE),0)</f>
        <v>177</v>
      </c>
      <c r="D89" s="2">
        <v>4</v>
      </c>
      <c r="G89" s="2" t="s">
        <v>20</v>
      </c>
      <c r="H89" s="17">
        <f>ROUND(VLOOKUP(H$67&amp;"_1",管理者用人口入力シート!BH:CE,J89,FALSE),0)</f>
        <v>0</v>
      </c>
      <c r="I89" s="17">
        <f>ROUND(VLOOKUP(H$67&amp;"_2",管理者用人口入力シート!BH:CE,J89,FALSE),0)</f>
        <v>7</v>
      </c>
      <c r="J89" s="2">
        <v>24</v>
      </c>
      <c r="K89" s="12"/>
      <c r="N89" s="2" t="s">
        <v>20</v>
      </c>
      <c r="O89" s="17">
        <f>ROUND(VLOOKUP(O$67&amp;"_1",管理者用人口入力シート!CO:DL,Q89,FALSE),0)</f>
        <v>0</v>
      </c>
      <c r="P89" s="17">
        <f>ROUND(VLOOKUP(O$67&amp;"_2",管理者用人口入力シート!CO:DL,Q89,FALSE),0)</f>
        <v>7</v>
      </c>
      <c r="Q89" s="2">
        <v>24</v>
      </c>
      <c r="U89" s="85"/>
    </row>
    <row r="90" spans="1:21" x14ac:dyDescent="0.15">
      <c r="A90" s="2" t="s">
        <v>1</v>
      </c>
      <c r="B90" s="17">
        <f>ROUND(VLOOKUP(B$87&amp;"_1",管理者用人口入力シート!A:X,D90,FALSE),0)</f>
        <v>227</v>
      </c>
      <c r="C90" s="17">
        <f>ROUND(VLOOKUP(B$87&amp;"_2",管理者用人口入力シート!A:X,D90,FALSE),0)</f>
        <v>212</v>
      </c>
      <c r="D90" s="2">
        <v>5</v>
      </c>
    </row>
    <row r="91" spans="1:21" x14ac:dyDescent="0.15">
      <c r="A91" s="2" t="s">
        <v>2</v>
      </c>
      <c r="B91" s="17">
        <f>ROUND(VLOOKUP(B$87&amp;"_1",管理者用人口入力シート!A:X,D91,FALSE),0)</f>
        <v>226</v>
      </c>
      <c r="C91" s="17">
        <f>ROUND(VLOOKUP(B$87&amp;"_2",管理者用人口入力シート!A:X,D91,FALSE),0)</f>
        <v>221</v>
      </c>
      <c r="D91" s="2">
        <v>6</v>
      </c>
      <c r="G91" s="2" t="s">
        <v>107</v>
      </c>
      <c r="H91" s="315">
        <f>管理者入力シート!B9</f>
        <v>2030</v>
      </c>
      <c r="I91" s="316"/>
      <c r="J91" s="2" t="s">
        <v>114</v>
      </c>
      <c r="K91" s="209"/>
      <c r="O91" s="315">
        <f>管理者入力シート!B9</f>
        <v>2030</v>
      </c>
      <c r="P91" s="316"/>
      <c r="Q91" s="2" t="s">
        <v>114</v>
      </c>
    </row>
    <row r="92" spans="1:21" x14ac:dyDescent="0.15">
      <c r="A92" s="2" t="s">
        <v>3</v>
      </c>
      <c r="B92" s="17">
        <f>ROUND(VLOOKUP(B$87&amp;"_1",管理者用人口入力シート!A:X,D92,FALSE),0)</f>
        <v>211</v>
      </c>
      <c r="C92" s="17">
        <f>ROUND(VLOOKUP(B$87&amp;"_2",管理者用人口入力シート!A:X,D92,FALSE),0)</f>
        <v>201</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201</v>
      </c>
      <c r="C93" s="17">
        <f>ROUND(VLOOKUP(B$87&amp;"_2",管理者用人口入力シート!A:X,D93,FALSE),0)</f>
        <v>168</v>
      </c>
      <c r="D93" s="2">
        <v>8</v>
      </c>
      <c r="G93" s="2" t="s">
        <v>0</v>
      </c>
      <c r="H93" s="17">
        <f>ROUND(VLOOKUP(H$91&amp;"_1",管理者用人口入力シート!BH:CE,J93,FALSE),0)</f>
        <v>146</v>
      </c>
      <c r="I93" s="17">
        <f>ROUND(VLOOKUP(H$91&amp;"_2",管理者用人口入力シート!BH:CE,J93,FALSE),0)</f>
        <v>131</v>
      </c>
      <c r="J93" s="2">
        <v>4</v>
      </c>
      <c r="K93" s="12"/>
      <c r="N93" s="2" t="s">
        <v>0</v>
      </c>
      <c r="O93" s="17">
        <f>ROUND(VLOOKUP(O$91&amp;"_1",管理者用人口入力シート!CO:DL,Q93,FALSE),0)</f>
        <v>147</v>
      </c>
      <c r="P93" s="17">
        <f>ROUND(VLOOKUP(O$91&amp;"_2",管理者用人口入力シート!CO:DL,Q93,FALSE),0)</f>
        <v>133</v>
      </c>
      <c r="Q93" s="2">
        <v>4</v>
      </c>
      <c r="T93" s="85"/>
    </row>
    <row r="94" spans="1:21" x14ac:dyDescent="0.15">
      <c r="A94" s="2" t="s">
        <v>5</v>
      </c>
      <c r="B94" s="17">
        <f>ROUND(VLOOKUP(B$87&amp;"_1",管理者用人口入力シート!A:X,D94,FALSE),0)</f>
        <v>213</v>
      </c>
      <c r="C94" s="17">
        <f>ROUND(VLOOKUP(B$87&amp;"_2",管理者用人口入力シート!A:X,D94,FALSE),0)</f>
        <v>187</v>
      </c>
      <c r="D94" s="2">
        <v>9</v>
      </c>
      <c r="G94" s="2" t="s">
        <v>1</v>
      </c>
      <c r="H94" s="17">
        <f>ROUND(VLOOKUP(H$91&amp;"_1",管理者用人口入力シート!BH:CE,J94,FALSE),0)</f>
        <v>166</v>
      </c>
      <c r="I94" s="17">
        <f>ROUND(VLOOKUP(H$91&amp;"_2",管理者用人口入力シート!BH:CE,J94,FALSE),0)</f>
        <v>137</v>
      </c>
      <c r="J94" s="2">
        <v>5</v>
      </c>
      <c r="K94" s="12"/>
      <c r="N94" s="2" t="s">
        <v>1</v>
      </c>
      <c r="O94" s="17">
        <f>ROUND(VLOOKUP(O$91&amp;"_1",管理者用人口入力シート!CO:DL,Q94,FALSE),0)</f>
        <v>167</v>
      </c>
      <c r="P94" s="17">
        <f>ROUND(VLOOKUP(O$91&amp;"_2",管理者用人口入力シート!CO:DL,Q94,FALSE),0)</f>
        <v>138</v>
      </c>
      <c r="Q94" s="2">
        <v>5</v>
      </c>
      <c r="T94" s="85"/>
    </row>
    <row r="95" spans="1:21" x14ac:dyDescent="0.15">
      <c r="A95" s="2" t="s">
        <v>6</v>
      </c>
      <c r="B95" s="17">
        <f>ROUND(VLOOKUP(B$87&amp;"_1",管理者用人口入力シート!A:X,D95,FALSE),0)</f>
        <v>238</v>
      </c>
      <c r="C95" s="17">
        <f>ROUND(VLOOKUP(B$87&amp;"_2",管理者用人口入力シート!A:X,D95,FALSE),0)</f>
        <v>233</v>
      </c>
      <c r="D95" s="2">
        <v>10</v>
      </c>
      <c r="G95" s="2" t="s">
        <v>2</v>
      </c>
      <c r="H95" s="17">
        <f>ROUND(VLOOKUP(H$91&amp;"_1",管理者用人口入力シート!BH:CE,J95,FALSE),0)</f>
        <v>191</v>
      </c>
      <c r="I95" s="17">
        <f>ROUND(VLOOKUP(H$91&amp;"_2",管理者用人口入力シート!BH:CE,J95,FALSE),0)</f>
        <v>162</v>
      </c>
      <c r="J95" s="2">
        <v>6</v>
      </c>
      <c r="K95" s="12"/>
      <c r="N95" s="2" t="s">
        <v>2</v>
      </c>
      <c r="O95" s="17">
        <f>ROUND(VLOOKUP(O$91&amp;"_1",管理者用人口入力シート!CO:DL,Q95,FALSE),0)</f>
        <v>192</v>
      </c>
      <c r="P95" s="17">
        <f>ROUND(VLOOKUP(O$91&amp;"_2",管理者用人口入力シート!CO:DL,Q95,FALSE),0)</f>
        <v>163</v>
      </c>
      <c r="Q95" s="2">
        <v>6</v>
      </c>
      <c r="T95" s="85"/>
    </row>
    <row r="96" spans="1:21" x14ac:dyDescent="0.15">
      <c r="A96" s="2" t="s">
        <v>7</v>
      </c>
      <c r="B96" s="17">
        <f>ROUND(VLOOKUP(B$87&amp;"_1",管理者用人口入力シート!A:X,D96,FALSE),0)</f>
        <v>268</v>
      </c>
      <c r="C96" s="17">
        <f>ROUND(VLOOKUP(B$87&amp;"_2",管理者用人口入力シート!A:X,D96,FALSE),0)</f>
        <v>277</v>
      </c>
      <c r="D96" s="2">
        <v>11</v>
      </c>
      <c r="G96" s="2" t="s">
        <v>3</v>
      </c>
      <c r="H96" s="17">
        <f>ROUND(VLOOKUP(H$91&amp;"_1",管理者用人口入力シート!BH:CE,J96,FALSE),0)</f>
        <v>209</v>
      </c>
      <c r="I96" s="17">
        <f>ROUND(VLOOKUP(H$91&amp;"_2",管理者用人口入力シート!BH:CE,J96,FALSE),0)</f>
        <v>202</v>
      </c>
      <c r="J96" s="2">
        <v>7</v>
      </c>
      <c r="K96" s="12"/>
      <c r="N96" s="2" t="s">
        <v>3</v>
      </c>
      <c r="O96" s="17">
        <f>ROUND(VLOOKUP(O$91&amp;"_1",管理者用人口入力シート!CO:DL,Q96,FALSE),0)</f>
        <v>210</v>
      </c>
      <c r="P96" s="17">
        <f>ROUND(VLOOKUP(O$91&amp;"_2",管理者用人口入力シート!CO:DL,Q96,FALSE),0)</f>
        <v>203</v>
      </c>
      <c r="Q96" s="2">
        <v>7</v>
      </c>
      <c r="T96" s="85"/>
    </row>
    <row r="97" spans="1:20" x14ac:dyDescent="0.15">
      <c r="A97" s="2" t="s">
        <v>8</v>
      </c>
      <c r="B97" s="17">
        <f>ROUND(VLOOKUP(B$87&amp;"_1",管理者用人口入力シート!A:X,D97,FALSE),0)</f>
        <v>335</v>
      </c>
      <c r="C97" s="17">
        <f>ROUND(VLOOKUP(B$87&amp;"_2",管理者用人口入力シート!A:X,D97,FALSE),0)</f>
        <v>317</v>
      </c>
      <c r="D97" s="2">
        <v>12</v>
      </c>
      <c r="G97" s="2" t="s">
        <v>4</v>
      </c>
      <c r="H97" s="17">
        <f>ROUND(VLOOKUP(H$91&amp;"_1",管理者用人口入力シート!BH:CE,J97,FALSE),0)</f>
        <v>174</v>
      </c>
      <c r="I97" s="17">
        <f>ROUND(VLOOKUP(H$91&amp;"_2",管理者用人口入力シート!BH:CE,J97,FALSE),0)</f>
        <v>156</v>
      </c>
      <c r="J97" s="2">
        <v>8</v>
      </c>
      <c r="K97" s="12"/>
      <c r="N97" s="2" t="s">
        <v>4</v>
      </c>
      <c r="O97" s="17">
        <f>ROUND(VLOOKUP(O$91&amp;"_1",管理者用人口入力シート!CO:DL,Q97,FALSE),0)</f>
        <v>174</v>
      </c>
      <c r="P97" s="17">
        <f>ROUND(VLOOKUP(O$91&amp;"_2",管理者用人口入力シート!CO:DL,Q97,FALSE),0)</f>
        <v>156</v>
      </c>
      <c r="Q97" s="2">
        <v>8</v>
      </c>
      <c r="T97" s="85"/>
    </row>
    <row r="98" spans="1:20" x14ac:dyDescent="0.15">
      <c r="A98" s="2" t="s">
        <v>9</v>
      </c>
      <c r="B98" s="17">
        <f>ROUND(VLOOKUP(B$87&amp;"_1",管理者用人口入力シート!A:X,D98,FALSE),0)</f>
        <v>303</v>
      </c>
      <c r="C98" s="17">
        <f>ROUND(VLOOKUP(B$87&amp;"_2",管理者用人口入力シート!A:X,D98,FALSE),0)</f>
        <v>318</v>
      </c>
      <c r="D98" s="2">
        <v>13</v>
      </c>
      <c r="G98" s="2" t="s">
        <v>5</v>
      </c>
      <c r="H98" s="17">
        <f>ROUND(VLOOKUP(H$91&amp;"_1",管理者用人口入力シート!BH:CE,J98,FALSE),0)</f>
        <v>179</v>
      </c>
      <c r="I98" s="17">
        <f>ROUND(VLOOKUP(H$91&amp;"_2",管理者用人口入力シート!BH:CE,J98,FALSE),0)</f>
        <v>147</v>
      </c>
      <c r="J98" s="2">
        <v>9</v>
      </c>
      <c r="K98" s="12"/>
      <c r="N98" s="2" t="s">
        <v>5</v>
      </c>
      <c r="O98" s="17">
        <f>ROUND(VLOOKUP(O$91&amp;"_1",管理者用人口入力シート!CO:DL,Q98,FALSE),0)</f>
        <v>181</v>
      </c>
      <c r="P98" s="17">
        <f>ROUND(VLOOKUP(O$91&amp;"_2",管理者用人口入力シート!CO:DL,Q98,FALSE),0)</f>
        <v>149</v>
      </c>
      <c r="Q98" s="2">
        <v>9</v>
      </c>
      <c r="T98" s="85"/>
    </row>
    <row r="99" spans="1:20" x14ac:dyDescent="0.15">
      <c r="A99" s="2" t="s">
        <v>10</v>
      </c>
      <c r="B99" s="17">
        <f>ROUND(VLOOKUP(B$87&amp;"_1",管理者用人口入力シート!A:X,D99,FALSE),0)</f>
        <v>259</v>
      </c>
      <c r="C99" s="17">
        <f>ROUND(VLOOKUP(B$87&amp;"_2",管理者用人口入力シート!A:X,D99,FALSE),0)</f>
        <v>303</v>
      </c>
      <c r="D99" s="2">
        <v>14</v>
      </c>
      <c r="G99" s="2" t="s">
        <v>6</v>
      </c>
      <c r="H99" s="17">
        <f>ROUND(VLOOKUP(H$91&amp;"_1",管理者用人口入力シート!BH:CE,J99,FALSE),0)</f>
        <v>206</v>
      </c>
      <c r="I99" s="17">
        <f>ROUND(VLOOKUP(H$91&amp;"_2",管理者用人口入力シート!BH:CE,J99,FALSE),0)</f>
        <v>155</v>
      </c>
      <c r="J99" s="2">
        <v>10</v>
      </c>
      <c r="K99" s="12"/>
      <c r="N99" s="2" t="s">
        <v>6</v>
      </c>
      <c r="O99" s="17">
        <f>ROUND(VLOOKUP(O$91&amp;"_1",管理者用人口入力シート!CO:DL,Q99,FALSE),0)</f>
        <v>208</v>
      </c>
      <c r="P99" s="17">
        <f>ROUND(VLOOKUP(O$91&amp;"_2",管理者用人口入力シート!CO:DL,Q99,FALSE),0)</f>
        <v>157</v>
      </c>
      <c r="Q99" s="2">
        <v>10</v>
      </c>
      <c r="T99" s="85"/>
    </row>
    <row r="100" spans="1:20" x14ac:dyDescent="0.15">
      <c r="A100" s="2" t="s">
        <v>11</v>
      </c>
      <c r="B100" s="17">
        <f>ROUND(VLOOKUP(B$87&amp;"_1",管理者用人口入力シート!A:X,D100,FALSE),0)</f>
        <v>275</v>
      </c>
      <c r="C100" s="17">
        <f>ROUND(VLOOKUP(B$87&amp;"_2",管理者用人口入力シート!A:X,D100,FALSE),0)</f>
        <v>282</v>
      </c>
      <c r="D100" s="2">
        <v>15</v>
      </c>
      <c r="G100" s="2" t="s">
        <v>7</v>
      </c>
      <c r="H100" s="17">
        <f>ROUND(VLOOKUP(H$91&amp;"_1",管理者用人口入力シート!BH:CE,J100,FALSE),0)</f>
        <v>213</v>
      </c>
      <c r="I100" s="17">
        <f>ROUND(VLOOKUP(H$91&amp;"_2",管理者用人口入力シート!BH:CE,J100,FALSE),0)</f>
        <v>184</v>
      </c>
      <c r="J100" s="2">
        <v>11</v>
      </c>
      <c r="K100" s="12"/>
      <c r="N100" s="2" t="s">
        <v>7</v>
      </c>
      <c r="O100" s="17">
        <f>ROUND(VLOOKUP(O$91&amp;"_1",管理者用人口入力シート!CO:DL,Q100,FALSE),0)</f>
        <v>213</v>
      </c>
      <c r="P100" s="17">
        <f>ROUND(VLOOKUP(O$91&amp;"_2",管理者用人口入力シート!CO:DL,Q100,FALSE),0)</f>
        <v>184</v>
      </c>
      <c r="Q100" s="2">
        <v>11</v>
      </c>
      <c r="T100" s="85"/>
    </row>
    <row r="101" spans="1:20" x14ac:dyDescent="0.15">
      <c r="A101" s="2" t="s">
        <v>12</v>
      </c>
      <c r="B101" s="17">
        <f>ROUND(VLOOKUP(B$87&amp;"_1",管理者用人口入力シート!A:X,D101,FALSE),0)</f>
        <v>304</v>
      </c>
      <c r="C101" s="17">
        <f>ROUND(VLOOKUP(B$87&amp;"_2",管理者用人口入力シート!A:X,D101,FALSE),0)</f>
        <v>337</v>
      </c>
      <c r="D101" s="2">
        <v>16</v>
      </c>
      <c r="G101" s="2" t="s">
        <v>8</v>
      </c>
      <c r="H101" s="17">
        <f>ROUND(VLOOKUP(H$91&amp;"_1",管理者用人口入力シート!BH:CE,J101,FALSE),0)</f>
        <v>234</v>
      </c>
      <c r="I101" s="17">
        <f>ROUND(VLOOKUP(H$91&amp;"_2",管理者用人口入力シート!BH:CE,J101,FALSE),0)</f>
        <v>226</v>
      </c>
      <c r="J101" s="2">
        <v>12</v>
      </c>
      <c r="K101" s="12"/>
      <c r="N101" s="2" t="s">
        <v>8</v>
      </c>
      <c r="O101" s="17">
        <f>ROUND(VLOOKUP(O$91&amp;"_1",管理者用人口入力シート!CO:DL,Q101,FALSE),0)</f>
        <v>234</v>
      </c>
      <c r="P101" s="17">
        <f>ROUND(VLOOKUP(O$91&amp;"_2",管理者用人口入力シート!CO:DL,Q101,FALSE),0)</f>
        <v>227</v>
      </c>
      <c r="Q101" s="2">
        <v>12</v>
      </c>
      <c r="T101" s="85"/>
    </row>
    <row r="102" spans="1:20" x14ac:dyDescent="0.15">
      <c r="A102" s="2" t="s">
        <v>13</v>
      </c>
      <c r="B102" s="17">
        <f>ROUND(VLOOKUP(B$87&amp;"_1",管理者用人口入力シート!A:X,D102,FALSE),0)</f>
        <v>364</v>
      </c>
      <c r="C102" s="17">
        <f>ROUND(VLOOKUP(B$87&amp;"_2",管理者用人口入力シート!A:X,D102,FALSE),0)</f>
        <v>392</v>
      </c>
      <c r="D102" s="2">
        <v>17</v>
      </c>
      <c r="G102" s="2" t="s">
        <v>9</v>
      </c>
      <c r="H102" s="17">
        <f>ROUND(VLOOKUP(H$91&amp;"_1",管理者用人口入力シート!BH:CE,J102,FALSE),0)</f>
        <v>247</v>
      </c>
      <c r="I102" s="17">
        <f>ROUND(VLOOKUP(H$91&amp;"_2",管理者用人口入力シート!BH:CE,J102,FALSE),0)</f>
        <v>262</v>
      </c>
      <c r="J102" s="2">
        <v>13</v>
      </c>
      <c r="K102" s="12"/>
      <c r="N102" s="2" t="s">
        <v>9</v>
      </c>
      <c r="O102" s="17">
        <f>ROUND(VLOOKUP(O$91&amp;"_1",管理者用人口入力シート!CO:DL,Q102,FALSE),0)</f>
        <v>247</v>
      </c>
      <c r="P102" s="17">
        <f>ROUND(VLOOKUP(O$91&amp;"_2",管理者用人口入力シート!CO:DL,Q102,FALSE),0)</f>
        <v>263</v>
      </c>
      <c r="Q102" s="2">
        <v>13</v>
      </c>
      <c r="T102" s="85"/>
    </row>
    <row r="103" spans="1:20" x14ac:dyDescent="0.15">
      <c r="A103" s="2" t="s">
        <v>14</v>
      </c>
      <c r="B103" s="17">
        <f>ROUND(VLOOKUP(B$87&amp;"_1",管理者用人口入力シート!A:X,D103,FALSE),0)</f>
        <v>385</v>
      </c>
      <c r="C103" s="17">
        <f>ROUND(VLOOKUP(B$87&amp;"_2",管理者用人口入力シート!A:X,D103,FALSE),0)</f>
        <v>434</v>
      </c>
      <c r="D103" s="2">
        <v>18</v>
      </c>
      <c r="G103" s="2" t="s">
        <v>10</v>
      </c>
      <c r="H103" s="17">
        <f>ROUND(VLOOKUP(H$91&amp;"_1",管理者用人口入力シート!BH:CE,J103,FALSE),0)</f>
        <v>315</v>
      </c>
      <c r="I103" s="17">
        <f>ROUND(VLOOKUP(H$91&amp;"_2",管理者用人口入力シート!BH:CE,J103,FALSE),0)</f>
        <v>325</v>
      </c>
      <c r="J103" s="2">
        <v>14</v>
      </c>
      <c r="K103" s="12"/>
      <c r="N103" s="2" t="s">
        <v>10</v>
      </c>
      <c r="O103" s="17">
        <f>ROUND(VLOOKUP(O$91&amp;"_1",管理者用人口入力シート!CO:DL,Q103,FALSE),0)</f>
        <v>315</v>
      </c>
      <c r="P103" s="17">
        <f>ROUND(VLOOKUP(O$91&amp;"_2",管理者用人口入力シート!CO:DL,Q103,FALSE),0)</f>
        <v>325</v>
      </c>
      <c r="Q103" s="2">
        <v>14</v>
      </c>
      <c r="T103" s="85"/>
    </row>
    <row r="104" spans="1:20" x14ac:dyDescent="0.15">
      <c r="A104" s="2" t="s">
        <v>15</v>
      </c>
      <c r="B104" s="17">
        <f>ROUND(VLOOKUP(B$87&amp;"_1",管理者用人口入力シート!A:X,D104,FALSE),0)</f>
        <v>272</v>
      </c>
      <c r="C104" s="17">
        <f>ROUND(VLOOKUP(B$87&amp;"_2",管理者用人口入力シート!A:X,D104,FALSE),0)</f>
        <v>322</v>
      </c>
      <c r="D104" s="2">
        <v>19</v>
      </c>
      <c r="G104" s="2" t="s">
        <v>11</v>
      </c>
      <c r="H104" s="17">
        <f>ROUND(VLOOKUP(H$91&amp;"_1",管理者用人口入力シート!BH:CE,J104,FALSE),0)</f>
        <v>290</v>
      </c>
      <c r="I104" s="17">
        <f>ROUND(VLOOKUP(H$91&amp;"_2",管理者用人口入力シート!BH:CE,J104,FALSE),0)</f>
        <v>308</v>
      </c>
      <c r="J104" s="2">
        <v>15</v>
      </c>
      <c r="K104" s="12"/>
      <c r="N104" s="2" t="s">
        <v>11</v>
      </c>
      <c r="O104" s="17">
        <f>ROUND(VLOOKUP(O$91&amp;"_1",管理者用人口入力シート!CO:DL,Q104,FALSE),0)</f>
        <v>290</v>
      </c>
      <c r="P104" s="17">
        <f>ROUND(VLOOKUP(O$91&amp;"_2",管理者用人口入力シート!CO:DL,Q104,FALSE),0)</f>
        <v>308</v>
      </c>
      <c r="Q104" s="2">
        <v>15</v>
      </c>
      <c r="T104" s="85"/>
    </row>
    <row r="105" spans="1:20" x14ac:dyDescent="0.15">
      <c r="A105" s="2" t="s">
        <v>16</v>
      </c>
      <c r="B105" s="17">
        <f>ROUND(VLOOKUP(B$87&amp;"_1",管理者用人口入力シート!A:X,D105,FALSE),0)</f>
        <v>155</v>
      </c>
      <c r="C105" s="17">
        <f>ROUND(VLOOKUP(B$87&amp;"_2",管理者用人口入力シート!A:X,D105,FALSE),0)</f>
        <v>266</v>
      </c>
      <c r="D105" s="2">
        <v>20</v>
      </c>
      <c r="G105" s="2" t="s">
        <v>12</v>
      </c>
      <c r="H105" s="17">
        <f>ROUND(VLOOKUP(H$91&amp;"_1",管理者用人口入力シート!BH:CE,J105,FALSE),0)</f>
        <v>250</v>
      </c>
      <c r="I105" s="17">
        <f>ROUND(VLOOKUP(H$91&amp;"_2",管理者用人口入力シート!BH:CE,J105,FALSE),0)</f>
        <v>294</v>
      </c>
      <c r="J105" s="2">
        <v>16</v>
      </c>
      <c r="K105" s="12"/>
      <c r="N105" s="2" t="s">
        <v>12</v>
      </c>
      <c r="O105" s="17">
        <f>ROUND(VLOOKUP(O$91&amp;"_1",管理者用人口入力シート!CO:DL,Q105,FALSE),0)</f>
        <v>250</v>
      </c>
      <c r="P105" s="17">
        <f>ROUND(VLOOKUP(O$91&amp;"_2",管理者用人口入力シート!CO:DL,Q105,FALSE),0)</f>
        <v>294</v>
      </c>
      <c r="Q105" s="2">
        <v>16</v>
      </c>
      <c r="T105" s="85"/>
    </row>
    <row r="106" spans="1:20" x14ac:dyDescent="0.15">
      <c r="A106" s="2" t="s">
        <v>17</v>
      </c>
      <c r="B106" s="17">
        <f>ROUND(VLOOKUP(B$87&amp;"_1",管理者用人口入力シート!A:X,D106,FALSE),0)</f>
        <v>131</v>
      </c>
      <c r="C106" s="17">
        <f>ROUND(VLOOKUP(B$87&amp;"_2",管理者用人口入力シート!A:X,D106,FALSE),0)</f>
        <v>212</v>
      </c>
      <c r="D106" s="2">
        <v>21</v>
      </c>
      <c r="G106" s="2" t="s">
        <v>13</v>
      </c>
      <c r="H106" s="17">
        <f>ROUND(VLOOKUP(H$91&amp;"_1",管理者用人口入力シート!BH:CE,J106,FALSE),0)</f>
        <v>263</v>
      </c>
      <c r="I106" s="17">
        <f>ROUND(VLOOKUP(H$91&amp;"_2",管理者用人口入力シート!BH:CE,J106,FALSE),0)</f>
        <v>282</v>
      </c>
      <c r="J106" s="2">
        <v>17</v>
      </c>
      <c r="K106" s="12"/>
      <c r="N106" s="2" t="s">
        <v>13</v>
      </c>
      <c r="O106" s="17">
        <f>ROUND(VLOOKUP(O$91&amp;"_1",管理者用人口入力シート!CO:DL,Q106,FALSE),0)</f>
        <v>263</v>
      </c>
      <c r="P106" s="17">
        <f>ROUND(VLOOKUP(O$91&amp;"_2",管理者用人口入力シート!CO:DL,Q106,FALSE),0)</f>
        <v>282</v>
      </c>
      <c r="Q106" s="2">
        <v>17</v>
      </c>
      <c r="T106" s="85"/>
    </row>
    <row r="107" spans="1:20" x14ac:dyDescent="0.15">
      <c r="A107" s="2" t="s">
        <v>18</v>
      </c>
      <c r="B107" s="17">
        <f>ROUND(VLOOKUP(B$87&amp;"_1",管理者用人口入力シート!A:X,D107,FALSE),0)</f>
        <v>44</v>
      </c>
      <c r="C107" s="17">
        <f>ROUND(VLOOKUP(B$87&amp;"_2",管理者用人口入力シート!A:X,D107,FALSE),0)</f>
        <v>123</v>
      </c>
      <c r="D107" s="2">
        <v>22</v>
      </c>
      <c r="G107" s="2" t="s">
        <v>14</v>
      </c>
      <c r="H107" s="17">
        <f>ROUND(VLOOKUP(H$91&amp;"_1",管理者用人口入力シート!BH:CE,J107,FALSE),0)</f>
        <v>275</v>
      </c>
      <c r="I107" s="17">
        <f>ROUND(VLOOKUP(H$91&amp;"_2",管理者用人口入力シート!BH:CE,J107,FALSE),0)</f>
        <v>318</v>
      </c>
      <c r="J107" s="2">
        <v>18</v>
      </c>
      <c r="K107" s="12"/>
      <c r="N107" s="2" t="s">
        <v>14</v>
      </c>
      <c r="O107" s="17">
        <f>ROUND(VLOOKUP(O$91&amp;"_1",管理者用人口入力シート!CO:DL,Q107,FALSE),0)</f>
        <v>275</v>
      </c>
      <c r="P107" s="17">
        <f>ROUND(VLOOKUP(O$91&amp;"_2",管理者用人口入力シート!CO:DL,Q107,FALSE),0)</f>
        <v>318</v>
      </c>
      <c r="Q107" s="2">
        <v>18</v>
      </c>
      <c r="T107" s="85"/>
    </row>
    <row r="108" spans="1:20" x14ac:dyDescent="0.15">
      <c r="A108" s="2" t="s">
        <v>19</v>
      </c>
      <c r="B108" s="17">
        <f>ROUND(VLOOKUP(B$87&amp;"_1",管理者用人口入力シート!A:X,D108,FALSE),0)</f>
        <v>7</v>
      </c>
      <c r="C108" s="17">
        <f>ROUND(VLOOKUP(B$87&amp;"_2",管理者用人口入力シート!A:X,D108,FALSE),0)</f>
        <v>28</v>
      </c>
      <c r="D108" s="2">
        <v>23</v>
      </c>
      <c r="G108" s="2" t="s">
        <v>15</v>
      </c>
      <c r="H108" s="17">
        <f>ROUND(VLOOKUP(H$91&amp;"_1",管理者用人口入力シート!BH:CE,J108,FALSE),0)</f>
        <v>298</v>
      </c>
      <c r="I108" s="17">
        <f>ROUND(VLOOKUP(H$91&amp;"_2",管理者用人口入力シート!BH:CE,J108,FALSE),0)</f>
        <v>346</v>
      </c>
      <c r="J108" s="2">
        <v>19</v>
      </c>
      <c r="K108" s="12"/>
      <c r="N108" s="2" t="s">
        <v>15</v>
      </c>
      <c r="O108" s="17">
        <f>ROUND(VLOOKUP(O$91&amp;"_1",管理者用人口入力シート!CO:DL,Q108,FALSE),0)</f>
        <v>298</v>
      </c>
      <c r="P108" s="17">
        <f>ROUND(VLOOKUP(O$91&amp;"_2",管理者用人口入力シート!CO:DL,Q108,FALSE),0)</f>
        <v>346</v>
      </c>
      <c r="Q108" s="2">
        <v>19</v>
      </c>
      <c r="T108" s="85"/>
    </row>
    <row r="109" spans="1:20" x14ac:dyDescent="0.15">
      <c r="A109" s="2" t="s">
        <v>20</v>
      </c>
      <c r="B109" s="17">
        <f>ROUND(VLOOKUP(B$87&amp;"_1",管理者用人口入力シート!A:X,D109,FALSE),0)</f>
        <v>0</v>
      </c>
      <c r="C109" s="17">
        <f>ROUND(VLOOKUP(B$87&amp;"_2",管理者用人口入力シート!A:X,D109,FALSE),0)</f>
        <v>5</v>
      </c>
      <c r="D109" s="2">
        <v>24</v>
      </c>
      <c r="G109" s="2" t="s">
        <v>16</v>
      </c>
      <c r="H109" s="17">
        <f>ROUND(VLOOKUP(H$91&amp;"_1",管理者用人口入力シート!BH:CE,J109,FALSE),0)</f>
        <v>249</v>
      </c>
      <c r="I109" s="17">
        <f>ROUND(VLOOKUP(H$91&amp;"_2",管理者用人口入力シート!BH:CE,J109,FALSE),0)</f>
        <v>358</v>
      </c>
      <c r="J109" s="2">
        <v>20</v>
      </c>
      <c r="K109" s="12"/>
      <c r="N109" s="2" t="s">
        <v>16</v>
      </c>
      <c r="O109" s="17">
        <f>ROUND(VLOOKUP(O$91&amp;"_1",管理者用人口入力シート!CO:DL,Q109,FALSE),0)</f>
        <v>249</v>
      </c>
      <c r="P109" s="17">
        <f>ROUND(VLOOKUP(O$91&amp;"_2",管理者用人口入力シート!CO:DL,Q109,FALSE),0)</f>
        <v>358</v>
      </c>
      <c r="Q109" s="2">
        <v>20</v>
      </c>
      <c r="T109" s="85"/>
    </row>
    <row r="110" spans="1:20" x14ac:dyDescent="0.15">
      <c r="G110" s="2" t="s">
        <v>17</v>
      </c>
      <c r="H110" s="17">
        <f>ROUND(VLOOKUP(H$91&amp;"_1",管理者用人口入力シート!BH:CE,J110,FALSE),0)</f>
        <v>129</v>
      </c>
      <c r="I110" s="17">
        <f>ROUND(VLOOKUP(H$91&amp;"_2",管理者用人口入力シート!BH:CE,J110,FALSE),0)</f>
        <v>217</v>
      </c>
      <c r="J110" s="2">
        <v>21</v>
      </c>
      <c r="K110" s="12"/>
      <c r="N110" s="2" t="s">
        <v>17</v>
      </c>
      <c r="O110" s="17">
        <f>ROUND(VLOOKUP(O$91&amp;"_1",管理者用人口入力シート!CO:DL,Q110,FALSE),0)</f>
        <v>129</v>
      </c>
      <c r="P110" s="17">
        <f>ROUND(VLOOKUP(O$91&amp;"_2",管理者用人口入力シート!CO:DL,Q110,FALSE),0)</f>
        <v>217</v>
      </c>
      <c r="Q110" s="2">
        <v>21</v>
      </c>
      <c r="T110" s="85"/>
    </row>
    <row r="111" spans="1:20" x14ac:dyDescent="0.15">
      <c r="G111" s="2" t="s">
        <v>18</v>
      </c>
      <c r="H111" s="17">
        <f>ROUND(VLOOKUP(H$91&amp;"_1",管理者用人口入力シート!BH:CE,J111,FALSE),0)</f>
        <v>52</v>
      </c>
      <c r="I111" s="17">
        <f>ROUND(VLOOKUP(H$91&amp;"_2",管理者用人口入力シート!BH:CE,J111,FALSE),0)</f>
        <v>123</v>
      </c>
      <c r="J111" s="2">
        <v>22</v>
      </c>
      <c r="K111" s="12"/>
      <c r="N111" s="2" t="s">
        <v>18</v>
      </c>
      <c r="O111" s="17">
        <f>ROUND(VLOOKUP(O$91&amp;"_1",管理者用人口入力シート!CO:DL,Q111,FALSE),0)</f>
        <v>52</v>
      </c>
      <c r="P111" s="17">
        <f>ROUND(VLOOKUP(O$91&amp;"_2",管理者用人口入力シート!CO:DL,Q111,FALSE),0)</f>
        <v>123</v>
      </c>
      <c r="Q111" s="2">
        <v>22</v>
      </c>
      <c r="T111" s="85"/>
    </row>
    <row r="112" spans="1:20" x14ac:dyDescent="0.15">
      <c r="G112" s="2" t="s">
        <v>19</v>
      </c>
      <c r="H112" s="17">
        <f>ROUND(VLOOKUP(H$91&amp;"_1",管理者用人口入力シート!BH:CE,J112,FALSE),0)</f>
        <v>14</v>
      </c>
      <c r="I112" s="17">
        <f>ROUND(VLOOKUP(H$91&amp;"_2",管理者用人口入力シート!BH:CE,J112,FALSE),0)</f>
        <v>39</v>
      </c>
      <c r="J112" s="2">
        <v>23</v>
      </c>
      <c r="K112" s="12"/>
      <c r="N112" s="2" t="s">
        <v>19</v>
      </c>
      <c r="O112" s="17">
        <f>ROUND(VLOOKUP(O$91&amp;"_1",管理者用人口入力シート!CO:DL,Q112,FALSE),0)</f>
        <v>14</v>
      </c>
      <c r="P112" s="17">
        <f>ROUND(VLOOKUP(O$91&amp;"_2",管理者用人口入力シート!CO:DL,Q112,FALSE),0)</f>
        <v>39</v>
      </c>
      <c r="Q112" s="2">
        <v>23</v>
      </c>
      <c r="T112" s="85"/>
    </row>
    <row r="113" spans="7:20" x14ac:dyDescent="0.15">
      <c r="G113" s="2" t="s">
        <v>20</v>
      </c>
      <c r="H113" s="17">
        <f>ROUND(VLOOKUP(H$91&amp;"_1",管理者用人口入力シート!BH:CE,J113,FALSE),0)</f>
        <v>0</v>
      </c>
      <c r="I113" s="17">
        <f>ROUND(VLOOKUP(H$91&amp;"_2",管理者用人口入力シート!BH:CE,J113,FALSE),0)</f>
        <v>9</v>
      </c>
      <c r="J113" s="2">
        <v>24</v>
      </c>
      <c r="K113" s="12"/>
      <c r="N113" s="2" t="s">
        <v>20</v>
      </c>
      <c r="O113" s="17">
        <f>ROUND(VLOOKUP(O$91&amp;"_1",管理者用人口入力シート!CO:DL,Q113,FALSE),0)</f>
        <v>0</v>
      </c>
      <c r="P113" s="17">
        <f>ROUND(VLOOKUP(O$91&amp;"_2",管理者用人口入力シート!CO:DL,Q113,FALSE),0)</f>
        <v>9</v>
      </c>
      <c r="Q113" s="2">
        <v>24</v>
      </c>
      <c r="T113" s="85"/>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137</v>
      </c>
      <c r="I117" s="17">
        <f>ROUND(VLOOKUP(H$115&amp;"_2",管理者用人口入力シート!BH:CE,J117,FALSE),0)</f>
        <v>124</v>
      </c>
      <c r="J117" s="2">
        <v>4</v>
      </c>
      <c r="N117" s="2" t="s">
        <v>0</v>
      </c>
      <c r="O117" s="17">
        <f>ROUND(VLOOKUP(O$115&amp;"_1",管理者用人口入力シート!CO:DL,Q117,FALSE),0)</f>
        <v>140</v>
      </c>
      <c r="P117" s="17">
        <f>ROUND(VLOOKUP(O$115&amp;"_2",管理者用人口入力シート!CO:DL,Q117,FALSE),0)</f>
        <v>126</v>
      </c>
      <c r="Q117" s="2">
        <v>4</v>
      </c>
      <c r="T117" s="85"/>
    </row>
    <row r="118" spans="7:20" x14ac:dyDescent="0.15">
      <c r="G118" s="2" t="s">
        <v>1</v>
      </c>
      <c r="H118" s="17">
        <f>ROUND(VLOOKUP(H$115&amp;"_1",管理者用人口入力シート!BH:CE,J118,FALSE),0)</f>
        <v>145</v>
      </c>
      <c r="I118" s="17">
        <f>ROUND(VLOOKUP(H$115&amp;"_2",管理者用人口入力シート!BH:CE,J118,FALSE),0)</f>
        <v>120</v>
      </c>
      <c r="J118" s="2">
        <v>5</v>
      </c>
      <c r="N118" s="2" t="s">
        <v>1</v>
      </c>
      <c r="O118" s="17">
        <f>ROUND(VLOOKUP(O$115&amp;"_1",管理者用人口入力シート!CO:DL,Q118,FALSE),0)</f>
        <v>147</v>
      </c>
      <c r="P118" s="17">
        <f>ROUND(VLOOKUP(O$115&amp;"_2",管理者用人口入力シート!CO:DL,Q118,FALSE),0)</f>
        <v>122</v>
      </c>
      <c r="Q118" s="2">
        <v>5</v>
      </c>
      <c r="T118" s="85"/>
    </row>
    <row r="119" spans="7:20" x14ac:dyDescent="0.15">
      <c r="G119" s="2" t="s">
        <v>2</v>
      </c>
      <c r="H119" s="17">
        <f>ROUND(VLOOKUP(H$115&amp;"_1",管理者用人口入力シート!BH:CE,J119,FALSE),0)</f>
        <v>162</v>
      </c>
      <c r="I119" s="17">
        <f>ROUND(VLOOKUP(H$115&amp;"_2",管理者用人口入力シート!BH:CE,J119,FALSE),0)</f>
        <v>138</v>
      </c>
      <c r="J119" s="2">
        <v>6</v>
      </c>
      <c r="N119" s="2" t="s">
        <v>2</v>
      </c>
      <c r="O119" s="17">
        <f>ROUND(VLOOKUP(O$115&amp;"_1",管理者用人口入力シート!CO:DL,Q119,FALSE),0)</f>
        <v>164</v>
      </c>
      <c r="P119" s="17">
        <f>ROUND(VLOOKUP(O$115&amp;"_2",管理者用人口入力シート!CO:DL,Q119,FALSE),0)</f>
        <v>140</v>
      </c>
      <c r="Q119" s="2">
        <v>6</v>
      </c>
      <c r="T119" s="85"/>
    </row>
    <row r="120" spans="7:20" x14ac:dyDescent="0.15">
      <c r="G120" s="2" t="s">
        <v>3</v>
      </c>
      <c r="H120" s="17">
        <f>ROUND(VLOOKUP(H$115&amp;"_1",管理者用人口入力シート!BH:CE,J120,FALSE),0)</f>
        <v>181</v>
      </c>
      <c r="I120" s="17">
        <f>ROUND(VLOOKUP(H$115&amp;"_2",管理者用人口入力シート!BH:CE,J120,FALSE),0)</f>
        <v>155</v>
      </c>
      <c r="J120" s="2">
        <v>7</v>
      </c>
      <c r="N120" s="2" t="s">
        <v>3</v>
      </c>
      <c r="O120" s="17">
        <f>ROUND(VLOOKUP(O$115&amp;"_1",管理者用人口入力シート!CO:DL,Q120,FALSE),0)</f>
        <v>182</v>
      </c>
      <c r="P120" s="17">
        <f>ROUND(VLOOKUP(O$115&amp;"_2",管理者用人口入力シート!CO:DL,Q120,FALSE),0)</f>
        <v>156</v>
      </c>
      <c r="Q120" s="2">
        <v>7</v>
      </c>
      <c r="T120" s="85"/>
    </row>
    <row r="121" spans="7:20" x14ac:dyDescent="0.15">
      <c r="G121" s="2" t="s">
        <v>4</v>
      </c>
      <c r="H121" s="17">
        <f>ROUND(VLOOKUP(H$115&amp;"_1",管理者用人口入力シート!BH:CE,J121,FALSE),0)</f>
        <v>170</v>
      </c>
      <c r="I121" s="17">
        <f>ROUND(VLOOKUP(H$115&amp;"_2",管理者用人口入力シート!BH:CE,J121,FALSE),0)</f>
        <v>150</v>
      </c>
      <c r="J121" s="2">
        <v>8</v>
      </c>
      <c r="N121" s="2" t="s">
        <v>4</v>
      </c>
      <c r="O121" s="17">
        <f>ROUND(VLOOKUP(O$115&amp;"_1",管理者用人口入力シート!CO:DL,Q121,FALSE),0)</f>
        <v>171</v>
      </c>
      <c r="P121" s="17">
        <f>ROUND(VLOOKUP(O$115&amp;"_2",管理者用人口入力シート!CO:DL,Q121,FALSE),0)</f>
        <v>151</v>
      </c>
      <c r="Q121" s="2">
        <v>8</v>
      </c>
      <c r="T121" s="85"/>
    </row>
    <row r="122" spans="7:20" x14ac:dyDescent="0.15">
      <c r="G122" s="2" t="s">
        <v>5</v>
      </c>
      <c r="H122" s="17">
        <f>ROUND(VLOOKUP(H$115&amp;"_1",管理者用人口入力シート!BH:CE,J122,FALSE),0)</f>
        <v>182</v>
      </c>
      <c r="I122" s="17">
        <f>ROUND(VLOOKUP(H$115&amp;"_2",管理者用人口入力シート!BH:CE,J122,FALSE),0)</f>
        <v>154</v>
      </c>
      <c r="J122" s="2">
        <v>9</v>
      </c>
      <c r="N122" s="2" t="s">
        <v>5</v>
      </c>
      <c r="O122" s="17">
        <f>ROUND(VLOOKUP(O$115&amp;"_1",管理者用人口入力シート!CO:DL,Q122,FALSE),0)</f>
        <v>184</v>
      </c>
      <c r="P122" s="17">
        <f>ROUND(VLOOKUP(O$115&amp;"_2",管理者用人口入力シート!CO:DL,Q122,FALSE),0)</f>
        <v>156</v>
      </c>
      <c r="Q122" s="2">
        <v>9</v>
      </c>
      <c r="T122" s="85"/>
    </row>
    <row r="123" spans="7:20" x14ac:dyDescent="0.15">
      <c r="G123" s="2" t="s">
        <v>6</v>
      </c>
      <c r="H123" s="17">
        <f>ROUND(VLOOKUP(H$115&amp;"_1",管理者用人口入力シート!BH:CE,J123,FALSE),0)</f>
        <v>175</v>
      </c>
      <c r="I123" s="17">
        <f>ROUND(VLOOKUP(H$115&amp;"_2",管理者用人口入力シート!BH:CE,J123,FALSE),0)</f>
        <v>138</v>
      </c>
      <c r="J123" s="2">
        <v>10</v>
      </c>
      <c r="N123" s="2" t="s">
        <v>6</v>
      </c>
      <c r="O123" s="17">
        <f>ROUND(VLOOKUP(O$115&amp;"_1",管理者用人口入力シート!CO:DL,Q123,FALSE),0)</f>
        <v>177</v>
      </c>
      <c r="P123" s="17">
        <f>ROUND(VLOOKUP(O$115&amp;"_2",管理者用人口入力シート!CO:DL,Q123,FALSE),0)</f>
        <v>140</v>
      </c>
      <c r="Q123" s="2">
        <v>10</v>
      </c>
      <c r="T123" s="85"/>
    </row>
    <row r="124" spans="7:20" x14ac:dyDescent="0.15">
      <c r="G124" s="2" t="s">
        <v>7</v>
      </c>
      <c r="H124" s="17">
        <f>ROUND(VLOOKUP(H$115&amp;"_1",管理者用人口入力シート!BH:CE,J124,FALSE),0)</f>
        <v>210</v>
      </c>
      <c r="I124" s="17">
        <f>ROUND(VLOOKUP(H$115&amp;"_2",管理者用人口入力シート!BH:CE,J124,FALSE),0)</f>
        <v>162</v>
      </c>
      <c r="J124" s="2">
        <v>11</v>
      </c>
      <c r="N124" s="2" t="s">
        <v>7</v>
      </c>
      <c r="O124" s="17">
        <f>ROUND(VLOOKUP(O$115&amp;"_1",管理者用人口入力シート!CO:DL,Q124,FALSE),0)</f>
        <v>212</v>
      </c>
      <c r="P124" s="17">
        <f>ROUND(VLOOKUP(O$115&amp;"_2",管理者用人口入力シート!CO:DL,Q124,FALSE),0)</f>
        <v>164</v>
      </c>
      <c r="Q124" s="2">
        <v>11</v>
      </c>
      <c r="T124" s="85"/>
    </row>
    <row r="125" spans="7:20" x14ac:dyDescent="0.15">
      <c r="G125" s="2" t="s">
        <v>8</v>
      </c>
      <c r="H125" s="17">
        <f>ROUND(VLOOKUP(H$115&amp;"_1",管理者用人口入力シート!BH:CE,J125,FALSE),0)</f>
        <v>205</v>
      </c>
      <c r="I125" s="17">
        <f>ROUND(VLOOKUP(H$115&amp;"_2",管理者用人口入力シート!BH:CE,J125,FALSE),0)</f>
        <v>170</v>
      </c>
      <c r="J125" s="2">
        <v>12</v>
      </c>
      <c r="N125" s="2" t="s">
        <v>8</v>
      </c>
      <c r="O125" s="17">
        <f>ROUND(VLOOKUP(O$115&amp;"_1",管理者用人口入力シート!CO:DL,Q125,FALSE),0)</f>
        <v>205</v>
      </c>
      <c r="P125" s="17">
        <f>ROUND(VLOOKUP(O$115&amp;"_2",管理者用人口入力シート!CO:DL,Q125,FALSE),0)</f>
        <v>171</v>
      </c>
      <c r="Q125" s="2">
        <v>12</v>
      </c>
      <c r="T125" s="85"/>
    </row>
    <row r="126" spans="7:20" x14ac:dyDescent="0.15">
      <c r="G126" s="2" t="s">
        <v>9</v>
      </c>
      <c r="H126" s="17">
        <f>ROUND(VLOOKUP(H$115&amp;"_1",管理者用人口入力シート!BH:CE,J126,FALSE),0)</f>
        <v>224</v>
      </c>
      <c r="I126" s="17">
        <f>ROUND(VLOOKUP(H$115&amp;"_2",管理者用人口入力シート!BH:CE,J126,FALSE),0)</f>
        <v>231</v>
      </c>
      <c r="J126" s="2">
        <v>13</v>
      </c>
      <c r="N126" s="2" t="s">
        <v>9</v>
      </c>
      <c r="O126" s="17">
        <f>ROUND(VLOOKUP(O$115&amp;"_1",管理者用人口入力シート!CO:DL,Q126,FALSE),0)</f>
        <v>224</v>
      </c>
      <c r="P126" s="17">
        <f>ROUND(VLOOKUP(O$115&amp;"_2",管理者用人口入力シート!CO:DL,Q126,FALSE),0)</f>
        <v>232</v>
      </c>
      <c r="Q126" s="2">
        <v>13</v>
      </c>
      <c r="T126" s="85"/>
    </row>
    <row r="127" spans="7:20" x14ac:dyDescent="0.15">
      <c r="G127" s="2" t="s">
        <v>10</v>
      </c>
      <c r="H127" s="17">
        <f>ROUND(VLOOKUP(H$115&amp;"_1",管理者用人口入力シート!BH:CE,J127,FALSE),0)</f>
        <v>243</v>
      </c>
      <c r="I127" s="17">
        <f>ROUND(VLOOKUP(H$115&amp;"_2",管理者用人口入力シート!BH:CE,J127,FALSE),0)</f>
        <v>262</v>
      </c>
      <c r="J127" s="2">
        <v>14</v>
      </c>
      <c r="N127" s="2" t="s">
        <v>10</v>
      </c>
      <c r="O127" s="17">
        <f>ROUND(VLOOKUP(O$115&amp;"_1",管理者用人口入力シート!CO:DL,Q127,FALSE),0)</f>
        <v>243</v>
      </c>
      <c r="P127" s="17">
        <f>ROUND(VLOOKUP(O$115&amp;"_2",管理者用人口入力シート!CO:DL,Q127,FALSE),0)</f>
        <v>263</v>
      </c>
      <c r="Q127" s="2">
        <v>14</v>
      </c>
      <c r="T127" s="85"/>
    </row>
    <row r="128" spans="7:20" x14ac:dyDescent="0.15">
      <c r="G128" s="2" t="s">
        <v>11</v>
      </c>
      <c r="H128" s="17">
        <f>ROUND(VLOOKUP(H$115&amp;"_1",管理者用人口入力シート!BH:CE,J128,FALSE),0)</f>
        <v>308</v>
      </c>
      <c r="I128" s="17">
        <f>ROUND(VLOOKUP(H$115&amp;"_2",管理者用人口入力シート!BH:CE,J128,FALSE),0)</f>
        <v>314</v>
      </c>
      <c r="J128" s="2">
        <v>15</v>
      </c>
      <c r="N128" s="2" t="s">
        <v>11</v>
      </c>
      <c r="O128" s="17">
        <f>ROUND(VLOOKUP(O$115&amp;"_1",管理者用人口入力シート!CO:DL,Q128,FALSE),0)</f>
        <v>308</v>
      </c>
      <c r="P128" s="17">
        <f>ROUND(VLOOKUP(O$115&amp;"_2",管理者用人口入力シート!CO:DL,Q128,FALSE),0)</f>
        <v>314</v>
      </c>
      <c r="Q128" s="2">
        <v>15</v>
      </c>
      <c r="T128" s="85"/>
    </row>
    <row r="129" spans="7:20" x14ac:dyDescent="0.15">
      <c r="G129" s="2" t="s">
        <v>12</v>
      </c>
      <c r="H129" s="17">
        <f>ROUND(VLOOKUP(H$115&amp;"_1",管理者用人口入力シート!BH:CE,J129,FALSE),0)</f>
        <v>287</v>
      </c>
      <c r="I129" s="17">
        <f>ROUND(VLOOKUP(H$115&amp;"_2",管理者用人口入力シート!BH:CE,J129,FALSE),0)</f>
        <v>309</v>
      </c>
      <c r="J129" s="2">
        <v>16</v>
      </c>
      <c r="N129" s="2" t="s">
        <v>12</v>
      </c>
      <c r="O129" s="17">
        <f>ROUND(VLOOKUP(O$115&amp;"_1",管理者用人口入力シート!CO:DL,Q129,FALSE),0)</f>
        <v>287</v>
      </c>
      <c r="P129" s="17">
        <f>ROUND(VLOOKUP(O$115&amp;"_2",管理者用人口入力シート!CO:DL,Q129,FALSE),0)</f>
        <v>309</v>
      </c>
      <c r="Q129" s="2">
        <v>16</v>
      </c>
      <c r="T129" s="85"/>
    </row>
    <row r="130" spans="7:20" x14ac:dyDescent="0.15">
      <c r="G130" s="2" t="s">
        <v>13</v>
      </c>
      <c r="H130" s="17">
        <f>ROUND(VLOOKUP(H$115&amp;"_1",管理者用人口入力シート!BH:CE,J130,FALSE),0)</f>
        <v>242</v>
      </c>
      <c r="I130" s="17">
        <f>ROUND(VLOOKUP(H$115&amp;"_2",管理者用人口入力シート!BH:CE,J130,FALSE),0)</f>
        <v>294</v>
      </c>
      <c r="J130" s="2">
        <v>17</v>
      </c>
      <c r="N130" s="2" t="s">
        <v>13</v>
      </c>
      <c r="O130" s="17">
        <f>ROUND(VLOOKUP(O$115&amp;"_1",管理者用人口入力シート!CO:DL,Q130,FALSE),0)</f>
        <v>242</v>
      </c>
      <c r="P130" s="17">
        <f>ROUND(VLOOKUP(O$115&amp;"_2",管理者用人口入力シート!CO:DL,Q130,FALSE),0)</f>
        <v>294</v>
      </c>
      <c r="Q130" s="2">
        <v>17</v>
      </c>
      <c r="T130" s="85"/>
    </row>
    <row r="131" spans="7:20" x14ac:dyDescent="0.15">
      <c r="G131" s="2" t="s">
        <v>14</v>
      </c>
      <c r="H131" s="17">
        <f>ROUND(VLOOKUP(H$115&amp;"_1",管理者用人口入力シート!BH:CE,J131,FALSE),0)</f>
        <v>246</v>
      </c>
      <c r="I131" s="17">
        <f>ROUND(VLOOKUP(H$115&amp;"_2",管理者用人口入力シート!BH:CE,J131,FALSE),0)</f>
        <v>267</v>
      </c>
      <c r="J131" s="2">
        <v>18</v>
      </c>
      <c r="N131" s="2" t="s">
        <v>14</v>
      </c>
      <c r="O131" s="17">
        <f>ROUND(VLOOKUP(O$115&amp;"_1",管理者用人口入力シート!CO:DL,Q131,FALSE),0)</f>
        <v>246</v>
      </c>
      <c r="P131" s="17">
        <f>ROUND(VLOOKUP(O$115&amp;"_2",管理者用人口入力シート!CO:DL,Q131,FALSE),0)</f>
        <v>267</v>
      </c>
      <c r="Q131" s="2">
        <v>18</v>
      </c>
      <c r="T131" s="85"/>
    </row>
    <row r="132" spans="7:20" x14ac:dyDescent="0.15">
      <c r="G132" s="2" t="s">
        <v>15</v>
      </c>
      <c r="H132" s="17">
        <f>ROUND(VLOOKUP(H$115&amp;"_1",管理者用人口入力シート!BH:CE,J132,FALSE),0)</f>
        <v>241</v>
      </c>
      <c r="I132" s="17">
        <f>ROUND(VLOOKUP(H$115&amp;"_2",管理者用人口入力シート!BH:CE,J132,FALSE),0)</f>
        <v>297</v>
      </c>
      <c r="J132" s="2">
        <v>19</v>
      </c>
      <c r="N132" s="2" t="s">
        <v>15</v>
      </c>
      <c r="O132" s="17">
        <f>ROUND(VLOOKUP(O$115&amp;"_1",管理者用人口入力シート!CO:DL,Q132,FALSE),0)</f>
        <v>241</v>
      </c>
      <c r="P132" s="17">
        <f>ROUND(VLOOKUP(O$115&amp;"_2",管理者用人口入力シート!CO:DL,Q132,FALSE),0)</f>
        <v>297</v>
      </c>
      <c r="Q132" s="2">
        <v>19</v>
      </c>
      <c r="T132" s="85"/>
    </row>
    <row r="133" spans="7:20" x14ac:dyDescent="0.15">
      <c r="G133" s="2" t="s">
        <v>16</v>
      </c>
      <c r="H133" s="17">
        <f>ROUND(VLOOKUP(H$115&amp;"_1",管理者用人口入力シート!BH:CE,J133,FALSE),0)</f>
        <v>221</v>
      </c>
      <c r="I133" s="17">
        <f>ROUND(VLOOKUP(H$115&amp;"_2",管理者用人口入力シート!BH:CE,J133,FALSE),0)</f>
        <v>305</v>
      </c>
      <c r="J133" s="2">
        <v>20</v>
      </c>
      <c r="N133" s="2" t="s">
        <v>16</v>
      </c>
      <c r="O133" s="17">
        <f>ROUND(VLOOKUP(O$115&amp;"_1",管理者用人口入力シート!CO:DL,Q133,FALSE),0)</f>
        <v>221</v>
      </c>
      <c r="P133" s="17">
        <f>ROUND(VLOOKUP(O$115&amp;"_2",管理者用人口入力シート!CO:DL,Q133,FALSE),0)</f>
        <v>305</v>
      </c>
      <c r="Q133" s="2">
        <v>20</v>
      </c>
      <c r="T133" s="85"/>
    </row>
    <row r="134" spans="7:20" x14ac:dyDescent="0.15">
      <c r="G134" s="2" t="s">
        <v>17</v>
      </c>
      <c r="H134" s="17">
        <f>ROUND(VLOOKUP(H$115&amp;"_1",管理者用人口入力シート!BH:CE,J134,FALSE),0)</f>
        <v>159</v>
      </c>
      <c r="I134" s="17">
        <f>ROUND(VLOOKUP(H$115&amp;"_2",管理者用人口入力シート!BH:CE,J134,FALSE),0)</f>
        <v>273</v>
      </c>
      <c r="J134" s="2">
        <v>21</v>
      </c>
      <c r="N134" s="2" t="s">
        <v>17</v>
      </c>
      <c r="O134" s="17">
        <f>ROUND(VLOOKUP(O$115&amp;"_1",管理者用人口入力シート!CO:DL,Q134,FALSE),0)</f>
        <v>159</v>
      </c>
      <c r="P134" s="17">
        <f>ROUND(VLOOKUP(O$115&amp;"_2",管理者用人口入力シート!CO:DL,Q134,FALSE),0)</f>
        <v>273</v>
      </c>
      <c r="Q134" s="2">
        <v>21</v>
      </c>
      <c r="T134" s="85"/>
    </row>
    <row r="135" spans="7:20" x14ac:dyDescent="0.15">
      <c r="G135" s="2" t="s">
        <v>18</v>
      </c>
      <c r="H135" s="17">
        <f>ROUND(VLOOKUP(H$115&amp;"_1",管理者用人口入力シート!BH:CE,J135,FALSE),0)</f>
        <v>68</v>
      </c>
      <c r="I135" s="17">
        <f>ROUND(VLOOKUP(H$115&amp;"_2",管理者用人口入力シート!BH:CE,J135,FALSE),0)</f>
        <v>131</v>
      </c>
      <c r="J135" s="2">
        <v>22</v>
      </c>
      <c r="N135" s="2" t="s">
        <v>18</v>
      </c>
      <c r="O135" s="17">
        <f>ROUND(VLOOKUP(O$115&amp;"_1",管理者用人口入力シート!CO:DL,Q135,FALSE),0)</f>
        <v>68</v>
      </c>
      <c r="P135" s="17">
        <f>ROUND(VLOOKUP(O$115&amp;"_2",管理者用人口入力シート!CO:DL,Q135,FALSE),0)</f>
        <v>131</v>
      </c>
      <c r="Q135" s="2">
        <v>22</v>
      </c>
      <c r="T135" s="85"/>
    </row>
    <row r="136" spans="7:20" x14ac:dyDescent="0.15">
      <c r="G136" s="2" t="s">
        <v>19</v>
      </c>
      <c r="H136" s="17">
        <f>ROUND(VLOOKUP(H$115&amp;"_1",管理者用人口入力シート!BH:CE,J136,FALSE),0)</f>
        <v>10</v>
      </c>
      <c r="I136" s="17">
        <f>ROUND(VLOOKUP(H$115&amp;"_2",管理者用人口入力シート!BH:CE,J136,FALSE),0)</f>
        <v>37</v>
      </c>
      <c r="J136" s="2">
        <v>23</v>
      </c>
      <c r="N136" s="2" t="s">
        <v>19</v>
      </c>
      <c r="O136" s="17">
        <f>ROUND(VLOOKUP(O$115&amp;"_1",管理者用人口入力シート!CO:DL,Q136,FALSE),0)</f>
        <v>10</v>
      </c>
      <c r="P136" s="17">
        <f>ROUND(VLOOKUP(O$115&amp;"_2",管理者用人口入力シート!CO:DL,Q136,FALSE),0)</f>
        <v>37</v>
      </c>
      <c r="Q136" s="2">
        <v>23</v>
      </c>
      <c r="T136" s="85"/>
    </row>
    <row r="137" spans="7:20" x14ac:dyDescent="0.15">
      <c r="G137" s="2" t="s">
        <v>20</v>
      </c>
      <c r="H137" s="17">
        <f>ROUND(VLOOKUP(H$115&amp;"_1",管理者用人口入力シート!BH:CE,J137,FALSE),0)</f>
        <v>0</v>
      </c>
      <c r="I137" s="17">
        <f>ROUND(VLOOKUP(H$115&amp;"_2",管理者用人口入力シート!BH:CE,J137,FALSE),0)</f>
        <v>9</v>
      </c>
      <c r="J137" s="2">
        <v>24</v>
      </c>
      <c r="N137" s="2" t="s">
        <v>20</v>
      </c>
      <c r="O137" s="17">
        <f>ROUND(VLOOKUP(O$115&amp;"_1",管理者用人口入力シート!CO:DL,Q137,FALSE),0)</f>
        <v>0</v>
      </c>
      <c r="P137" s="17">
        <f>ROUND(VLOOKUP(O$115&amp;"_2",管理者用人口入力シート!CO:DL,Q137,FALSE),0)</f>
        <v>9</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125</v>
      </c>
      <c r="I141" s="17">
        <f>ROUND(VLOOKUP(H$139&amp;"_2",管理者用人口入力シート!BH:CE,J141,FALSE),0)</f>
        <v>113</v>
      </c>
      <c r="J141" s="2">
        <v>4</v>
      </c>
      <c r="N141" s="2" t="s">
        <v>0</v>
      </c>
      <c r="O141" s="17">
        <f>ROUND(VLOOKUP(O$139&amp;"_1",管理者用人口入力シート!CO:DL,Q141,FALSE),0)</f>
        <v>128</v>
      </c>
      <c r="P141" s="17">
        <f>ROUND(VLOOKUP(O$139&amp;"_2",管理者用人口入力シート!CO:DL,Q141,FALSE),0)</f>
        <v>115</v>
      </c>
      <c r="Q141" s="2">
        <v>4</v>
      </c>
    </row>
    <row r="142" spans="7:20" x14ac:dyDescent="0.15">
      <c r="G142" s="2" t="s">
        <v>1</v>
      </c>
      <c r="H142" s="17">
        <f>ROUND(VLOOKUP(H$139&amp;"_1",管理者用人口入力シート!BH:CE,J142,FALSE),0)</f>
        <v>137</v>
      </c>
      <c r="I142" s="17">
        <f>ROUND(VLOOKUP(H$139&amp;"_2",管理者用人口入力シート!BH:CE,J142,FALSE),0)</f>
        <v>113</v>
      </c>
      <c r="J142" s="2">
        <v>5</v>
      </c>
      <c r="N142" s="2" t="s">
        <v>1</v>
      </c>
      <c r="O142" s="17">
        <f>ROUND(VLOOKUP(O$139&amp;"_1",管理者用人口入力シート!CO:DL,Q142,FALSE),0)</f>
        <v>139</v>
      </c>
      <c r="P142" s="17">
        <f>ROUND(VLOOKUP(O$139&amp;"_2",管理者用人口入力シート!CO:DL,Q142,FALSE),0)</f>
        <v>115</v>
      </c>
      <c r="Q142" s="2">
        <v>5</v>
      </c>
    </row>
    <row r="143" spans="7:20" x14ac:dyDescent="0.15">
      <c r="G143" s="2" t="s">
        <v>2</v>
      </c>
      <c r="H143" s="17">
        <f>ROUND(VLOOKUP(H$139&amp;"_1",管理者用人口入力シート!BH:CE,J143,FALSE),0)</f>
        <v>142</v>
      </c>
      <c r="I143" s="17">
        <f>ROUND(VLOOKUP(H$139&amp;"_2",管理者用人口入力シート!BH:CE,J143,FALSE),0)</f>
        <v>121</v>
      </c>
      <c r="J143" s="2">
        <v>6</v>
      </c>
      <c r="N143" s="2" t="s">
        <v>2</v>
      </c>
      <c r="O143" s="17">
        <f>ROUND(VLOOKUP(O$139&amp;"_1",管理者用人口入力シート!CO:DL,Q143,FALSE),0)</f>
        <v>145</v>
      </c>
      <c r="P143" s="17">
        <f>ROUND(VLOOKUP(O$139&amp;"_2",管理者用人口入力シート!CO:DL,Q143,FALSE),0)</f>
        <v>123</v>
      </c>
      <c r="Q143" s="2">
        <v>6</v>
      </c>
    </row>
    <row r="144" spans="7:20" x14ac:dyDescent="0.15">
      <c r="G144" s="2" t="s">
        <v>3</v>
      </c>
      <c r="H144" s="17">
        <f>ROUND(VLOOKUP(H$139&amp;"_1",管理者用人口入力シート!BH:CE,J144,FALSE),0)</f>
        <v>154</v>
      </c>
      <c r="I144" s="17">
        <f>ROUND(VLOOKUP(H$139&amp;"_2",管理者用人口入力シート!BH:CE,J144,FALSE),0)</f>
        <v>131</v>
      </c>
      <c r="J144" s="2">
        <v>7</v>
      </c>
      <c r="N144" s="2" t="s">
        <v>3</v>
      </c>
      <c r="O144" s="17">
        <f>ROUND(VLOOKUP(O$139&amp;"_1",管理者用人口入力シート!CO:DL,Q144,FALSE),0)</f>
        <v>156</v>
      </c>
      <c r="P144" s="17">
        <f>ROUND(VLOOKUP(O$139&amp;"_2",管理者用人口入力シート!CO:DL,Q144,FALSE),0)</f>
        <v>133</v>
      </c>
      <c r="Q144" s="2">
        <v>7</v>
      </c>
    </row>
    <row r="145" spans="7:17" x14ac:dyDescent="0.15">
      <c r="G145" s="2" t="s">
        <v>4</v>
      </c>
      <c r="H145" s="17">
        <f>ROUND(VLOOKUP(H$139&amp;"_1",管理者用人口入力シート!BH:CE,J145,FALSE),0)</f>
        <v>147</v>
      </c>
      <c r="I145" s="17">
        <f>ROUND(VLOOKUP(H$139&amp;"_2",管理者用人口入力シート!BH:CE,J145,FALSE),0)</f>
        <v>115</v>
      </c>
      <c r="J145" s="2">
        <v>8</v>
      </c>
      <c r="N145" s="2" t="s">
        <v>4</v>
      </c>
      <c r="O145" s="17">
        <f>ROUND(VLOOKUP(O$139&amp;"_1",管理者用人口入力シート!CO:DL,Q145,FALSE),0)</f>
        <v>148</v>
      </c>
      <c r="P145" s="17">
        <f>ROUND(VLOOKUP(O$139&amp;"_2",管理者用人口入力シート!CO:DL,Q145,FALSE),0)</f>
        <v>116</v>
      </c>
      <c r="Q145" s="2">
        <v>8</v>
      </c>
    </row>
    <row r="146" spans="7:17" x14ac:dyDescent="0.15">
      <c r="G146" s="2" t="s">
        <v>5</v>
      </c>
      <c r="H146" s="17">
        <f>ROUND(VLOOKUP(H$139&amp;"_1",管理者用人口入力シート!BH:CE,J146,FALSE),0)</f>
        <v>178</v>
      </c>
      <c r="I146" s="17">
        <f>ROUND(VLOOKUP(H$139&amp;"_2",管理者用人口入力シート!BH:CE,J146,FALSE),0)</f>
        <v>148</v>
      </c>
      <c r="J146" s="2">
        <v>9</v>
      </c>
      <c r="N146" s="2" t="s">
        <v>5</v>
      </c>
      <c r="O146" s="17">
        <f>ROUND(VLOOKUP(O$139&amp;"_1",管理者用人口入力シート!CO:DL,Q146,FALSE),0)</f>
        <v>180</v>
      </c>
      <c r="P146" s="17">
        <f>ROUND(VLOOKUP(O$139&amp;"_2",管理者用人口入力シート!CO:DL,Q146,FALSE),0)</f>
        <v>151</v>
      </c>
      <c r="Q146" s="2">
        <v>9</v>
      </c>
    </row>
    <row r="147" spans="7:17" x14ac:dyDescent="0.15">
      <c r="G147" s="2" t="s">
        <v>6</v>
      </c>
      <c r="H147" s="17">
        <f>ROUND(VLOOKUP(H$139&amp;"_1",管理者用人口入力シート!BH:CE,J147,FALSE),0)</f>
        <v>178</v>
      </c>
      <c r="I147" s="17">
        <f>ROUND(VLOOKUP(H$139&amp;"_2",管理者用人口入力シート!BH:CE,J147,FALSE),0)</f>
        <v>144</v>
      </c>
      <c r="J147" s="2">
        <v>10</v>
      </c>
      <c r="N147" s="2" t="s">
        <v>6</v>
      </c>
      <c r="O147" s="17">
        <f>ROUND(VLOOKUP(O$139&amp;"_1",管理者用人口入力シート!CO:DL,Q147,FALSE),0)</f>
        <v>180</v>
      </c>
      <c r="P147" s="17">
        <f>ROUND(VLOOKUP(O$139&amp;"_2",管理者用人口入力シート!CO:DL,Q147,FALSE),0)</f>
        <v>146</v>
      </c>
      <c r="Q147" s="2">
        <v>10</v>
      </c>
    </row>
    <row r="148" spans="7:17" x14ac:dyDescent="0.15">
      <c r="G148" s="2" t="s">
        <v>7</v>
      </c>
      <c r="H148" s="17">
        <f>ROUND(VLOOKUP(H$139&amp;"_1",管理者用人口入力シート!BH:CE,J148,FALSE),0)</f>
        <v>179</v>
      </c>
      <c r="I148" s="17">
        <f>ROUND(VLOOKUP(H$139&amp;"_2",管理者用人口入力シート!BH:CE,J148,FALSE),0)</f>
        <v>145</v>
      </c>
      <c r="J148" s="2">
        <v>11</v>
      </c>
      <c r="N148" s="2" t="s">
        <v>7</v>
      </c>
      <c r="O148" s="17">
        <f>ROUND(VLOOKUP(O$139&amp;"_1",管理者用人口入力シート!CO:DL,Q148,FALSE),0)</f>
        <v>181</v>
      </c>
      <c r="P148" s="17">
        <f>ROUND(VLOOKUP(O$139&amp;"_2",管理者用人口入力シート!CO:DL,Q148,FALSE),0)</f>
        <v>147</v>
      </c>
      <c r="Q148" s="2">
        <v>11</v>
      </c>
    </row>
    <row r="149" spans="7:17" x14ac:dyDescent="0.15">
      <c r="G149" s="2" t="s">
        <v>8</v>
      </c>
      <c r="H149" s="17">
        <f>ROUND(VLOOKUP(H$139&amp;"_1",管理者用人口入力シート!BH:CE,J149,FALSE),0)</f>
        <v>203</v>
      </c>
      <c r="I149" s="17">
        <f>ROUND(VLOOKUP(H$139&amp;"_2",管理者用人口入力シート!BH:CE,J149,FALSE),0)</f>
        <v>150</v>
      </c>
      <c r="J149" s="2">
        <v>12</v>
      </c>
      <c r="N149" s="2" t="s">
        <v>8</v>
      </c>
      <c r="O149" s="17">
        <f>ROUND(VLOOKUP(O$139&amp;"_1",管理者用人口入力シート!CO:DL,Q149,FALSE),0)</f>
        <v>205</v>
      </c>
      <c r="P149" s="17">
        <f>ROUND(VLOOKUP(O$139&amp;"_2",管理者用人口入力シート!CO:DL,Q149,FALSE),0)</f>
        <v>153</v>
      </c>
      <c r="Q149" s="2">
        <v>12</v>
      </c>
    </row>
    <row r="150" spans="7:17" x14ac:dyDescent="0.15">
      <c r="G150" s="2" t="s">
        <v>9</v>
      </c>
      <c r="H150" s="17">
        <f>ROUND(VLOOKUP(H$139&amp;"_1",管理者用人口入力シート!BH:CE,J150,FALSE),0)</f>
        <v>197</v>
      </c>
      <c r="I150" s="17">
        <f>ROUND(VLOOKUP(H$139&amp;"_2",管理者用人口入力シート!BH:CE,J150,FALSE),0)</f>
        <v>174</v>
      </c>
      <c r="J150" s="2">
        <v>13</v>
      </c>
      <c r="N150" s="2" t="s">
        <v>9</v>
      </c>
      <c r="O150" s="17">
        <f>ROUND(VLOOKUP(O$139&amp;"_1",管理者用人口入力シート!CO:DL,Q150,FALSE),0)</f>
        <v>197</v>
      </c>
      <c r="P150" s="17">
        <f>ROUND(VLOOKUP(O$139&amp;"_2",管理者用人口入力シート!CO:DL,Q150,FALSE),0)</f>
        <v>175</v>
      </c>
      <c r="Q150" s="2">
        <v>13</v>
      </c>
    </row>
    <row r="151" spans="7:17" x14ac:dyDescent="0.15">
      <c r="G151" s="2" t="s">
        <v>10</v>
      </c>
      <c r="H151" s="17">
        <f>ROUND(VLOOKUP(H$139&amp;"_1",管理者用人口入力シート!BH:CE,J151,FALSE),0)</f>
        <v>220</v>
      </c>
      <c r="I151" s="17">
        <f>ROUND(VLOOKUP(H$139&amp;"_2",管理者用人口入力シート!BH:CE,J151,FALSE),0)</f>
        <v>231</v>
      </c>
      <c r="J151" s="2">
        <v>14</v>
      </c>
      <c r="N151" s="2" t="s">
        <v>10</v>
      </c>
      <c r="O151" s="17">
        <f>ROUND(VLOOKUP(O$139&amp;"_1",管理者用人口入力シート!CO:DL,Q151,FALSE),0)</f>
        <v>220</v>
      </c>
      <c r="P151" s="17">
        <f>ROUND(VLOOKUP(O$139&amp;"_2",管理者用人口入力シート!CO:DL,Q151,FALSE),0)</f>
        <v>232</v>
      </c>
      <c r="Q151" s="2">
        <v>14</v>
      </c>
    </row>
    <row r="152" spans="7:17" x14ac:dyDescent="0.15">
      <c r="G152" s="2" t="s">
        <v>11</v>
      </c>
      <c r="H152" s="17">
        <f>ROUND(VLOOKUP(H$139&amp;"_1",管理者用人口入力シート!BH:CE,J152,FALSE),0)</f>
        <v>237</v>
      </c>
      <c r="I152" s="17">
        <f>ROUND(VLOOKUP(H$139&amp;"_2",管理者用人口入力シート!BH:CE,J152,FALSE),0)</f>
        <v>253</v>
      </c>
      <c r="J152" s="2">
        <v>15</v>
      </c>
      <c r="N152" s="2" t="s">
        <v>11</v>
      </c>
      <c r="O152" s="17">
        <f>ROUND(VLOOKUP(O$139&amp;"_1",管理者用人口入力シート!CO:DL,Q152,FALSE),0)</f>
        <v>237</v>
      </c>
      <c r="P152" s="17">
        <f>ROUND(VLOOKUP(O$139&amp;"_2",管理者用人口入力シート!CO:DL,Q152,FALSE),0)</f>
        <v>254</v>
      </c>
      <c r="Q152" s="2">
        <v>15</v>
      </c>
    </row>
    <row r="153" spans="7:17" x14ac:dyDescent="0.15">
      <c r="G153" s="2" t="s">
        <v>12</v>
      </c>
      <c r="H153" s="17">
        <f>ROUND(VLOOKUP(H$139&amp;"_1",管理者用人口入力シート!BH:CE,J153,FALSE),0)</f>
        <v>304</v>
      </c>
      <c r="I153" s="17">
        <f>ROUND(VLOOKUP(H$139&amp;"_2",管理者用人口入力シート!BH:CE,J153,FALSE),0)</f>
        <v>315</v>
      </c>
      <c r="J153" s="2">
        <v>16</v>
      </c>
      <c r="N153" s="2" t="s">
        <v>12</v>
      </c>
      <c r="O153" s="17">
        <f>ROUND(VLOOKUP(O$139&amp;"_1",管理者用人口入力シート!CO:DL,Q153,FALSE),0)</f>
        <v>304</v>
      </c>
      <c r="P153" s="17">
        <f>ROUND(VLOOKUP(O$139&amp;"_2",管理者用人口入力シート!CO:DL,Q153,FALSE),0)</f>
        <v>315</v>
      </c>
      <c r="Q153" s="2">
        <v>16</v>
      </c>
    </row>
    <row r="154" spans="7:17" x14ac:dyDescent="0.15">
      <c r="G154" s="2" t="s">
        <v>13</v>
      </c>
      <c r="H154" s="17">
        <f>ROUND(VLOOKUP(H$139&amp;"_1",管理者用人口入力シート!BH:CE,J154,FALSE),0)</f>
        <v>277</v>
      </c>
      <c r="I154" s="17">
        <f>ROUND(VLOOKUP(H$139&amp;"_2",管理者用人口入力シート!BH:CE,J154,FALSE),0)</f>
        <v>308</v>
      </c>
      <c r="J154" s="2">
        <v>17</v>
      </c>
      <c r="N154" s="2" t="s">
        <v>13</v>
      </c>
      <c r="O154" s="17">
        <f>ROUND(VLOOKUP(O$139&amp;"_1",管理者用人口入力シート!CO:DL,Q154,FALSE),0)</f>
        <v>277</v>
      </c>
      <c r="P154" s="17">
        <f>ROUND(VLOOKUP(O$139&amp;"_2",管理者用人口入力シート!CO:DL,Q154,FALSE),0)</f>
        <v>308</v>
      </c>
      <c r="Q154" s="2">
        <v>17</v>
      </c>
    </row>
    <row r="155" spans="7:17" x14ac:dyDescent="0.15">
      <c r="G155" s="2" t="s">
        <v>14</v>
      </c>
      <c r="H155" s="17">
        <f>ROUND(VLOOKUP(H$139&amp;"_1",管理者用人口入力シート!BH:CE,J155,FALSE),0)</f>
        <v>226</v>
      </c>
      <c r="I155" s="17">
        <f>ROUND(VLOOKUP(H$139&amp;"_2",管理者用人口入力シート!BH:CE,J155,FALSE),0)</f>
        <v>277</v>
      </c>
      <c r="J155" s="2">
        <v>18</v>
      </c>
      <c r="N155" s="2" t="s">
        <v>14</v>
      </c>
      <c r="O155" s="17">
        <f>ROUND(VLOOKUP(O$139&amp;"_1",管理者用人口入力シート!CO:DL,Q155,FALSE),0)</f>
        <v>226</v>
      </c>
      <c r="P155" s="17">
        <f>ROUND(VLOOKUP(O$139&amp;"_2",管理者用人口入力シート!CO:DL,Q155,FALSE),0)</f>
        <v>277</v>
      </c>
      <c r="Q155" s="2">
        <v>18</v>
      </c>
    </row>
    <row r="156" spans="7:17" x14ac:dyDescent="0.15">
      <c r="G156" s="2" t="s">
        <v>15</v>
      </c>
      <c r="H156" s="17">
        <f>ROUND(VLOOKUP(H$139&amp;"_1",管理者用人口入力シート!BH:CE,J156,FALSE),0)</f>
        <v>216</v>
      </c>
      <c r="I156" s="17">
        <f>ROUND(VLOOKUP(H$139&amp;"_2",管理者用人口入力シート!BH:CE,J156,FALSE),0)</f>
        <v>249</v>
      </c>
      <c r="J156" s="2">
        <v>19</v>
      </c>
      <c r="N156" s="2" t="s">
        <v>15</v>
      </c>
      <c r="O156" s="17">
        <f>ROUND(VLOOKUP(O$139&amp;"_1",管理者用人口入力シート!CO:DL,Q156,FALSE),0)</f>
        <v>216</v>
      </c>
      <c r="P156" s="17">
        <f>ROUND(VLOOKUP(O$139&amp;"_2",管理者用人口入力シート!CO:DL,Q156,FALSE),0)</f>
        <v>249</v>
      </c>
      <c r="Q156" s="2">
        <v>19</v>
      </c>
    </row>
    <row r="157" spans="7:17" x14ac:dyDescent="0.15">
      <c r="G157" s="2" t="s">
        <v>16</v>
      </c>
      <c r="H157" s="17">
        <f>ROUND(VLOOKUP(H$139&amp;"_1",管理者用人口入力シート!BH:CE,J157,FALSE),0)</f>
        <v>178</v>
      </c>
      <c r="I157" s="17">
        <f>ROUND(VLOOKUP(H$139&amp;"_2",管理者用人口入力シート!BH:CE,J157,FALSE),0)</f>
        <v>262</v>
      </c>
      <c r="J157" s="2">
        <v>20</v>
      </c>
      <c r="N157" s="2" t="s">
        <v>16</v>
      </c>
      <c r="O157" s="17">
        <f>ROUND(VLOOKUP(O$139&amp;"_1",管理者用人口入力シート!CO:DL,Q157,FALSE),0)</f>
        <v>178</v>
      </c>
      <c r="P157" s="17">
        <f>ROUND(VLOOKUP(O$139&amp;"_2",管理者用人口入力シート!CO:DL,Q157,FALSE),0)</f>
        <v>262</v>
      </c>
      <c r="Q157" s="2">
        <v>20</v>
      </c>
    </row>
    <row r="158" spans="7:17" x14ac:dyDescent="0.15">
      <c r="G158" s="2" t="s">
        <v>17</v>
      </c>
      <c r="H158" s="17">
        <f>ROUND(VLOOKUP(H$139&amp;"_1",管理者用人口入力シート!BH:CE,J158,FALSE),0)</f>
        <v>141</v>
      </c>
      <c r="I158" s="17">
        <f>ROUND(VLOOKUP(H$139&amp;"_2",管理者用人口入力シート!BH:CE,J158,FALSE),0)</f>
        <v>233</v>
      </c>
      <c r="J158" s="2">
        <v>21</v>
      </c>
      <c r="N158" s="2" t="s">
        <v>17</v>
      </c>
      <c r="O158" s="17">
        <f>ROUND(VLOOKUP(O$139&amp;"_1",管理者用人口入力シート!CO:DL,Q158,FALSE),0)</f>
        <v>141</v>
      </c>
      <c r="P158" s="17">
        <f>ROUND(VLOOKUP(O$139&amp;"_2",管理者用人口入力シート!CO:DL,Q158,FALSE),0)</f>
        <v>233</v>
      </c>
      <c r="Q158" s="2">
        <v>21</v>
      </c>
    </row>
    <row r="159" spans="7:17" x14ac:dyDescent="0.15">
      <c r="G159" s="2" t="s">
        <v>18</v>
      </c>
      <c r="H159" s="17">
        <f>ROUND(VLOOKUP(H$139&amp;"_1",管理者用人口入力シート!BH:CE,J159,FALSE),0)</f>
        <v>84</v>
      </c>
      <c r="I159" s="17">
        <f>ROUND(VLOOKUP(H$139&amp;"_2",管理者用人口入力シート!BH:CE,J159,FALSE),0)</f>
        <v>165</v>
      </c>
      <c r="J159" s="2">
        <v>22</v>
      </c>
      <c r="N159" s="2" t="s">
        <v>18</v>
      </c>
      <c r="O159" s="17">
        <f>ROUND(VLOOKUP(O$139&amp;"_1",管理者用人口入力シート!CO:DL,Q159,FALSE),0)</f>
        <v>84</v>
      </c>
      <c r="P159" s="17">
        <f>ROUND(VLOOKUP(O$139&amp;"_2",管理者用人口入力シート!CO:DL,Q159,FALSE),0)</f>
        <v>165</v>
      </c>
      <c r="Q159" s="2">
        <v>22</v>
      </c>
    </row>
    <row r="160" spans="7:17" x14ac:dyDescent="0.15">
      <c r="G160" s="2" t="s">
        <v>19</v>
      </c>
      <c r="H160" s="17">
        <f>ROUND(VLOOKUP(H$139&amp;"_1",管理者用人口入力シート!BH:CE,J160,FALSE),0)</f>
        <v>13</v>
      </c>
      <c r="I160" s="17">
        <f>ROUND(VLOOKUP(H$139&amp;"_2",管理者用人口入力シート!BH:CE,J160,FALSE),0)</f>
        <v>40</v>
      </c>
      <c r="J160" s="2">
        <v>23</v>
      </c>
      <c r="N160" s="2" t="s">
        <v>19</v>
      </c>
      <c r="O160" s="17">
        <f>ROUND(VLOOKUP(O$139&amp;"_1",管理者用人口入力シート!CO:DL,Q160,FALSE),0)</f>
        <v>13</v>
      </c>
      <c r="P160" s="17">
        <f>ROUND(VLOOKUP(O$139&amp;"_2",管理者用人口入力シート!CO:DL,Q160,FALSE),0)</f>
        <v>40</v>
      </c>
      <c r="Q160" s="2">
        <v>23</v>
      </c>
    </row>
    <row r="161" spans="7:17" x14ac:dyDescent="0.15">
      <c r="G161" s="2" t="s">
        <v>20</v>
      </c>
      <c r="H161" s="17">
        <f>ROUND(VLOOKUP(H$139&amp;"_1",管理者用人口入力シート!BH:CE,J161,FALSE),0)</f>
        <v>0</v>
      </c>
      <c r="I161" s="17">
        <f>ROUND(VLOOKUP(H$139&amp;"_2",管理者用人口入力シート!BH:CE,J161,FALSE),0)</f>
        <v>9</v>
      </c>
      <c r="J161" s="2">
        <v>24</v>
      </c>
      <c r="N161" s="2" t="s">
        <v>20</v>
      </c>
      <c r="O161" s="17">
        <f>ROUND(VLOOKUP(O$139&amp;"_1",管理者用人口入力シート!CO:DL,Q161,FALSE),0)</f>
        <v>0</v>
      </c>
      <c r="P161" s="17">
        <f>ROUND(VLOOKUP(O$139&amp;"_2",管理者用人口入力シート!CO:DL,Q161,FALSE),0)</f>
        <v>9</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114</v>
      </c>
      <c r="I165" s="17">
        <f>ROUND(VLOOKUP(H$163&amp;"_2",管理者用人口入力シート!BH:CE,J165,FALSE),0)</f>
        <v>102</v>
      </c>
      <c r="J165" s="2">
        <v>4</v>
      </c>
      <c r="N165" s="2" t="s">
        <v>0</v>
      </c>
      <c r="O165" s="17">
        <f>ROUND(VLOOKUP(O$163&amp;"_1",管理者用人口入力シート!CO:DL,Q165,FALSE),0)</f>
        <v>117</v>
      </c>
      <c r="P165" s="17">
        <f>ROUND(VLOOKUP(O$163&amp;"_2",管理者用人口入力シート!CO:DL,Q165,FALSE),0)</f>
        <v>105</v>
      </c>
      <c r="Q165" s="2">
        <v>4</v>
      </c>
    </row>
    <row r="166" spans="7:17" x14ac:dyDescent="0.15">
      <c r="G166" s="2" t="s">
        <v>1</v>
      </c>
      <c r="H166" s="17">
        <f>ROUND(VLOOKUP(H$163&amp;"_1",管理者用人口入力シート!BH:CE,J166,FALSE),0)</f>
        <v>125</v>
      </c>
      <c r="I166" s="17">
        <f>ROUND(VLOOKUP(H$163&amp;"_2",管理者用人口入力シート!BH:CE,J166,FALSE),0)</f>
        <v>103</v>
      </c>
      <c r="J166" s="2">
        <v>5</v>
      </c>
      <c r="N166" s="2" t="s">
        <v>1</v>
      </c>
      <c r="O166" s="17">
        <f>ROUND(VLOOKUP(O$163&amp;"_1",管理者用人口入力シート!CO:DL,Q166,FALSE),0)</f>
        <v>128</v>
      </c>
      <c r="P166" s="17">
        <f>ROUND(VLOOKUP(O$163&amp;"_2",管理者用人口入力シート!CO:DL,Q166,FALSE),0)</f>
        <v>106</v>
      </c>
      <c r="Q166" s="2">
        <v>5</v>
      </c>
    </row>
    <row r="167" spans="7:17" x14ac:dyDescent="0.15">
      <c r="G167" s="2" t="s">
        <v>2</v>
      </c>
      <c r="H167" s="17">
        <f>ROUND(VLOOKUP(H$163&amp;"_1",管理者用人口入力シート!BH:CE,J167,FALSE),0)</f>
        <v>133</v>
      </c>
      <c r="I167" s="17">
        <f>ROUND(VLOOKUP(H$163&amp;"_2",管理者用人口入力シート!BH:CE,J167,FALSE),0)</f>
        <v>114</v>
      </c>
      <c r="J167" s="2">
        <v>6</v>
      </c>
      <c r="N167" s="2" t="s">
        <v>2</v>
      </c>
      <c r="O167" s="17">
        <f>ROUND(VLOOKUP(O$163&amp;"_1",管理者用人口入力シート!CO:DL,Q167,FALSE),0)</f>
        <v>137</v>
      </c>
      <c r="P167" s="17">
        <f>ROUND(VLOOKUP(O$163&amp;"_2",管理者用人口入力シート!CO:DL,Q167,FALSE),0)</f>
        <v>117</v>
      </c>
      <c r="Q167" s="2">
        <v>6</v>
      </c>
    </row>
    <row r="168" spans="7:17" x14ac:dyDescent="0.15">
      <c r="G168" s="2" t="s">
        <v>3</v>
      </c>
      <c r="H168" s="17">
        <f>ROUND(VLOOKUP(H$163&amp;"_1",管理者用人口入力シート!BH:CE,J168,FALSE),0)</f>
        <v>135</v>
      </c>
      <c r="I168" s="17">
        <f>ROUND(VLOOKUP(H$163&amp;"_2",管理者用人口入力シート!BH:CE,J168,FALSE),0)</f>
        <v>115</v>
      </c>
      <c r="J168" s="2">
        <v>7</v>
      </c>
      <c r="N168" s="2" t="s">
        <v>3</v>
      </c>
      <c r="O168" s="17">
        <f>ROUND(VLOOKUP(O$163&amp;"_1",管理者用人口入力シート!CO:DL,Q168,FALSE),0)</f>
        <v>137</v>
      </c>
      <c r="P168" s="17">
        <f>ROUND(VLOOKUP(O$163&amp;"_2",管理者用人口入力シート!CO:DL,Q168,FALSE),0)</f>
        <v>117</v>
      </c>
      <c r="Q168" s="2">
        <v>7</v>
      </c>
    </row>
    <row r="169" spans="7:17" x14ac:dyDescent="0.15">
      <c r="G169" s="2" t="s">
        <v>4</v>
      </c>
      <c r="H169" s="17">
        <f>ROUND(VLOOKUP(H$163&amp;"_1",管理者用人口入力シート!BH:CE,J169,FALSE),0)</f>
        <v>125</v>
      </c>
      <c r="I169" s="17">
        <f>ROUND(VLOOKUP(H$163&amp;"_2",管理者用人口入力シート!BH:CE,J169,FALSE),0)</f>
        <v>98</v>
      </c>
      <c r="J169" s="2">
        <v>8</v>
      </c>
      <c r="N169" s="2" t="s">
        <v>4</v>
      </c>
      <c r="O169" s="17">
        <f>ROUND(VLOOKUP(O$163&amp;"_1",管理者用人口入力シート!CO:DL,Q169,FALSE),0)</f>
        <v>126</v>
      </c>
      <c r="P169" s="17">
        <f>ROUND(VLOOKUP(O$163&amp;"_2",管理者用人口入力シート!CO:DL,Q169,FALSE),0)</f>
        <v>99</v>
      </c>
      <c r="Q169" s="2">
        <v>8</v>
      </c>
    </row>
    <row r="170" spans="7:17" x14ac:dyDescent="0.15">
      <c r="G170" s="2" t="s">
        <v>5</v>
      </c>
      <c r="H170" s="17">
        <f>ROUND(VLOOKUP(H$163&amp;"_1",管理者用人口入力シート!BH:CE,J170,FALSE),0)</f>
        <v>154</v>
      </c>
      <c r="I170" s="17">
        <f>ROUND(VLOOKUP(H$163&amp;"_2",管理者用人口入力シート!BH:CE,J170,FALSE),0)</f>
        <v>113</v>
      </c>
      <c r="J170" s="2">
        <v>9</v>
      </c>
      <c r="N170" s="2" t="s">
        <v>5</v>
      </c>
      <c r="O170" s="17">
        <f>ROUND(VLOOKUP(O$163&amp;"_1",管理者用人口入力シート!CO:DL,Q170,FALSE),0)</f>
        <v>156</v>
      </c>
      <c r="P170" s="17">
        <f>ROUND(VLOOKUP(O$163&amp;"_2",管理者用人口入力シート!CO:DL,Q170,FALSE),0)</f>
        <v>116</v>
      </c>
      <c r="Q170" s="2">
        <v>9</v>
      </c>
    </row>
    <row r="171" spans="7:17" x14ac:dyDescent="0.15">
      <c r="G171" s="2" t="s">
        <v>6</v>
      </c>
      <c r="H171" s="17">
        <f>ROUND(VLOOKUP(H$163&amp;"_1",管理者用人口入力シート!BH:CE,J171,FALSE),0)</f>
        <v>174</v>
      </c>
      <c r="I171" s="17">
        <f>ROUND(VLOOKUP(H$163&amp;"_2",管理者用人口入力シート!BH:CE,J171,FALSE),0)</f>
        <v>139</v>
      </c>
      <c r="J171" s="2">
        <v>10</v>
      </c>
      <c r="N171" s="2" t="s">
        <v>6</v>
      </c>
      <c r="O171" s="17">
        <f>ROUND(VLOOKUP(O$163&amp;"_1",管理者用人口入力シート!CO:DL,Q171,FALSE),0)</f>
        <v>177</v>
      </c>
      <c r="P171" s="17">
        <f>ROUND(VLOOKUP(O$163&amp;"_2",管理者用人口入力シート!CO:DL,Q171,FALSE),0)</f>
        <v>141</v>
      </c>
      <c r="Q171" s="2">
        <v>10</v>
      </c>
    </row>
    <row r="172" spans="7:17" x14ac:dyDescent="0.15">
      <c r="G172" s="2" t="s">
        <v>7</v>
      </c>
      <c r="H172" s="17">
        <f>ROUND(VLOOKUP(H$163&amp;"_1",管理者用人口入力シート!BH:CE,J172,FALSE),0)</f>
        <v>182</v>
      </c>
      <c r="I172" s="17">
        <f>ROUND(VLOOKUP(H$163&amp;"_2",管理者用人口入力シート!BH:CE,J172,FALSE),0)</f>
        <v>151</v>
      </c>
      <c r="J172" s="2">
        <v>11</v>
      </c>
      <c r="N172" s="2" t="s">
        <v>7</v>
      </c>
      <c r="O172" s="17">
        <f>ROUND(VLOOKUP(O$163&amp;"_1",管理者用人口入力シート!CO:DL,Q172,FALSE),0)</f>
        <v>184</v>
      </c>
      <c r="P172" s="17">
        <f>ROUND(VLOOKUP(O$163&amp;"_2",管理者用人口入力シート!CO:DL,Q172,FALSE),0)</f>
        <v>153</v>
      </c>
      <c r="Q172" s="2">
        <v>11</v>
      </c>
    </row>
    <row r="173" spans="7:17" x14ac:dyDescent="0.15">
      <c r="G173" s="2" t="s">
        <v>8</v>
      </c>
      <c r="H173" s="17">
        <f>ROUND(VLOOKUP(H$163&amp;"_1",管理者用人口入力シート!BH:CE,J173,FALSE),0)</f>
        <v>172</v>
      </c>
      <c r="I173" s="17">
        <f>ROUND(VLOOKUP(H$163&amp;"_2",管理者用人口入力シート!BH:CE,J173,FALSE),0)</f>
        <v>133</v>
      </c>
      <c r="J173" s="2">
        <v>12</v>
      </c>
      <c r="N173" s="2" t="s">
        <v>8</v>
      </c>
      <c r="O173" s="17">
        <f>ROUND(VLOOKUP(O$163&amp;"_1",管理者用人口入力シート!CO:DL,Q173,FALSE),0)</f>
        <v>174</v>
      </c>
      <c r="P173" s="17">
        <f>ROUND(VLOOKUP(O$163&amp;"_2",管理者用人口入力シート!CO:DL,Q173,FALSE),0)</f>
        <v>136</v>
      </c>
      <c r="Q173" s="2">
        <v>12</v>
      </c>
    </row>
    <row r="174" spans="7:17" x14ac:dyDescent="0.15">
      <c r="G174" s="2" t="s">
        <v>9</v>
      </c>
      <c r="H174" s="17">
        <f>ROUND(VLOOKUP(H$163&amp;"_1",管理者用人口入力シート!BH:CE,J174,FALSE),0)</f>
        <v>194</v>
      </c>
      <c r="I174" s="17">
        <f>ROUND(VLOOKUP(H$163&amp;"_2",管理者用人口入力シート!BH:CE,J174,FALSE),0)</f>
        <v>153</v>
      </c>
      <c r="J174" s="2">
        <v>13</v>
      </c>
      <c r="N174" s="2" t="s">
        <v>9</v>
      </c>
      <c r="O174" s="17">
        <f>ROUND(VLOOKUP(O$163&amp;"_1",管理者用人口入力シート!CO:DL,Q174,FALSE),0)</f>
        <v>196</v>
      </c>
      <c r="P174" s="17">
        <f>ROUND(VLOOKUP(O$163&amp;"_2",管理者用人口入力シート!CO:DL,Q174,FALSE),0)</f>
        <v>156</v>
      </c>
      <c r="Q174" s="2">
        <v>13</v>
      </c>
    </row>
    <row r="175" spans="7:17" x14ac:dyDescent="0.15">
      <c r="G175" s="2" t="s">
        <v>10</v>
      </c>
      <c r="H175" s="17">
        <f>ROUND(VLOOKUP(H$163&amp;"_1",管理者用人口入力シート!BH:CE,J175,FALSE),0)</f>
        <v>193</v>
      </c>
      <c r="I175" s="17">
        <f>ROUND(VLOOKUP(H$163&amp;"_2",管理者用人口入力シート!BH:CE,J175,FALSE),0)</f>
        <v>174</v>
      </c>
      <c r="J175" s="2">
        <v>14</v>
      </c>
      <c r="N175" s="2" t="s">
        <v>10</v>
      </c>
      <c r="O175" s="17">
        <f>ROUND(VLOOKUP(O$163&amp;"_1",管理者用人口入力シート!CO:DL,Q175,FALSE),0)</f>
        <v>193</v>
      </c>
      <c r="P175" s="17">
        <f>ROUND(VLOOKUP(O$163&amp;"_2",管理者用人口入力シート!CO:DL,Q175,FALSE),0)</f>
        <v>175</v>
      </c>
      <c r="Q175" s="2">
        <v>14</v>
      </c>
    </row>
    <row r="176" spans="7:17" x14ac:dyDescent="0.15">
      <c r="G176" s="2" t="s">
        <v>11</v>
      </c>
      <c r="H176" s="17">
        <f>ROUND(VLOOKUP(H$163&amp;"_1",管理者用人口入力シート!BH:CE,J176,FALSE),0)</f>
        <v>215</v>
      </c>
      <c r="I176" s="17">
        <f>ROUND(VLOOKUP(H$163&amp;"_2",管理者用人口入力シート!BH:CE,J176,FALSE),0)</f>
        <v>223</v>
      </c>
      <c r="J176" s="2">
        <v>15</v>
      </c>
      <c r="N176" s="2" t="s">
        <v>11</v>
      </c>
      <c r="O176" s="17">
        <f>ROUND(VLOOKUP(O$163&amp;"_1",管理者用人口入力シート!CO:DL,Q176,FALSE),0)</f>
        <v>215</v>
      </c>
      <c r="P176" s="17">
        <f>ROUND(VLOOKUP(O$163&amp;"_2",管理者用人口入力シート!CO:DL,Q176,FALSE),0)</f>
        <v>224</v>
      </c>
      <c r="Q176" s="2">
        <v>15</v>
      </c>
    </row>
    <row r="177" spans="7:17" x14ac:dyDescent="0.15">
      <c r="G177" s="2" t="s">
        <v>12</v>
      </c>
      <c r="H177" s="17">
        <f>ROUND(VLOOKUP(H$163&amp;"_1",管理者用人口入力シート!BH:CE,J177,FALSE),0)</f>
        <v>234</v>
      </c>
      <c r="I177" s="17">
        <f>ROUND(VLOOKUP(H$163&amp;"_2",管理者用人口入力シート!BH:CE,J177,FALSE),0)</f>
        <v>254</v>
      </c>
      <c r="J177" s="2">
        <v>16</v>
      </c>
      <c r="N177" s="2" t="s">
        <v>12</v>
      </c>
      <c r="O177" s="17">
        <f>ROUND(VLOOKUP(O$163&amp;"_1",管理者用人口入力シート!CO:DL,Q177,FALSE),0)</f>
        <v>234</v>
      </c>
      <c r="P177" s="17">
        <f>ROUND(VLOOKUP(O$163&amp;"_2",管理者用人口入力シート!CO:DL,Q177,FALSE),0)</f>
        <v>255</v>
      </c>
      <c r="Q177" s="2">
        <v>16</v>
      </c>
    </row>
    <row r="178" spans="7:17" x14ac:dyDescent="0.15">
      <c r="G178" s="2" t="s">
        <v>13</v>
      </c>
      <c r="H178" s="17">
        <f>ROUND(VLOOKUP(H$163&amp;"_1",管理者用人口入力シート!BH:CE,J178,FALSE),0)</f>
        <v>294</v>
      </c>
      <c r="I178" s="17">
        <f>ROUND(VLOOKUP(H$163&amp;"_2",管理者用人口入力シート!BH:CE,J178,FALSE),0)</f>
        <v>314</v>
      </c>
      <c r="J178" s="2">
        <v>17</v>
      </c>
      <c r="N178" s="2" t="s">
        <v>13</v>
      </c>
      <c r="O178" s="17">
        <f>ROUND(VLOOKUP(O$163&amp;"_1",管理者用人口入力シート!CO:DL,Q178,FALSE),0)</f>
        <v>294</v>
      </c>
      <c r="P178" s="17">
        <f>ROUND(VLOOKUP(O$163&amp;"_2",管理者用人口入力シート!CO:DL,Q178,FALSE),0)</f>
        <v>314</v>
      </c>
      <c r="Q178" s="2">
        <v>17</v>
      </c>
    </row>
    <row r="179" spans="7:17" x14ac:dyDescent="0.15">
      <c r="G179" s="2" t="s">
        <v>14</v>
      </c>
      <c r="H179" s="17">
        <f>ROUND(VLOOKUP(H$163&amp;"_1",管理者用人口入力シート!BH:CE,J179,FALSE),0)</f>
        <v>260</v>
      </c>
      <c r="I179" s="17">
        <f>ROUND(VLOOKUP(H$163&amp;"_2",管理者用人口入力シート!BH:CE,J179,FALSE),0)</f>
        <v>291</v>
      </c>
      <c r="J179" s="2">
        <v>18</v>
      </c>
      <c r="N179" s="2" t="s">
        <v>14</v>
      </c>
      <c r="O179" s="17">
        <f>ROUND(VLOOKUP(O$163&amp;"_1",管理者用人口入力シート!CO:DL,Q179,FALSE),0)</f>
        <v>260</v>
      </c>
      <c r="P179" s="17">
        <f>ROUND(VLOOKUP(O$163&amp;"_2",管理者用人口入力シート!CO:DL,Q179,FALSE),0)</f>
        <v>291</v>
      </c>
      <c r="Q179" s="2">
        <v>18</v>
      </c>
    </row>
    <row r="180" spans="7:17" x14ac:dyDescent="0.15">
      <c r="G180" s="2" t="s">
        <v>15</v>
      </c>
      <c r="H180" s="17">
        <f>ROUND(VLOOKUP(H$163&amp;"_1",管理者用人口入力シート!BH:CE,J180,FALSE),0)</f>
        <v>198</v>
      </c>
      <c r="I180" s="17">
        <f>ROUND(VLOOKUP(H$163&amp;"_2",管理者用人口入力シート!BH:CE,J180,FALSE),0)</f>
        <v>259</v>
      </c>
      <c r="J180" s="2">
        <v>19</v>
      </c>
      <c r="N180" s="2" t="s">
        <v>15</v>
      </c>
      <c r="O180" s="17">
        <f>ROUND(VLOOKUP(O$163&amp;"_1",管理者用人口入力シート!CO:DL,Q180,FALSE),0)</f>
        <v>198</v>
      </c>
      <c r="P180" s="17">
        <f>ROUND(VLOOKUP(O$163&amp;"_2",管理者用人口入力シート!CO:DL,Q180,FALSE),0)</f>
        <v>259</v>
      </c>
      <c r="Q180" s="2">
        <v>19</v>
      </c>
    </row>
    <row r="181" spans="7:17" x14ac:dyDescent="0.15">
      <c r="G181" s="2" t="s">
        <v>16</v>
      </c>
      <c r="H181" s="17">
        <f>ROUND(VLOOKUP(H$163&amp;"_1",管理者用人口入力シート!BH:CE,J181,FALSE),0)</f>
        <v>160</v>
      </c>
      <c r="I181" s="17">
        <f>ROUND(VLOOKUP(H$163&amp;"_2",管理者用人口入力シート!BH:CE,J181,FALSE),0)</f>
        <v>220</v>
      </c>
      <c r="J181" s="2">
        <v>20</v>
      </c>
      <c r="N181" s="2" t="s">
        <v>16</v>
      </c>
      <c r="O181" s="17">
        <f>ROUND(VLOOKUP(O$163&amp;"_1",管理者用人口入力シート!CO:DL,Q181,FALSE),0)</f>
        <v>160</v>
      </c>
      <c r="P181" s="17">
        <f>ROUND(VLOOKUP(O$163&amp;"_2",管理者用人口入力シート!CO:DL,Q181,FALSE),0)</f>
        <v>220</v>
      </c>
      <c r="Q181" s="2">
        <v>20</v>
      </c>
    </row>
    <row r="182" spans="7:17" x14ac:dyDescent="0.15">
      <c r="G182" s="2" t="s">
        <v>17</v>
      </c>
      <c r="H182" s="17">
        <f>ROUND(VLOOKUP(H$163&amp;"_1",管理者用人口入力シート!BH:CE,J182,FALSE),0)</f>
        <v>114</v>
      </c>
      <c r="I182" s="17">
        <f>ROUND(VLOOKUP(H$163&amp;"_2",管理者用人口入力シート!BH:CE,J182,FALSE),0)</f>
        <v>200</v>
      </c>
      <c r="J182" s="2">
        <v>21</v>
      </c>
      <c r="N182" s="2" t="s">
        <v>17</v>
      </c>
      <c r="O182" s="17">
        <f>ROUND(VLOOKUP(O$163&amp;"_1",管理者用人口入力シート!CO:DL,Q182,FALSE),0)</f>
        <v>114</v>
      </c>
      <c r="P182" s="17">
        <f>ROUND(VLOOKUP(O$163&amp;"_2",管理者用人口入力シート!CO:DL,Q182,FALSE),0)</f>
        <v>200</v>
      </c>
      <c r="Q182" s="2">
        <v>21</v>
      </c>
    </row>
    <row r="183" spans="7:17" x14ac:dyDescent="0.15">
      <c r="G183" s="2" t="s">
        <v>18</v>
      </c>
      <c r="H183" s="17">
        <f>ROUND(VLOOKUP(H$163&amp;"_1",管理者用人口入力シート!BH:CE,J183,FALSE),0)</f>
        <v>74</v>
      </c>
      <c r="I183" s="17">
        <f>ROUND(VLOOKUP(H$163&amp;"_2",管理者用人口入力シート!BH:CE,J183,FALSE),0)</f>
        <v>141</v>
      </c>
      <c r="J183" s="2">
        <v>22</v>
      </c>
      <c r="N183" s="2" t="s">
        <v>18</v>
      </c>
      <c r="O183" s="17">
        <f>ROUND(VLOOKUP(O$163&amp;"_1",管理者用人口入力シート!CO:DL,Q183,FALSE),0)</f>
        <v>74</v>
      </c>
      <c r="P183" s="17">
        <f>ROUND(VLOOKUP(O$163&amp;"_2",管理者用人口入力シート!CO:DL,Q183,FALSE),0)</f>
        <v>141</v>
      </c>
      <c r="Q183" s="2">
        <v>22</v>
      </c>
    </row>
    <row r="184" spans="7:17" x14ac:dyDescent="0.15">
      <c r="G184" s="2" t="s">
        <v>19</v>
      </c>
      <c r="H184" s="17">
        <f>ROUND(VLOOKUP(H$163&amp;"_1",管理者用人口入力シート!BH:CE,J184,FALSE),0)</f>
        <v>16</v>
      </c>
      <c r="I184" s="17">
        <f>ROUND(VLOOKUP(H$163&amp;"_2",管理者用人口入力シート!BH:CE,J184,FALSE),0)</f>
        <v>50</v>
      </c>
      <c r="J184" s="2">
        <v>23</v>
      </c>
      <c r="N184" s="2" t="s">
        <v>19</v>
      </c>
      <c r="O184" s="17">
        <f>ROUND(VLOOKUP(O$163&amp;"_1",管理者用人口入力シート!CO:DL,Q184,FALSE),0)</f>
        <v>16</v>
      </c>
      <c r="P184" s="17">
        <f>ROUND(VLOOKUP(O$163&amp;"_2",管理者用人口入力シート!CO:DL,Q184,FALSE),0)</f>
        <v>50</v>
      </c>
      <c r="Q184" s="2">
        <v>23</v>
      </c>
    </row>
    <row r="185" spans="7:17" x14ac:dyDescent="0.15">
      <c r="G185" s="2" t="s">
        <v>20</v>
      </c>
      <c r="H185" s="17">
        <f>ROUND(VLOOKUP(H$163&amp;"_1",管理者用人口入力シート!BH:CE,J185,FALSE),0)</f>
        <v>0</v>
      </c>
      <c r="I185" s="17">
        <f>ROUND(VLOOKUP(H$163&amp;"_2",管理者用人口入力シート!BH:CE,J185,FALSE),0)</f>
        <v>9</v>
      </c>
      <c r="J185" s="2">
        <v>24</v>
      </c>
      <c r="N185" s="2" t="s">
        <v>20</v>
      </c>
      <c r="O185" s="17">
        <f>ROUND(VLOOKUP(O$163&amp;"_1",管理者用人口入力シート!CO:DL,Q185,FALSE),0)</f>
        <v>0</v>
      </c>
      <c r="P185" s="17">
        <f>ROUND(VLOOKUP(O$163&amp;"_2",管理者用人口入力シート!CO:DL,Q185,FALSE),0)</f>
        <v>9</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98</v>
      </c>
      <c r="I189" s="17">
        <f>ROUND(VLOOKUP(H$187&amp;"_2",管理者用人口入力シート!BH:CE,J189,FALSE),0)</f>
        <v>89</v>
      </c>
      <c r="J189" s="2">
        <v>4</v>
      </c>
      <c r="N189" s="2" t="s">
        <v>0</v>
      </c>
      <c r="O189" s="17">
        <f>ROUND(VLOOKUP(O$187&amp;"_1",管理者用人口入力シート!CO:DL,Q189,FALSE),0)</f>
        <v>102</v>
      </c>
      <c r="P189" s="17">
        <f>ROUND(VLOOKUP(O$187&amp;"_2",管理者用人口入力シート!CO:DL,Q189,FALSE),0)</f>
        <v>92</v>
      </c>
      <c r="Q189" s="2">
        <v>4</v>
      </c>
    </row>
    <row r="190" spans="7:17" x14ac:dyDescent="0.15">
      <c r="G190" s="2" t="s">
        <v>1</v>
      </c>
      <c r="H190" s="17">
        <f>ROUND(VLOOKUP(H$187&amp;"_1",管理者用人口入力シート!BH:CE,J190,FALSE),0)</f>
        <v>114</v>
      </c>
      <c r="I190" s="17">
        <f>ROUND(VLOOKUP(H$187&amp;"_2",管理者用人口入力シート!BH:CE,J190,FALSE),0)</f>
        <v>94</v>
      </c>
      <c r="J190" s="2">
        <v>5</v>
      </c>
      <c r="N190" s="2" t="s">
        <v>1</v>
      </c>
      <c r="O190" s="17">
        <f>ROUND(VLOOKUP(O$187&amp;"_1",管理者用人口入力シート!CO:DL,Q190,FALSE),0)</f>
        <v>117</v>
      </c>
      <c r="P190" s="17">
        <f>ROUND(VLOOKUP(O$187&amp;"_2",管理者用人口入力シート!CO:DL,Q190,FALSE),0)</f>
        <v>96</v>
      </c>
      <c r="Q190" s="2">
        <v>5</v>
      </c>
    </row>
    <row r="191" spans="7:17" x14ac:dyDescent="0.15">
      <c r="G191" s="2" t="s">
        <v>2</v>
      </c>
      <c r="H191" s="17">
        <f>ROUND(VLOOKUP(H$187&amp;"_1",管理者用人口入力シート!BH:CE,J191,FALSE),0)</f>
        <v>122</v>
      </c>
      <c r="I191" s="17">
        <f>ROUND(VLOOKUP(H$187&amp;"_2",管理者用人口入力シート!BH:CE,J191,FALSE),0)</f>
        <v>104</v>
      </c>
      <c r="J191" s="2">
        <v>6</v>
      </c>
      <c r="N191" s="2" t="s">
        <v>2</v>
      </c>
      <c r="O191" s="17">
        <f>ROUND(VLOOKUP(O$187&amp;"_1",管理者用人口入力シート!CO:DL,Q191,FALSE),0)</f>
        <v>125</v>
      </c>
      <c r="P191" s="17">
        <f>ROUND(VLOOKUP(O$187&amp;"_2",管理者用人口入力シート!CO:DL,Q191,FALSE),0)</f>
        <v>107</v>
      </c>
      <c r="Q191" s="2">
        <v>6</v>
      </c>
    </row>
    <row r="192" spans="7:17" x14ac:dyDescent="0.15">
      <c r="G192" s="2" t="s">
        <v>3</v>
      </c>
      <c r="H192" s="17">
        <f>ROUND(VLOOKUP(H$187&amp;"_1",管理者用人口入力シート!BH:CE,J192,FALSE),0)</f>
        <v>127</v>
      </c>
      <c r="I192" s="17">
        <f>ROUND(VLOOKUP(H$187&amp;"_2",管理者用人口入力シート!BH:CE,J192,FALSE),0)</f>
        <v>108</v>
      </c>
      <c r="J192" s="2">
        <v>7</v>
      </c>
      <c r="N192" s="2" t="s">
        <v>3</v>
      </c>
      <c r="O192" s="17">
        <f>ROUND(VLOOKUP(O$187&amp;"_1",管理者用人口入力シート!CO:DL,Q192,FALSE),0)</f>
        <v>130</v>
      </c>
      <c r="P192" s="17">
        <f>ROUND(VLOOKUP(O$187&amp;"_2",管理者用人口入力シート!CO:DL,Q192,FALSE),0)</f>
        <v>111</v>
      </c>
      <c r="Q192" s="2">
        <v>7</v>
      </c>
    </row>
    <row r="193" spans="7:17" x14ac:dyDescent="0.15">
      <c r="G193" s="2" t="s">
        <v>4</v>
      </c>
      <c r="H193" s="17">
        <f>ROUND(VLOOKUP(H$187&amp;"_1",管理者用人口入力シート!BH:CE,J193,FALSE),0)</f>
        <v>109</v>
      </c>
      <c r="I193" s="17">
        <f>ROUND(VLOOKUP(H$187&amp;"_2",管理者用人口入力シート!BH:CE,J193,FALSE),0)</f>
        <v>85</v>
      </c>
      <c r="J193" s="2">
        <v>8</v>
      </c>
      <c r="N193" s="2" t="s">
        <v>4</v>
      </c>
      <c r="O193" s="17">
        <f>ROUND(VLOOKUP(O$187&amp;"_1",管理者用人口入力シート!CO:DL,Q193,FALSE),0)</f>
        <v>111</v>
      </c>
      <c r="P193" s="17">
        <f>ROUND(VLOOKUP(O$187&amp;"_2",管理者用人口入力シート!CO:DL,Q193,FALSE),0)</f>
        <v>87</v>
      </c>
      <c r="Q193" s="2">
        <v>8</v>
      </c>
    </row>
    <row r="194" spans="7:17" x14ac:dyDescent="0.15">
      <c r="G194" s="2" t="s">
        <v>5</v>
      </c>
      <c r="H194" s="17">
        <f>ROUND(VLOOKUP(H$187&amp;"_1",管理者用人口入力シート!BH:CE,J194,FALSE),0)</f>
        <v>130</v>
      </c>
      <c r="I194" s="17">
        <f>ROUND(VLOOKUP(H$187&amp;"_2",管理者用人口入力シート!BH:CE,J194,FALSE),0)</f>
        <v>96</v>
      </c>
      <c r="J194" s="2">
        <v>9</v>
      </c>
      <c r="N194" s="2" t="s">
        <v>5</v>
      </c>
      <c r="O194" s="17">
        <f>ROUND(VLOOKUP(O$187&amp;"_1",管理者用人口入力シート!CO:DL,Q194,FALSE),0)</f>
        <v>134</v>
      </c>
      <c r="P194" s="17">
        <f>ROUND(VLOOKUP(O$187&amp;"_2",管理者用人口入力シート!CO:DL,Q194,FALSE),0)</f>
        <v>99</v>
      </c>
      <c r="Q194" s="2">
        <v>9</v>
      </c>
    </row>
    <row r="195" spans="7:17" x14ac:dyDescent="0.15">
      <c r="G195" s="2" t="s">
        <v>6</v>
      </c>
      <c r="H195" s="17">
        <f>ROUND(VLOOKUP(H$187&amp;"_1",管理者用人口入力シート!BH:CE,J195,FALSE),0)</f>
        <v>151</v>
      </c>
      <c r="I195" s="17">
        <f>ROUND(VLOOKUP(H$187&amp;"_2",管理者用人口入力シート!BH:CE,J195,FALSE),0)</f>
        <v>106</v>
      </c>
      <c r="J195" s="2">
        <v>10</v>
      </c>
      <c r="N195" s="2" t="s">
        <v>6</v>
      </c>
      <c r="O195" s="17">
        <f>ROUND(VLOOKUP(O$187&amp;"_1",管理者用人口入力シート!CO:DL,Q195,FALSE),0)</f>
        <v>153</v>
      </c>
      <c r="P195" s="17">
        <f>ROUND(VLOOKUP(O$187&amp;"_2",管理者用人口入力シート!CO:DL,Q195,FALSE),0)</f>
        <v>109</v>
      </c>
      <c r="Q195" s="2">
        <v>10</v>
      </c>
    </row>
    <row r="196" spans="7:17" x14ac:dyDescent="0.15">
      <c r="G196" s="2" t="s">
        <v>7</v>
      </c>
      <c r="H196" s="17">
        <f>ROUND(VLOOKUP(H$187&amp;"_1",管理者用人口入力シート!BH:CE,J196,FALSE),0)</f>
        <v>177</v>
      </c>
      <c r="I196" s="17">
        <f>ROUND(VLOOKUP(H$187&amp;"_2",管理者用人口入力シート!BH:CE,J196,FALSE),0)</f>
        <v>146</v>
      </c>
      <c r="J196" s="2">
        <v>11</v>
      </c>
      <c r="N196" s="2" t="s">
        <v>7</v>
      </c>
      <c r="O196" s="17">
        <f>ROUND(VLOOKUP(O$187&amp;"_1",管理者用人口入力シート!CO:DL,Q196,FALSE),0)</f>
        <v>180</v>
      </c>
      <c r="P196" s="17">
        <f>ROUND(VLOOKUP(O$187&amp;"_2",管理者用人口入力シート!CO:DL,Q196,FALSE),0)</f>
        <v>148</v>
      </c>
      <c r="Q196" s="2">
        <v>11</v>
      </c>
    </row>
    <row r="197" spans="7:17" x14ac:dyDescent="0.15">
      <c r="G197" s="2" t="s">
        <v>8</v>
      </c>
      <c r="H197" s="17">
        <f>ROUND(VLOOKUP(H$187&amp;"_1",管理者用人口入力シート!BH:CE,J197,FALSE),0)</f>
        <v>176</v>
      </c>
      <c r="I197" s="17">
        <f>ROUND(VLOOKUP(H$187&amp;"_2",管理者用人口入力シート!BH:CE,J197,FALSE),0)</f>
        <v>140</v>
      </c>
      <c r="J197" s="2">
        <v>12</v>
      </c>
      <c r="N197" s="2" t="s">
        <v>8</v>
      </c>
      <c r="O197" s="17">
        <f>ROUND(VLOOKUP(O$187&amp;"_1",管理者用人口入力シート!CO:DL,Q197,FALSE),0)</f>
        <v>178</v>
      </c>
      <c r="P197" s="17">
        <f>ROUND(VLOOKUP(O$187&amp;"_2",管理者用人口入力シート!CO:DL,Q197,FALSE),0)</f>
        <v>143</v>
      </c>
      <c r="Q197" s="2">
        <v>12</v>
      </c>
    </row>
    <row r="198" spans="7:17" x14ac:dyDescent="0.15">
      <c r="G198" s="2" t="s">
        <v>9</v>
      </c>
      <c r="H198" s="17">
        <f>ROUND(VLOOKUP(H$187&amp;"_1",管理者用人口入力シート!BH:CE,J198,FALSE),0)</f>
        <v>165</v>
      </c>
      <c r="I198" s="17">
        <f>ROUND(VLOOKUP(H$187&amp;"_2",管理者用人口入力シート!BH:CE,J198,FALSE),0)</f>
        <v>137</v>
      </c>
      <c r="J198" s="2">
        <v>13</v>
      </c>
      <c r="N198" s="2" t="s">
        <v>9</v>
      </c>
      <c r="O198" s="17">
        <f>ROUND(VLOOKUP(O$187&amp;"_1",管理者用人口入力シート!CO:DL,Q198,FALSE),0)</f>
        <v>167</v>
      </c>
      <c r="P198" s="17">
        <f>ROUND(VLOOKUP(O$187&amp;"_2",管理者用人口入力シート!CO:DL,Q198,FALSE),0)</f>
        <v>139</v>
      </c>
      <c r="Q198" s="2">
        <v>13</v>
      </c>
    </row>
    <row r="199" spans="7:17" x14ac:dyDescent="0.15">
      <c r="G199" s="2" t="s">
        <v>10</v>
      </c>
      <c r="H199" s="17">
        <f>ROUND(VLOOKUP(H$187&amp;"_1",管理者用人口入力シート!BH:CE,J199,FALSE),0)</f>
        <v>191</v>
      </c>
      <c r="I199" s="17">
        <f>ROUND(VLOOKUP(H$187&amp;"_2",管理者用人口入力シート!BH:CE,J199,FALSE),0)</f>
        <v>153</v>
      </c>
      <c r="J199" s="2">
        <v>14</v>
      </c>
      <c r="N199" s="2" t="s">
        <v>10</v>
      </c>
      <c r="O199" s="17">
        <f>ROUND(VLOOKUP(O$187&amp;"_1",管理者用人口入力シート!CO:DL,Q199,FALSE),0)</f>
        <v>193</v>
      </c>
      <c r="P199" s="17">
        <f>ROUND(VLOOKUP(O$187&amp;"_2",管理者用人口入力シート!CO:DL,Q199,FALSE),0)</f>
        <v>156</v>
      </c>
      <c r="Q199" s="2">
        <v>14</v>
      </c>
    </row>
    <row r="200" spans="7:17" x14ac:dyDescent="0.15">
      <c r="G200" s="2" t="s">
        <v>11</v>
      </c>
      <c r="H200" s="17">
        <f>ROUND(VLOOKUP(H$187&amp;"_1",管理者用人口入力シート!BH:CE,J200,FALSE),0)</f>
        <v>189</v>
      </c>
      <c r="I200" s="17">
        <f>ROUND(VLOOKUP(H$187&amp;"_2",管理者用人口入力シート!BH:CE,J200,FALSE),0)</f>
        <v>168</v>
      </c>
      <c r="J200" s="2">
        <v>15</v>
      </c>
      <c r="N200" s="2" t="s">
        <v>11</v>
      </c>
      <c r="O200" s="17">
        <f>ROUND(VLOOKUP(O$187&amp;"_1",管理者用人口入力シート!CO:DL,Q200,FALSE),0)</f>
        <v>189</v>
      </c>
      <c r="P200" s="17">
        <f>ROUND(VLOOKUP(O$187&amp;"_2",管理者用人口入力シート!CO:DL,Q200,FALSE),0)</f>
        <v>169</v>
      </c>
      <c r="Q200" s="2">
        <v>15</v>
      </c>
    </row>
    <row r="201" spans="7:17" x14ac:dyDescent="0.15">
      <c r="G201" s="2" t="s">
        <v>12</v>
      </c>
      <c r="H201" s="17">
        <f>ROUND(VLOOKUP(H$187&amp;"_1",管理者用人口入力シート!BH:CE,J201,FALSE),0)</f>
        <v>212</v>
      </c>
      <c r="I201" s="17">
        <f>ROUND(VLOOKUP(H$187&amp;"_2",管理者用人口入力シート!BH:CE,J201,FALSE),0)</f>
        <v>224</v>
      </c>
      <c r="J201" s="2">
        <v>16</v>
      </c>
      <c r="N201" s="2" t="s">
        <v>12</v>
      </c>
      <c r="O201" s="17">
        <f>ROUND(VLOOKUP(O$187&amp;"_1",管理者用人口入力シート!CO:DL,Q201,FALSE),0)</f>
        <v>212</v>
      </c>
      <c r="P201" s="17">
        <f>ROUND(VLOOKUP(O$187&amp;"_2",管理者用人口入力シート!CO:DL,Q201,FALSE),0)</f>
        <v>225</v>
      </c>
      <c r="Q201" s="2">
        <v>16</v>
      </c>
    </row>
    <row r="202" spans="7:17" x14ac:dyDescent="0.15">
      <c r="G202" s="2" t="s">
        <v>13</v>
      </c>
      <c r="H202" s="17">
        <f>ROUND(VLOOKUP(H$187&amp;"_1",管理者用人口入力シート!BH:CE,J202,FALSE),0)</f>
        <v>227</v>
      </c>
      <c r="I202" s="17">
        <f>ROUND(VLOOKUP(H$187&amp;"_2",管理者用人口入力シート!BH:CE,J202,FALSE),0)</f>
        <v>253</v>
      </c>
      <c r="J202" s="2">
        <v>17</v>
      </c>
      <c r="N202" s="2" t="s">
        <v>13</v>
      </c>
      <c r="O202" s="17">
        <f>ROUND(VLOOKUP(O$187&amp;"_1",管理者用人口入力シート!CO:DL,Q202,FALSE),0)</f>
        <v>227</v>
      </c>
      <c r="P202" s="17">
        <f>ROUND(VLOOKUP(O$187&amp;"_2",管理者用人口入力シート!CO:DL,Q202,FALSE),0)</f>
        <v>254</v>
      </c>
      <c r="Q202" s="2">
        <v>17</v>
      </c>
    </row>
    <row r="203" spans="7:17" x14ac:dyDescent="0.15">
      <c r="G203" s="2" t="s">
        <v>14</v>
      </c>
      <c r="H203" s="17">
        <f>ROUND(VLOOKUP(H$187&amp;"_1",管理者用人口入力シート!BH:CE,J203,FALSE),0)</f>
        <v>275</v>
      </c>
      <c r="I203" s="17">
        <f>ROUND(VLOOKUP(H$187&amp;"_2",管理者用人口入力シート!BH:CE,J203,FALSE),0)</f>
        <v>297</v>
      </c>
      <c r="J203" s="2">
        <v>18</v>
      </c>
      <c r="N203" s="2" t="s">
        <v>14</v>
      </c>
      <c r="O203" s="17">
        <f>ROUND(VLOOKUP(O$187&amp;"_1",管理者用人口入力シート!CO:DL,Q203,FALSE),0)</f>
        <v>275</v>
      </c>
      <c r="P203" s="17">
        <f>ROUND(VLOOKUP(O$187&amp;"_2",管理者用人口入力シート!CO:DL,Q203,FALSE),0)</f>
        <v>297</v>
      </c>
      <c r="Q203" s="2">
        <v>18</v>
      </c>
    </row>
    <row r="204" spans="7:17" x14ac:dyDescent="0.15">
      <c r="G204" s="2" t="s">
        <v>15</v>
      </c>
      <c r="H204" s="17">
        <f>ROUND(VLOOKUP(H$187&amp;"_1",管理者用人口入力シート!BH:CE,J204,FALSE),0)</f>
        <v>227</v>
      </c>
      <c r="I204" s="17">
        <f>ROUND(VLOOKUP(H$187&amp;"_2",管理者用人口入力シート!BH:CE,J204,FALSE),0)</f>
        <v>272</v>
      </c>
      <c r="J204" s="2">
        <v>19</v>
      </c>
      <c r="N204" s="2" t="s">
        <v>15</v>
      </c>
      <c r="O204" s="17">
        <f>ROUND(VLOOKUP(O$187&amp;"_1",管理者用人口入力シート!CO:DL,Q204,FALSE),0)</f>
        <v>227</v>
      </c>
      <c r="P204" s="17">
        <f>ROUND(VLOOKUP(O$187&amp;"_2",管理者用人口入力シート!CO:DL,Q204,FALSE),0)</f>
        <v>272</v>
      </c>
      <c r="Q204" s="2">
        <v>19</v>
      </c>
    </row>
    <row r="205" spans="7:17" x14ac:dyDescent="0.15">
      <c r="G205" s="2" t="s">
        <v>16</v>
      </c>
      <c r="H205" s="17">
        <f>ROUND(VLOOKUP(H$187&amp;"_1",管理者用人口入力シート!BH:CE,J205,FALSE),0)</f>
        <v>147</v>
      </c>
      <c r="I205" s="17">
        <f>ROUND(VLOOKUP(H$187&amp;"_2",管理者用人口入力シート!BH:CE,J205,FALSE),0)</f>
        <v>228</v>
      </c>
      <c r="J205" s="2">
        <v>20</v>
      </c>
      <c r="N205" s="2" t="s">
        <v>16</v>
      </c>
      <c r="O205" s="17">
        <f>ROUND(VLOOKUP(O$187&amp;"_1",管理者用人口入力シート!CO:DL,Q205,FALSE),0)</f>
        <v>147</v>
      </c>
      <c r="P205" s="17">
        <f>ROUND(VLOOKUP(O$187&amp;"_2",管理者用人口入力シート!CO:DL,Q205,FALSE),0)</f>
        <v>228</v>
      </c>
      <c r="Q205" s="2">
        <v>20</v>
      </c>
    </row>
    <row r="206" spans="7:17" x14ac:dyDescent="0.15">
      <c r="G206" s="2" t="s">
        <v>17</v>
      </c>
      <c r="H206" s="17">
        <f>ROUND(VLOOKUP(H$187&amp;"_1",管理者用人口入力シート!BH:CE,J206,FALSE),0)</f>
        <v>102</v>
      </c>
      <c r="I206" s="17">
        <f>ROUND(VLOOKUP(H$187&amp;"_2",管理者用人口入力シート!BH:CE,J206,FALSE),0)</f>
        <v>168</v>
      </c>
      <c r="J206" s="2">
        <v>21</v>
      </c>
      <c r="N206" s="2" t="s">
        <v>17</v>
      </c>
      <c r="O206" s="17">
        <f>ROUND(VLOOKUP(O$187&amp;"_1",管理者用人口入力シート!CO:DL,Q206,FALSE),0)</f>
        <v>102</v>
      </c>
      <c r="P206" s="17">
        <f>ROUND(VLOOKUP(O$187&amp;"_2",管理者用人口入力シート!CO:DL,Q206,FALSE),0)</f>
        <v>168</v>
      </c>
      <c r="Q206" s="2">
        <v>21</v>
      </c>
    </row>
    <row r="207" spans="7:17" x14ac:dyDescent="0.15">
      <c r="G207" s="2" t="s">
        <v>18</v>
      </c>
      <c r="H207" s="17">
        <f>ROUND(VLOOKUP(H$187&amp;"_1",管理者用人口入力シート!BH:CE,J207,FALSE),0)</f>
        <v>60</v>
      </c>
      <c r="I207" s="17">
        <f>ROUND(VLOOKUP(H$187&amp;"_2",管理者用人口入力シート!BH:CE,J207,FALSE),0)</f>
        <v>121</v>
      </c>
      <c r="J207" s="2">
        <v>22</v>
      </c>
      <c r="N207" s="2" t="s">
        <v>18</v>
      </c>
      <c r="O207" s="17">
        <f>ROUND(VLOOKUP(O$187&amp;"_1",管理者用人口入力シート!CO:DL,Q207,FALSE),0)</f>
        <v>60</v>
      </c>
      <c r="P207" s="17">
        <f>ROUND(VLOOKUP(O$187&amp;"_2",管理者用人口入力シート!CO:DL,Q207,FALSE),0)</f>
        <v>121</v>
      </c>
      <c r="Q207" s="2">
        <v>22</v>
      </c>
    </row>
    <row r="208" spans="7:17" x14ac:dyDescent="0.15">
      <c r="G208" s="2" t="s">
        <v>19</v>
      </c>
      <c r="H208" s="17">
        <f>ROUND(VLOOKUP(H$187&amp;"_1",管理者用人口入力シート!BH:CE,J208,FALSE),0)</f>
        <v>15</v>
      </c>
      <c r="I208" s="17">
        <f>ROUND(VLOOKUP(H$187&amp;"_2",管理者用人口入力シート!BH:CE,J208,FALSE),0)</f>
        <v>42</v>
      </c>
      <c r="J208" s="2">
        <v>23</v>
      </c>
      <c r="N208" s="2" t="s">
        <v>19</v>
      </c>
      <c r="O208" s="17">
        <f>ROUND(VLOOKUP(O$187&amp;"_1",管理者用人口入力シート!CO:DL,Q208,FALSE),0)</f>
        <v>15</v>
      </c>
      <c r="P208" s="17">
        <f>ROUND(VLOOKUP(O$187&amp;"_2",管理者用人口入力シート!CO:DL,Q208,FALSE),0)</f>
        <v>42</v>
      </c>
      <c r="Q208" s="2">
        <v>23</v>
      </c>
    </row>
    <row r="209" spans="7:17" x14ac:dyDescent="0.15">
      <c r="G209" s="2" t="s">
        <v>20</v>
      </c>
      <c r="H209" s="17">
        <f>ROUND(VLOOKUP(H$187&amp;"_1",管理者用人口入力シート!BH:CE,J209,FALSE),0)</f>
        <v>0</v>
      </c>
      <c r="I209" s="17">
        <f>ROUND(VLOOKUP(H$187&amp;"_2",管理者用人口入力シート!BH:CE,J209,FALSE),0)</f>
        <v>12</v>
      </c>
      <c r="J209" s="2">
        <v>24</v>
      </c>
      <c r="N209" s="2" t="s">
        <v>20</v>
      </c>
      <c r="O209" s="17">
        <f>ROUND(VLOOKUP(O$187&amp;"_1",管理者用人口入力シート!CO:DL,Q209,FALSE),0)</f>
        <v>0</v>
      </c>
      <c r="P209" s="17">
        <f>ROUND(VLOOKUP(O$187&amp;"_2",管理者用人口入力シート!CO:DL,Q209,FALSE),0)</f>
        <v>12</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277</v>
      </c>
      <c r="P214" s="17">
        <f>O93+P93</f>
        <v>280</v>
      </c>
      <c r="Q214" s="2">
        <v>4</v>
      </c>
    </row>
    <row r="215" spans="7:17" x14ac:dyDescent="0.15">
      <c r="N215" s="2" t="s">
        <v>1</v>
      </c>
      <c r="O215" s="17">
        <f t="shared" ref="O215:O233" si="37">H94+I94</f>
        <v>303</v>
      </c>
      <c r="P215" s="17">
        <f t="shared" ref="P215:P233" si="38">O94+P94</f>
        <v>305</v>
      </c>
      <c r="Q215" s="2">
        <v>5</v>
      </c>
    </row>
    <row r="216" spans="7:17" x14ac:dyDescent="0.15">
      <c r="N216" s="2" t="s">
        <v>2</v>
      </c>
      <c r="O216" s="17">
        <f t="shared" si="37"/>
        <v>353</v>
      </c>
      <c r="P216" s="17">
        <f t="shared" si="38"/>
        <v>355</v>
      </c>
      <c r="Q216" s="2">
        <v>6</v>
      </c>
    </row>
    <row r="217" spans="7:17" x14ac:dyDescent="0.15">
      <c r="N217" s="2" t="s">
        <v>3</v>
      </c>
      <c r="O217" s="17">
        <f t="shared" si="37"/>
        <v>411</v>
      </c>
      <c r="P217" s="17">
        <f t="shared" si="38"/>
        <v>413</v>
      </c>
      <c r="Q217" s="2">
        <v>7</v>
      </c>
    </row>
    <row r="218" spans="7:17" x14ac:dyDescent="0.15">
      <c r="N218" s="2" t="s">
        <v>4</v>
      </c>
      <c r="O218" s="17">
        <f t="shared" si="37"/>
        <v>330</v>
      </c>
      <c r="P218" s="17">
        <f t="shared" si="38"/>
        <v>330</v>
      </c>
      <c r="Q218" s="2">
        <v>8</v>
      </c>
    </row>
    <row r="219" spans="7:17" x14ac:dyDescent="0.15">
      <c r="N219" s="2" t="s">
        <v>5</v>
      </c>
      <c r="O219" s="17">
        <f t="shared" si="37"/>
        <v>326</v>
      </c>
      <c r="P219" s="17">
        <f t="shared" si="38"/>
        <v>330</v>
      </c>
      <c r="Q219" s="2">
        <v>9</v>
      </c>
    </row>
    <row r="220" spans="7:17" x14ac:dyDescent="0.15">
      <c r="N220" s="2" t="s">
        <v>6</v>
      </c>
      <c r="O220" s="17">
        <f t="shared" si="37"/>
        <v>361</v>
      </c>
      <c r="P220" s="17">
        <f t="shared" si="38"/>
        <v>365</v>
      </c>
      <c r="Q220" s="2">
        <v>10</v>
      </c>
    </row>
    <row r="221" spans="7:17" x14ac:dyDescent="0.15">
      <c r="N221" s="2" t="s">
        <v>7</v>
      </c>
      <c r="O221" s="17">
        <f t="shared" si="37"/>
        <v>397</v>
      </c>
      <c r="P221" s="17">
        <f t="shared" si="38"/>
        <v>397</v>
      </c>
      <c r="Q221" s="2">
        <v>11</v>
      </c>
    </row>
    <row r="222" spans="7:17" x14ac:dyDescent="0.15">
      <c r="N222" s="2" t="s">
        <v>8</v>
      </c>
      <c r="O222" s="17">
        <f t="shared" si="37"/>
        <v>460</v>
      </c>
      <c r="P222" s="17">
        <f t="shared" si="38"/>
        <v>461</v>
      </c>
      <c r="Q222" s="2">
        <v>12</v>
      </c>
    </row>
    <row r="223" spans="7:17" x14ac:dyDescent="0.15">
      <c r="N223" s="2" t="s">
        <v>9</v>
      </c>
      <c r="O223" s="17">
        <f t="shared" si="37"/>
        <v>509</v>
      </c>
      <c r="P223" s="17">
        <f t="shared" si="38"/>
        <v>510</v>
      </c>
      <c r="Q223" s="2">
        <v>13</v>
      </c>
    </row>
    <row r="224" spans="7:17" x14ac:dyDescent="0.15">
      <c r="N224" s="2" t="s">
        <v>10</v>
      </c>
      <c r="O224" s="17">
        <f t="shared" si="37"/>
        <v>640</v>
      </c>
      <c r="P224" s="17">
        <f t="shared" si="38"/>
        <v>640</v>
      </c>
      <c r="Q224" s="2">
        <v>14</v>
      </c>
    </row>
    <row r="225" spans="14:17" x14ac:dyDescent="0.15">
      <c r="N225" s="2" t="s">
        <v>11</v>
      </c>
      <c r="O225" s="17">
        <f t="shared" si="37"/>
        <v>598</v>
      </c>
      <c r="P225" s="17">
        <f t="shared" si="38"/>
        <v>598</v>
      </c>
      <c r="Q225" s="2">
        <v>15</v>
      </c>
    </row>
    <row r="226" spans="14:17" x14ac:dyDescent="0.15">
      <c r="N226" s="2" t="s">
        <v>12</v>
      </c>
      <c r="O226" s="17">
        <f t="shared" si="37"/>
        <v>544</v>
      </c>
      <c r="P226" s="17">
        <f t="shared" si="38"/>
        <v>544</v>
      </c>
      <c r="Q226" s="2">
        <v>16</v>
      </c>
    </row>
    <row r="227" spans="14:17" x14ac:dyDescent="0.15">
      <c r="N227" s="2" t="s">
        <v>13</v>
      </c>
      <c r="O227" s="17">
        <f t="shared" si="37"/>
        <v>545</v>
      </c>
      <c r="P227" s="17">
        <f t="shared" si="38"/>
        <v>545</v>
      </c>
      <c r="Q227" s="2">
        <v>17</v>
      </c>
    </row>
    <row r="228" spans="14:17" x14ac:dyDescent="0.15">
      <c r="N228" s="2" t="s">
        <v>14</v>
      </c>
      <c r="O228" s="17">
        <f t="shared" si="37"/>
        <v>593</v>
      </c>
      <c r="P228" s="17">
        <f t="shared" si="38"/>
        <v>593</v>
      </c>
      <c r="Q228" s="2">
        <v>18</v>
      </c>
    </row>
    <row r="229" spans="14:17" x14ac:dyDescent="0.15">
      <c r="N229" s="2" t="s">
        <v>15</v>
      </c>
      <c r="O229" s="17">
        <f t="shared" si="37"/>
        <v>644</v>
      </c>
      <c r="P229" s="17">
        <f t="shared" si="38"/>
        <v>644</v>
      </c>
      <c r="Q229" s="2">
        <v>19</v>
      </c>
    </row>
    <row r="230" spans="14:17" x14ac:dyDescent="0.15">
      <c r="N230" s="2" t="s">
        <v>16</v>
      </c>
      <c r="O230" s="17">
        <f t="shared" si="37"/>
        <v>607</v>
      </c>
      <c r="P230" s="17">
        <f t="shared" si="38"/>
        <v>607</v>
      </c>
      <c r="Q230" s="2">
        <v>20</v>
      </c>
    </row>
    <row r="231" spans="14:17" x14ac:dyDescent="0.15">
      <c r="N231" s="2" t="s">
        <v>17</v>
      </c>
      <c r="O231" s="17">
        <f t="shared" si="37"/>
        <v>346</v>
      </c>
      <c r="P231" s="17">
        <f t="shared" si="38"/>
        <v>346</v>
      </c>
      <c r="Q231" s="2">
        <v>21</v>
      </c>
    </row>
    <row r="232" spans="14:17" x14ac:dyDescent="0.15">
      <c r="N232" s="2" t="s">
        <v>18</v>
      </c>
      <c r="O232" s="17">
        <f t="shared" si="37"/>
        <v>175</v>
      </c>
      <c r="P232" s="17">
        <f t="shared" si="38"/>
        <v>175</v>
      </c>
      <c r="Q232" s="2">
        <v>22</v>
      </c>
    </row>
    <row r="233" spans="14:17" x14ac:dyDescent="0.15">
      <c r="N233" s="2" t="s">
        <v>19</v>
      </c>
      <c r="O233" s="17">
        <f t="shared" si="37"/>
        <v>53</v>
      </c>
      <c r="P233" s="17">
        <f t="shared" si="38"/>
        <v>53</v>
      </c>
      <c r="Q233" s="2">
        <v>23</v>
      </c>
    </row>
    <row r="234" spans="14:17" x14ac:dyDescent="0.15">
      <c r="N234" s="2" t="s">
        <v>20</v>
      </c>
      <c r="O234" s="17">
        <f>H113+I113</f>
        <v>9</v>
      </c>
      <c r="P234" s="17">
        <f>O113+P113</f>
        <v>9</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238</v>
      </c>
      <c r="P238" s="17">
        <f>O141+P141</f>
        <v>243</v>
      </c>
      <c r="Q238" s="2">
        <v>4</v>
      </c>
    </row>
    <row r="239" spans="14:17" x14ac:dyDescent="0.15">
      <c r="N239" s="2" t="s">
        <v>1</v>
      </c>
      <c r="O239" s="17">
        <f t="shared" ref="O239:O257" si="39">H142+I142</f>
        <v>250</v>
      </c>
      <c r="P239" s="17">
        <f t="shared" ref="P239:P257" si="40">O142+P142</f>
        <v>254</v>
      </c>
      <c r="Q239" s="2">
        <v>5</v>
      </c>
    </row>
    <row r="240" spans="14:17" x14ac:dyDescent="0.15">
      <c r="N240" s="2" t="s">
        <v>2</v>
      </c>
      <c r="O240" s="17">
        <f t="shared" si="39"/>
        <v>263</v>
      </c>
      <c r="P240" s="17">
        <f t="shared" si="40"/>
        <v>268</v>
      </c>
      <c r="Q240" s="2">
        <v>6</v>
      </c>
    </row>
    <row r="241" spans="14:17" x14ac:dyDescent="0.15">
      <c r="N241" s="2" t="s">
        <v>3</v>
      </c>
      <c r="O241" s="17">
        <f t="shared" si="39"/>
        <v>285</v>
      </c>
      <c r="P241" s="17">
        <f t="shared" si="40"/>
        <v>289</v>
      </c>
      <c r="Q241" s="2">
        <v>7</v>
      </c>
    </row>
    <row r="242" spans="14:17" x14ac:dyDescent="0.15">
      <c r="N242" s="2" t="s">
        <v>4</v>
      </c>
      <c r="O242" s="17">
        <f t="shared" si="39"/>
        <v>262</v>
      </c>
      <c r="P242" s="17">
        <f t="shared" si="40"/>
        <v>264</v>
      </c>
      <c r="Q242" s="2">
        <v>8</v>
      </c>
    </row>
    <row r="243" spans="14:17" x14ac:dyDescent="0.15">
      <c r="N243" s="2" t="s">
        <v>5</v>
      </c>
      <c r="O243" s="17">
        <f t="shared" si="39"/>
        <v>326</v>
      </c>
      <c r="P243" s="17">
        <f t="shared" si="40"/>
        <v>331</v>
      </c>
      <c r="Q243" s="2">
        <v>9</v>
      </c>
    </row>
    <row r="244" spans="14:17" x14ac:dyDescent="0.15">
      <c r="N244" s="2" t="s">
        <v>6</v>
      </c>
      <c r="O244" s="17">
        <f t="shared" si="39"/>
        <v>322</v>
      </c>
      <c r="P244" s="17">
        <f t="shared" si="40"/>
        <v>326</v>
      </c>
      <c r="Q244" s="2">
        <v>10</v>
      </c>
    </row>
    <row r="245" spans="14:17" x14ac:dyDescent="0.15">
      <c r="N245" s="2" t="s">
        <v>7</v>
      </c>
      <c r="O245" s="17">
        <f t="shared" si="39"/>
        <v>324</v>
      </c>
      <c r="P245" s="17">
        <f t="shared" si="40"/>
        <v>328</v>
      </c>
      <c r="Q245" s="2">
        <v>11</v>
      </c>
    </row>
    <row r="246" spans="14:17" x14ac:dyDescent="0.15">
      <c r="N246" s="2" t="s">
        <v>8</v>
      </c>
      <c r="O246" s="17">
        <f t="shared" si="39"/>
        <v>353</v>
      </c>
      <c r="P246" s="17">
        <f t="shared" si="40"/>
        <v>358</v>
      </c>
      <c r="Q246" s="2">
        <v>12</v>
      </c>
    </row>
    <row r="247" spans="14:17" x14ac:dyDescent="0.15">
      <c r="N247" s="2" t="s">
        <v>9</v>
      </c>
      <c r="O247" s="17">
        <f t="shared" si="39"/>
        <v>371</v>
      </c>
      <c r="P247" s="17">
        <f t="shared" si="40"/>
        <v>372</v>
      </c>
      <c r="Q247" s="2">
        <v>13</v>
      </c>
    </row>
    <row r="248" spans="14:17" x14ac:dyDescent="0.15">
      <c r="N248" s="2" t="s">
        <v>10</v>
      </c>
      <c r="O248" s="17">
        <f t="shared" si="39"/>
        <v>451</v>
      </c>
      <c r="P248" s="17">
        <f t="shared" si="40"/>
        <v>452</v>
      </c>
      <c r="Q248" s="2">
        <v>14</v>
      </c>
    </row>
    <row r="249" spans="14:17" x14ac:dyDescent="0.15">
      <c r="N249" s="2" t="s">
        <v>11</v>
      </c>
      <c r="O249" s="17">
        <f t="shared" si="39"/>
        <v>490</v>
      </c>
      <c r="P249" s="17">
        <f t="shared" si="40"/>
        <v>491</v>
      </c>
      <c r="Q249" s="2">
        <v>15</v>
      </c>
    </row>
    <row r="250" spans="14:17" x14ac:dyDescent="0.15">
      <c r="N250" s="2" t="s">
        <v>12</v>
      </c>
      <c r="O250" s="17">
        <f t="shared" si="39"/>
        <v>619</v>
      </c>
      <c r="P250" s="17">
        <f t="shared" si="40"/>
        <v>619</v>
      </c>
      <c r="Q250" s="2">
        <v>16</v>
      </c>
    </row>
    <row r="251" spans="14:17" x14ac:dyDescent="0.15">
      <c r="N251" s="2" t="s">
        <v>13</v>
      </c>
      <c r="O251" s="17">
        <f t="shared" si="39"/>
        <v>585</v>
      </c>
      <c r="P251" s="17">
        <f t="shared" si="40"/>
        <v>585</v>
      </c>
      <c r="Q251" s="2">
        <v>17</v>
      </c>
    </row>
    <row r="252" spans="14:17" x14ac:dyDescent="0.15">
      <c r="N252" s="2" t="s">
        <v>14</v>
      </c>
      <c r="O252" s="17">
        <f t="shared" si="39"/>
        <v>503</v>
      </c>
      <c r="P252" s="17">
        <f t="shared" si="40"/>
        <v>503</v>
      </c>
      <c r="Q252" s="2">
        <v>18</v>
      </c>
    </row>
    <row r="253" spans="14:17" x14ac:dyDescent="0.15">
      <c r="N253" s="2" t="s">
        <v>15</v>
      </c>
      <c r="O253" s="17">
        <f t="shared" si="39"/>
        <v>465</v>
      </c>
      <c r="P253" s="17">
        <f t="shared" si="40"/>
        <v>465</v>
      </c>
      <c r="Q253" s="2">
        <v>19</v>
      </c>
    </row>
    <row r="254" spans="14:17" x14ac:dyDescent="0.15">
      <c r="N254" s="2" t="s">
        <v>16</v>
      </c>
      <c r="O254" s="17">
        <f t="shared" si="39"/>
        <v>440</v>
      </c>
      <c r="P254" s="17">
        <f t="shared" si="40"/>
        <v>440</v>
      </c>
      <c r="Q254" s="2">
        <v>20</v>
      </c>
    </row>
    <row r="255" spans="14:17" x14ac:dyDescent="0.15">
      <c r="N255" s="2" t="s">
        <v>17</v>
      </c>
      <c r="O255" s="17">
        <f t="shared" si="39"/>
        <v>374</v>
      </c>
      <c r="P255" s="17">
        <f t="shared" si="40"/>
        <v>374</v>
      </c>
      <c r="Q255" s="2">
        <v>21</v>
      </c>
    </row>
    <row r="256" spans="14:17" x14ac:dyDescent="0.15">
      <c r="N256" s="2" t="s">
        <v>18</v>
      </c>
      <c r="O256" s="17">
        <f t="shared" si="39"/>
        <v>249</v>
      </c>
      <c r="P256" s="17">
        <f t="shared" si="40"/>
        <v>249</v>
      </c>
      <c r="Q256" s="2">
        <v>22</v>
      </c>
    </row>
    <row r="257" spans="14:17" x14ac:dyDescent="0.15">
      <c r="N257" s="2" t="s">
        <v>19</v>
      </c>
      <c r="O257" s="17">
        <f t="shared" si="39"/>
        <v>53</v>
      </c>
      <c r="P257" s="17">
        <f t="shared" si="40"/>
        <v>53</v>
      </c>
      <c r="Q257" s="2">
        <v>23</v>
      </c>
    </row>
    <row r="258" spans="14:17" x14ac:dyDescent="0.15">
      <c r="N258" s="2" t="s">
        <v>20</v>
      </c>
      <c r="O258" s="17">
        <f>H161+I161</f>
        <v>9</v>
      </c>
      <c r="P258" s="17">
        <f>O161+P161</f>
        <v>9</v>
      </c>
      <c r="Q258" s="2">
        <v>24</v>
      </c>
    </row>
  </sheetData>
  <mergeCells count="17">
    <mergeCell ref="O163:P163"/>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2019-03-18T12:43:52Z</cp:lastPrinted>
  <dcterms:created xsi:type="dcterms:W3CDTF">2018-08-17T00:57:13Z</dcterms:created>
  <dcterms:modified xsi:type="dcterms:W3CDTF">2023-03-06T07:49:17Z</dcterms:modified>
</cp:coreProperties>
</file>