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Canj9iL3R/VHNipfcmaZqYmrrfoIuBZ4XGuuoKHoln8E2BFLzaPrBvVCO6GMJdnV37z1EPcKn1NrsY3s4rCeA==" workbookSaltValue="r+apRLrKxAYuLNWf+7V81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22" l="1"/>
  <c r="CI5" i="22" s="1"/>
  <c r="CJ4" i="22"/>
  <c r="CI4" i="22"/>
  <c r="CH4" i="22"/>
  <c r="CG4" i="22"/>
  <c r="CF4" i="22"/>
  <c r="CE4" i="22"/>
  <c r="CD4" i="22"/>
  <c r="CC4" i="22"/>
  <c r="BI4" i="22"/>
  <c r="BH4" i="22"/>
  <c r="CA4" i="22" s="1"/>
  <c r="BG4" i="22"/>
  <c r="BF4" i="22"/>
  <c r="BE4" i="22"/>
  <c r="BD4" i="22"/>
  <c r="BC4" i="22"/>
  <c r="BB4" i="22"/>
  <c r="BA4" i="22"/>
  <c r="AZ4" i="22"/>
  <c r="BS4" i="22" s="1"/>
  <c r="AY4" i="22"/>
  <c r="AX4" i="22"/>
  <c r="AW4" i="22"/>
  <c r="AV4" i="22"/>
  <c r="BO4" i="22" s="1"/>
  <c r="AU4" i="22"/>
  <c r="AT4" i="22"/>
  <c r="AS4" i="22"/>
  <c r="AR4" i="22"/>
  <c r="BK4" i="22" s="1"/>
  <c r="AQ4" i="22"/>
  <c r="AP4" i="22"/>
  <c r="AH4" i="22"/>
  <c r="AG4" i="22"/>
  <c r="AF4" i="22"/>
  <c r="AE4" i="22"/>
  <c r="AD4" i="22"/>
  <c r="AB4" i="22"/>
  <c r="AA4" i="22"/>
  <c r="Z4" i="22"/>
  <c r="Y4" i="22"/>
  <c r="X4" i="22"/>
  <c r="V4" i="22"/>
  <c r="U4" i="22"/>
  <c r="T4" i="22"/>
  <c r="S4" i="22"/>
  <c r="W4" i="22" s="1"/>
  <c r="AM4" i="22" s="1"/>
  <c r="R4" i="22"/>
  <c r="N4" i="22"/>
  <c r="M4" i="22"/>
  <c r="P4" i="22" s="1"/>
  <c r="L4" i="22"/>
  <c r="K4" i="22"/>
  <c r="G4" i="22"/>
  <c r="J4" i="22" s="1"/>
  <c r="F4" i="22"/>
  <c r="E4" i="22"/>
  <c r="D4" i="22"/>
  <c r="B87" i="18"/>
  <c r="B6" i="18"/>
  <c r="B36" i="18" s="1"/>
  <c r="AF20" i="17"/>
  <c r="AC20" i="17"/>
  <c r="AB20" i="17"/>
  <c r="AA20" i="17"/>
  <c r="Z20" i="17"/>
  <c r="Y20" i="17"/>
  <c r="A20" i="17"/>
  <c r="AF19" i="17"/>
  <c r="AC19" i="17"/>
  <c r="AE19" i="17" s="1"/>
  <c r="AB19" i="17"/>
  <c r="AA19" i="17"/>
  <c r="Z19" i="17"/>
  <c r="Y19" i="17"/>
  <c r="A19" i="17"/>
  <c r="AF18" i="17"/>
  <c r="AC18" i="17"/>
  <c r="AB18" i="17"/>
  <c r="AA18" i="17"/>
  <c r="Z18" i="17"/>
  <c r="Y18" i="17"/>
  <c r="A18" i="17"/>
  <c r="AF17" i="17"/>
  <c r="AC17" i="17"/>
  <c r="AB17" i="17"/>
  <c r="AD17" i="17" s="1"/>
  <c r="AA17" i="17"/>
  <c r="Z17" i="17"/>
  <c r="Y17" i="17"/>
  <c r="AE17" i="17" s="1"/>
  <c r="A17" i="17"/>
  <c r="AF16" i="17"/>
  <c r="AC16" i="17"/>
  <c r="AB16" i="17"/>
  <c r="AA16" i="17"/>
  <c r="Z16" i="17"/>
  <c r="Y16" i="17"/>
  <c r="A16" i="17"/>
  <c r="AF15" i="17"/>
  <c r="AC15" i="17"/>
  <c r="AE15" i="17" s="1"/>
  <c r="AB15" i="17"/>
  <c r="AD15" i="17" s="1"/>
  <c r="AA15" i="17"/>
  <c r="Z15" i="17"/>
  <c r="Y15" i="17"/>
  <c r="A15" i="17"/>
  <c r="AF14" i="17"/>
  <c r="AC14" i="17"/>
  <c r="AB14" i="17"/>
  <c r="AA14" i="17"/>
  <c r="Z14" i="17"/>
  <c r="Y14" i="17"/>
  <c r="A14" i="17"/>
  <c r="AF13" i="17"/>
  <c r="AD13" i="17"/>
  <c r="AC13" i="17"/>
  <c r="AB13" i="17"/>
  <c r="AA13" i="17"/>
  <c r="Z13" i="17"/>
  <c r="Y13" i="17"/>
  <c r="A13" i="17"/>
  <c r="AK12"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B9" i="17"/>
  <c r="AA9" i="17"/>
  <c r="Z9" i="17"/>
  <c r="Y9" i="17"/>
  <c r="AD9" i="17" s="1"/>
  <c r="A9" i="17"/>
  <c r="AF8" i="17"/>
  <c r="AC8" i="17"/>
  <c r="AB8" i="17"/>
  <c r="AA8" i="17"/>
  <c r="Z8" i="17"/>
  <c r="Y8" i="17"/>
  <c r="A8" i="17"/>
  <c r="AK7" i="17"/>
  <c r="AK8" i="17" s="1"/>
  <c r="AF7" i="17"/>
  <c r="AC7" i="17"/>
  <c r="AB7" i="17"/>
  <c r="AA7" i="17"/>
  <c r="Z7" i="17"/>
  <c r="Y7" i="17"/>
  <c r="A7" i="17"/>
  <c r="AF6" i="17"/>
  <c r="AC6" i="17"/>
  <c r="AB6" i="17"/>
  <c r="AA6" i="17"/>
  <c r="Z6" i="17"/>
  <c r="Y6" i="17"/>
  <c r="A6" i="17"/>
  <c r="AF5" i="17"/>
  <c r="AC5" i="17"/>
  <c r="AB5" i="17"/>
  <c r="AA5" i="17"/>
  <c r="Z5" i="17"/>
  <c r="Y5" i="17"/>
  <c r="A5" i="17"/>
  <c r="AF4" i="17"/>
  <c r="AC4" i="17"/>
  <c r="AB4" i="17"/>
  <c r="AA4" i="17"/>
  <c r="Z4" i="17"/>
  <c r="Y4" i="17"/>
  <c r="AE4" i="17" s="1"/>
  <c r="A4" i="17"/>
  <c r="AK3" i="17"/>
  <c r="AK4" i="17" s="1"/>
  <c r="AF3" i="17"/>
  <c r="AC3" i="17"/>
  <c r="AB3" i="17"/>
  <c r="AA3" i="17"/>
  <c r="Z3" i="17"/>
  <c r="Y3" i="17"/>
  <c r="A3" i="17"/>
  <c r="A1" i="17"/>
  <c r="C96" i="18" s="1"/>
  <c r="B13" i="16"/>
  <c r="H187" i="18" s="1"/>
  <c r="B12" i="16"/>
  <c r="B11" i="16"/>
  <c r="CP12" i="17" s="1"/>
  <c r="B10" i="16"/>
  <c r="BI9" i="17" s="1"/>
  <c r="B9" i="16"/>
  <c r="H91" i="18" s="1"/>
  <c r="A102" i="19" s="1"/>
  <c r="B8" i="16"/>
  <c r="CP3" i="17" s="1"/>
  <c r="B7" i="16"/>
  <c r="B39" i="18" s="1"/>
  <c r="B6" i="16"/>
  <c r="A138" i="24"/>
  <c r="A104" i="24"/>
  <c r="A36" i="24"/>
  <c r="C13" i="24"/>
  <c r="C12" i="24"/>
  <c r="A47" i="21"/>
  <c r="A44" i="21"/>
  <c r="A43" i="21"/>
  <c r="G39" i="21"/>
  <c r="B32" i="21"/>
  <c r="B31" i="21"/>
  <c r="A137" i="19"/>
  <c r="A103" i="19"/>
  <c r="A73" i="19"/>
  <c r="C41" i="19"/>
  <c r="C40" i="19"/>
  <c r="A11" i="19"/>
  <c r="A10" i="19"/>
  <c r="A7" i="19"/>
  <c r="A134" i="15"/>
  <c r="A104" i="15"/>
  <c r="A6" i="15"/>
  <c r="BT4" i="22" l="1"/>
  <c r="AE13" i="17"/>
  <c r="AE14" i="17"/>
  <c r="BZ4" i="22"/>
  <c r="CM4" i="22"/>
  <c r="AD19" i="17"/>
  <c r="CN4" i="22"/>
  <c r="AD18" i="17"/>
  <c r="AD12" i="17"/>
  <c r="A6" i="24"/>
  <c r="AJ5" i="17"/>
  <c r="AJ6" i="17" s="1"/>
  <c r="H6" i="18"/>
  <c r="H16" i="18" s="1"/>
  <c r="G36" i="21"/>
  <c r="AD14" i="17"/>
  <c r="CL4" i="22"/>
  <c r="I4" i="22"/>
  <c r="BW4" i="22"/>
  <c r="B12" i="18"/>
  <c r="O4" i="22"/>
  <c r="B22" i="18"/>
  <c r="Q4" i="22"/>
  <c r="B32" i="18"/>
  <c r="BL4" i="22"/>
  <c r="O6" i="18"/>
  <c r="O16" i="18" s="1"/>
  <c r="AE18" i="17"/>
  <c r="BP4" i="22"/>
  <c r="BX4" i="22"/>
  <c r="K5" i="22"/>
  <c r="BI3" i="17"/>
  <c r="BI4" i="17" s="1"/>
  <c r="BI5" i="17" s="1"/>
  <c r="BH5" i="17" s="1"/>
  <c r="AD7" i="17"/>
  <c r="H4" i="22"/>
  <c r="CB4" i="22"/>
  <c r="CP4" i="17"/>
  <c r="CO3" i="17"/>
  <c r="BI10" i="17"/>
  <c r="BH9" i="17"/>
  <c r="A6" i="19"/>
  <c r="G37" i="21"/>
  <c r="BI12" i="17"/>
  <c r="O139" i="18"/>
  <c r="DX12" i="17"/>
  <c r="DX6" i="17"/>
  <c r="AJ7" i="17"/>
  <c r="AJ8" i="17" s="1"/>
  <c r="AE12" i="17"/>
  <c r="B4" i="18"/>
  <c r="O42" i="18"/>
  <c r="O34" i="18"/>
  <c r="AK4" i="22"/>
  <c r="AC4" i="22"/>
  <c r="AN4" i="22" s="1"/>
  <c r="CP4" i="22"/>
  <c r="O115" i="18"/>
  <c r="DX9" i="17"/>
  <c r="H115" i="18"/>
  <c r="CP9" i="17"/>
  <c r="H9" i="18"/>
  <c r="CO12" i="17"/>
  <c r="CP13" i="17"/>
  <c r="AE16" i="17"/>
  <c r="G38" i="21"/>
  <c r="A46" i="21"/>
  <c r="O67" i="18"/>
  <c r="H67" i="18"/>
  <c r="H7" i="18"/>
  <c r="O163" i="18"/>
  <c r="H163" i="18"/>
  <c r="CP15" i="17"/>
  <c r="BH3" i="17"/>
  <c r="DX3" i="17"/>
  <c r="BH4" i="17"/>
  <c r="BI15" i="17"/>
  <c r="AD20" i="17"/>
  <c r="AL4" i="22"/>
  <c r="AI4" i="22"/>
  <c r="AO4" i="22" s="1"/>
  <c r="AJ4" i="22"/>
  <c r="B5" i="18"/>
  <c r="AK5" i="17"/>
  <c r="AK6" i="17" s="1"/>
  <c r="AJ3" i="17"/>
  <c r="AJ4" i="17" s="1"/>
  <c r="AS4" i="17" s="1"/>
  <c r="H8" i="18"/>
  <c r="CP6" i="17"/>
  <c r="O91" i="18"/>
  <c r="BI6" i="17"/>
  <c r="BI18" i="17"/>
  <c r="O187" i="18"/>
  <c r="CP18" i="17"/>
  <c r="AD4" i="17"/>
  <c r="AD16" i="17"/>
  <c r="AE20" i="17"/>
  <c r="H10" i="18"/>
  <c r="B63" i="18"/>
  <c r="C83" i="18" s="1"/>
  <c r="H139" i="18"/>
  <c r="A136" i="19" s="1"/>
  <c r="BM4" i="22"/>
  <c r="BQ4" i="22"/>
  <c r="BU4" i="22"/>
  <c r="BY4" i="22"/>
  <c r="CK4" i="22"/>
  <c r="CO4" i="22"/>
  <c r="AA5" i="22"/>
  <c r="B16" i="18"/>
  <c r="B26" i="18"/>
  <c r="BJ4" i="22"/>
  <c r="BN4" i="22"/>
  <c r="BR4" i="22"/>
  <c r="BV4" i="22"/>
  <c r="BW5" i="22"/>
  <c r="AD6" i="17"/>
  <c r="CM5" i="22"/>
  <c r="AE11" i="17"/>
  <c r="AE5" i="17"/>
  <c r="AE6" i="17"/>
  <c r="AD11" i="17"/>
  <c r="AQ5" i="22"/>
  <c r="BG5" i="22"/>
  <c r="AD8" i="17"/>
  <c r="AE8" i="17"/>
  <c r="AD10" i="17"/>
  <c r="AD3" i="17"/>
  <c r="AE10" i="17"/>
  <c r="AE3" i="17"/>
  <c r="AD5" i="17"/>
  <c r="AE7" i="17"/>
  <c r="AE9" i="17"/>
  <c r="BA4" i="17"/>
  <c r="BB5" i="17"/>
  <c r="AU6" i="17"/>
  <c r="C54" i="18"/>
  <c r="O5" i="22"/>
  <c r="AU5" i="22"/>
  <c r="BK5" i="22"/>
  <c r="AP5" i="17"/>
  <c r="AK14" i="17"/>
  <c r="B61" i="18"/>
  <c r="C5" i="22"/>
  <c r="B4" i="16" s="1"/>
  <c r="S5" i="22"/>
  <c r="AI5" i="22"/>
  <c r="AY5" i="22"/>
  <c r="BO5" i="22"/>
  <c r="CE5" i="22"/>
  <c r="C89" i="18"/>
  <c r="AE5" i="22"/>
  <c r="CA5" i="22"/>
  <c r="AN3" i="17"/>
  <c r="AR3" i="17"/>
  <c r="AT5" i="17"/>
  <c r="AM6" i="17"/>
  <c r="G5" i="22"/>
  <c r="W5" i="22"/>
  <c r="E70" i="24" s="1"/>
  <c r="AM5" i="22"/>
  <c r="BC5" i="22"/>
  <c r="BS5" i="22"/>
  <c r="B109" i="18"/>
  <c r="B107" i="18"/>
  <c r="B105" i="18"/>
  <c r="B103" i="18"/>
  <c r="B101" i="18"/>
  <c r="B99" i="18"/>
  <c r="B97" i="18"/>
  <c r="B95" i="18"/>
  <c r="B93" i="18"/>
  <c r="B90" i="18"/>
  <c r="C109" i="18"/>
  <c r="C107" i="18"/>
  <c r="C105" i="18"/>
  <c r="C103" i="18"/>
  <c r="C101" i="18"/>
  <c r="C99" i="18"/>
  <c r="C97" i="18"/>
  <c r="C95" i="18"/>
  <c r="C93" i="18"/>
  <c r="C90" i="18"/>
  <c r="B108" i="18"/>
  <c r="B104" i="18"/>
  <c r="B100" i="18"/>
  <c r="B96" i="18"/>
  <c r="B76" i="18"/>
  <c r="B68" i="18"/>
  <c r="C60" i="18"/>
  <c r="C58" i="18"/>
  <c r="C55" i="18"/>
  <c r="B54" i="18"/>
  <c r="C52" i="18"/>
  <c r="C50" i="18"/>
  <c r="C48" i="18"/>
  <c r="C45" i="18"/>
  <c r="B44" i="18"/>
  <c r="C42" i="18"/>
  <c r="B106" i="18"/>
  <c r="B102" i="18"/>
  <c r="B98" i="18"/>
  <c r="B94" i="18"/>
  <c r="B92" i="18"/>
  <c r="B91" i="18"/>
  <c r="B89" i="18"/>
  <c r="B83" i="18"/>
  <c r="C61" i="18"/>
  <c r="C59" i="18"/>
  <c r="C57" i="18"/>
  <c r="B56" i="18"/>
  <c r="C53" i="18"/>
  <c r="C51" i="18"/>
  <c r="C49" i="18"/>
  <c r="C47" i="18"/>
  <c r="B46" i="18"/>
  <c r="C43" i="18"/>
  <c r="C41" i="18"/>
  <c r="C106" i="18"/>
  <c r="C98" i="18"/>
  <c r="C92" i="18"/>
  <c r="B60" i="18"/>
  <c r="C56" i="18"/>
  <c r="B55" i="18"/>
  <c r="B52" i="18"/>
  <c r="B48" i="18"/>
  <c r="C12" i="18"/>
  <c r="C102" i="18"/>
  <c r="C94" i="18"/>
  <c r="B58" i="18"/>
  <c r="B50" i="18"/>
  <c r="C46" i="18"/>
  <c r="B45" i="18"/>
  <c r="B42" i="18"/>
  <c r="C16" i="18"/>
  <c r="C108" i="18"/>
  <c r="B43" i="18"/>
  <c r="C100" i="18"/>
  <c r="C91" i="18"/>
  <c r="B59" i="18"/>
  <c r="B53" i="18"/>
  <c r="B49" i="18"/>
  <c r="AT3" i="17"/>
  <c r="AM4" i="17"/>
  <c r="BC4" i="17"/>
  <c r="AN5" i="17"/>
  <c r="AR5" i="17"/>
  <c r="AV5" i="17"/>
  <c r="AZ5" i="17"/>
  <c r="BD5" i="17"/>
  <c r="AO6" i="17"/>
  <c r="AS6" i="17"/>
  <c r="AW6" i="17"/>
  <c r="BA6" i="17"/>
  <c r="BE6" i="17"/>
  <c r="B41" i="18"/>
  <c r="B47" i="18"/>
  <c r="AU3" i="17"/>
  <c r="AR4" i="17"/>
  <c r="AO5" i="17"/>
  <c r="AS5" i="17"/>
  <c r="AW5" i="17"/>
  <c r="BA5" i="17"/>
  <c r="BE5" i="17"/>
  <c r="AP6" i="17"/>
  <c r="AT6" i="17"/>
  <c r="AX6" i="17"/>
  <c r="BB6" i="17"/>
  <c r="BF6" i="17"/>
  <c r="C104" i="18"/>
  <c r="AO3" i="17"/>
  <c r="BE3" i="17"/>
  <c r="BB4" i="17"/>
  <c r="AM5" i="17"/>
  <c r="AQ5" i="17"/>
  <c r="AU5" i="17"/>
  <c r="AY5" i="17"/>
  <c r="BC5" i="17"/>
  <c r="AN6" i="17"/>
  <c r="AR6" i="17"/>
  <c r="AV6" i="17"/>
  <c r="AZ6" i="17"/>
  <c r="BD6" i="17"/>
  <c r="AK13" i="17"/>
  <c r="DW15" i="17" s="1"/>
  <c r="C44" i="18"/>
  <c r="B51" i="18"/>
  <c r="B57" i="18"/>
  <c r="C69"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O60" i="18" l="1"/>
  <c r="BC6" i="17"/>
  <c r="H34" i="18"/>
  <c r="H60" i="18"/>
  <c r="H24" i="18"/>
  <c r="B73" i="18"/>
  <c r="H42" i="18"/>
  <c r="H52" i="18"/>
  <c r="BF5" i="17"/>
  <c r="C73" i="18"/>
  <c r="AX5" i="17"/>
  <c r="BC8" i="17"/>
  <c r="CB4" i="17" s="1"/>
  <c r="I86" i="18" s="1"/>
  <c r="C74" i="18"/>
  <c r="AY6" i="17"/>
  <c r="AQ6" i="17"/>
  <c r="C85" i="18"/>
  <c r="B80" i="18"/>
  <c r="O52" i="18"/>
  <c r="O24" i="18"/>
  <c r="BI7" i="17"/>
  <c r="BH6" i="17"/>
  <c r="CO13" i="17"/>
  <c r="CP14" i="17"/>
  <c r="CO14" i="17" s="1"/>
  <c r="O236" i="18"/>
  <c r="B245" i="21" s="1"/>
  <c r="A177" i="21"/>
  <c r="AX4" i="17"/>
  <c r="AX8" i="17" s="1"/>
  <c r="BW4" i="17" s="1"/>
  <c r="DD4" i="17" s="1"/>
  <c r="BA3" i="17"/>
  <c r="BA7" i="17" s="1"/>
  <c r="BZ3" i="17" s="1"/>
  <c r="BD4" i="17"/>
  <c r="AN4" i="17"/>
  <c r="AN8" i="17" s="1"/>
  <c r="BM4" i="17" s="1"/>
  <c r="AQ3" i="17"/>
  <c r="AQ7" i="17" s="1"/>
  <c r="BP3" i="17" s="1"/>
  <c r="AY4" i="17"/>
  <c r="BF3" i="17"/>
  <c r="AP3" i="17"/>
  <c r="C71" i="18"/>
  <c r="C67" i="18"/>
  <c r="C72" i="18"/>
  <c r="C66" i="18"/>
  <c r="C84" i="18"/>
  <c r="B66" i="18"/>
  <c r="B75" i="18"/>
  <c r="B70" i="18"/>
  <c r="B81" i="18"/>
  <c r="B82" i="18"/>
  <c r="C79" i="18"/>
  <c r="AW4" i="17"/>
  <c r="AO4" i="17"/>
  <c r="AO8" i="17" s="1"/>
  <c r="BN4" i="17" s="1"/>
  <c r="EC4" i="17" s="1"/>
  <c r="AZ3" i="17"/>
  <c r="AZ7" i="17" s="1"/>
  <c r="BY3" i="17" s="1"/>
  <c r="H64" i="18"/>
  <c r="H38" i="18"/>
  <c r="A69" i="19" s="1"/>
  <c r="H28" i="18"/>
  <c r="H46" i="18"/>
  <c r="O10" i="18"/>
  <c r="H56" i="18"/>
  <c r="H20" i="18"/>
  <c r="A35" i="19" s="1"/>
  <c r="CP19" i="17"/>
  <c r="CO18" i="17"/>
  <c r="O212" i="18"/>
  <c r="B210" i="21" s="1"/>
  <c r="A144" i="21"/>
  <c r="DX4" i="17"/>
  <c r="DX5" i="17" s="1"/>
  <c r="DX20" i="17"/>
  <c r="DX21" i="17" s="1"/>
  <c r="DX22" i="17" s="1"/>
  <c r="DX26" i="17"/>
  <c r="DX27" i="17" s="1"/>
  <c r="DX28" i="17" s="1"/>
  <c r="DX10" i="17"/>
  <c r="DX11" i="17" s="1"/>
  <c r="BH12" i="17"/>
  <c r="BI13" i="17"/>
  <c r="BI11" i="17"/>
  <c r="BH11" i="17" s="1"/>
  <c r="BH10" i="17"/>
  <c r="AT4" i="17"/>
  <c r="AT8" i="17" s="1"/>
  <c r="BS4" i="17" s="1"/>
  <c r="AW3" i="17"/>
  <c r="AW7" i="17" s="1"/>
  <c r="BV3" i="17" s="1"/>
  <c r="C77" i="18"/>
  <c r="AZ4" i="17"/>
  <c r="AZ8" i="17" s="1"/>
  <c r="BY4" i="17" s="1"/>
  <c r="BC3" i="17"/>
  <c r="BC7" i="17" s="1"/>
  <c r="CB3" i="17" s="1"/>
  <c r="AM3" i="17"/>
  <c r="AM7" i="17" s="1"/>
  <c r="BL3" i="17" s="1"/>
  <c r="H70" i="18" s="1"/>
  <c r="AU4" i="17"/>
  <c r="AU8" i="17" s="1"/>
  <c r="BT4" i="17" s="1"/>
  <c r="DA4" i="17" s="1"/>
  <c r="BB3" i="17"/>
  <c r="BB7" i="17" s="1"/>
  <c r="CA3" i="17" s="1"/>
  <c r="H85" i="18" s="1"/>
  <c r="C75" i="18"/>
  <c r="C76" i="18"/>
  <c r="C68" i="18"/>
  <c r="B69" i="18"/>
  <c r="B77" i="18"/>
  <c r="B65" i="18"/>
  <c r="B72" i="18"/>
  <c r="B85" i="18"/>
  <c r="B84" i="18"/>
  <c r="C81" i="18"/>
  <c r="BE4" i="17"/>
  <c r="BE8" i="17" s="1"/>
  <c r="CD4" i="17" s="1"/>
  <c r="CO6" i="17"/>
  <c r="CP7" i="17"/>
  <c r="B35" i="18"/>
  <c r="B25" i="18"/>
  <c r="B15" i="18"/>
  <c r="C15" i="18" s="1"/>
  <c r="I23" i="18" s="1"/>
  <c r="P23" i="18" s="1"/>
  <c r="B31" i="18"/>
  <c r="B21" i="18"/>
  <c r="B11" i="18"/>
  <c r="C11" i="18" s="1"/>
  <c r="I15" i="18" s="1"/>
  <c r="P15" i="18" s="1"/>
  <c r="H5" i="18"/>
  <c r="H53" i="18"/>
  <c r="O7" i="18"/>
  <c r="H17" i="18"/>
  <c r="H43" i="18"/>
  <c r="H35" i="18"/>
  <c r="H61" i="18"/>
  <c r="H25" i="18"/>
  <c r="H55" i="18"/>
  <c r="O9" i="18"/>
  <c r="H63" i="18"/>
  <c r="H37" i="18"/>
  <c r="H27" i="18"/>
  <c r="H19" i="18"/>
  <c r="H45" i="18"/>
  <c r="DX23" i="17"/>
  <c r="DX24" i="17" s="1"/>
  <c r="DX25" i="17" s="1"/>
  <c r="DX7" i="17"/>
  <c r="DX8" i="17" s="1"/>
  <c r="C82" i="18"/>
  <c r="BF4" i="17"/>
  <c r="AP4" i="17"/>
  <c r="AP8" i="17" s="1"/>
  <c r="BO4" i="17" s="1"/>
  <c r="AS3" i="17"/>
  <c r="AS7" i="17" s="1"/>
  <c r="BR3" i="17" s="1"/>
  <c r="H76" i="18" s="1"/>
  <c r="AV4" i="17"/>
  <c r="AV8" i="17" s="1"/>
  <c r="BU4" i="17" s="1"/>
  <c r="AY3" i="17"/>
  <c r="AY7" i="17" s="1"/>
  <c r="BX3" i="17" s="1"/>
  <c r="C65" i="18"/>
  <c r="AQ4" i="17"/>
  <c r="AQ8" i="17" s="1"/>
  <c r="BP4" i="17" s="1"/>
  <c r="AX3" i="17"/>
  <c r="AX7" i="17" s="1"/>
  <c r="BW3" i="17" s="1"/>
  <c r="EL3" i="17" s="1"/>
  <c r="C78" i="18"/>
  <c r="C80" i="18"/>
  <c r="C70" i="18"/>
  <c r="B71" i="18"/>
  <c r="B79" i="18"/>
  <c r="B67" i="18"/>
  <c r="B74" i="18"/>
  <c r="B78" i="18"/>
  <c r="BD3" i="17"/>
  <c r="BD7" i="17" s="1"/>
  <c r="CC3" i="17" s="1"/>
  <c r="H87" i="18" s="1"/>
  <c r="AV3" i="17"/>
  <c r="AV7" i="17" s="1"/>
  <c r="BU3" i="17" s="1"/>
  <c r="BH18" i="17"/>
  <c r="BI19" i="17"/>
  <c r="H36" i="18"/>
  <c r="H26" i="18"/>
  <c r="H18" i="18"/>
  <c r="H62" i="18"/>
  <c r="H44" i="18"/>
  <c r="H54" i="18"/>
  <c r="O8" i="18"/>
  <c r="BH15" i="17"/>
  <c r="BI16" i="17"/>
  <c r="CP16" i="17"/>
  <c r="CO15" i="17"/>
  <c r="CP10" i="17"/>
  <c r="CO9" i="17"/>
  <c r="B20" i="18"/>
  <c r="B10" i="18"/>
  <c r="C10" i="18" s="1"/>
  <c r="I14" i="18" s="1"/>
  <c r="P14" i="18" s="1"/>
  <c r="B30" i="18"/>
  <c r="H4" i="18"/>
  <c r="A7" i="15"/>
  <c r="A39" i="15"/>
  <c r="B34" i="18"/>
  <c r="A135" i="15"/>
  <c r="B14" i="18"/>
  <c r="C14" i="18" s="1"/>
  <c r="I22" i="18" s="1"/>
  <c r="P22" i="18" s="1"/>
  <c r="A73" i="15"/>
  <c r="B24" i="18"/>
  <c r="DX13" i="17"/>
  <c r="DX14" i="17" s="1"/>
  <c r="DX29" i="17"/>
  <c r="DX30" i="17" s="1"/>
  <c r="DX31" i="17" s="1"/>
  <c r="CO4" i="17"/>
  <c r="CP5" i="17"/>
  <c r="CO5" i="17" s="1"/>
  <c r="BA8" i="17"/>
  <c r="BZ4" i="17" s="1"/>
  <c r="EO4" i="17" s="1"/>
  <c r="AN7" i="17"/>
  <c r="BM3" i="17" s="1"/>
  <c r="CT3" i="17" s="1"/>
  <c r="AW8" i="17"/>
  <c r="BV4" i="17" s="1"/>
  <c r="I80" i="18" s="1"/>
  <c r="AT7" i="17"/>
  <c r="BS3" i="17" s="1"/>
  <c r="H77" i="18" s="1"/>
  <c r="AM8" i="17"/>
  <c r="BL4" i="17" s="1"/>
  <c r="I70" i="18" s="1"/>
  <c r="BF8" i="17"/>
  <c r="CE4" i="17" s="1"/>
  <c r="I89" i="18" s="1"/>
  <c r="AS8" i="17"/>
  <c r="BR4" i="17" s="1"/>
  <c r="AP7" i="17"/>
  <c r="BO3" i="17" s="1"/>
  <c r="H73" i="18" s="1"/>
  <c r="A1" i="24"/>
  <c r="A11" i="24" s="1"/>
  <c r="B2" i="15"/>
  <c r="A2" i="19"/>
  <c r="A2" i="21"/>
  <c r="D6" i="18"/>
  <c r="J6" i="18" s="1"/>
  <c r="Q6" i="18" s="1"/>
  <c r="A15" i="25"/>
  <c r="AR7" i="17"/>
  <c r="BQ3" i="17" s="1"/>
  <c r="H75" i="18" s="1"/>
  <c r="BB8" i="17"/>
  <c r="CA4" i="17" s="1"/>
  <c r="I85" i="18" s="1"/>
  <c r="AU7" i="17"/>
  <c r="BT3" i="17" s="1"/>
  <c r="D42" i="24"/>
  <c r="D38" i="24"/>
  <c r="F37" i="24"/>
  <c r="D39" i="24"/>
  <c r="D41" i="24"/>
  <c r="B4" i="22"/>
  <c r="C4" i="22" s="1"/>
  <c r="B3" i="16"/>
  <c r="C4" i="18"/>
  <c r="I24" i="18"/>
  <c r="P24" i="18" s="1"/>
  <c r="F37" i="15"/>
  <c r="C136" i="15"/>
  <c r="AR8" i="17"/>
  <c r="BQ4" i="17" s="1"/>
  <c r="F136" i="15"/>
  <c r="D77" i="24"/>
  <c r="E74" i="24"/>
  <c r="D76" i="24"/>
  <c r="F7" i="24"/>
  <c r="D8" i="24"/>
  <c r="D9" i="24"/>
  <c r="D25" i="24"/>
  <c r="G23" i="24"/>
  <c r="D24" i="24"/>
  <c r="BD8" i="17"/>
  <c r="CC4" i="17" s="1"/>
  <c r="C34" i="18"/>
  <c r="I58" i="18" s="1"/>
  <c r="P58" i="18" s="1"/>
  <c r="C24" i="18"/>
  <c r="I40" i="18" s="1"/>
  <c r="P40" i="18" s="1"/>
  <c r="C6" i="18"/>
  <c r="C36" i="18"/>
  <c r="C26" i="18"/>
  <c r="C137" i="15"/>
  <c r="BE7" i="17"/>
  <c r="CD3" i="17" s="1"/>
  <c r="AO7" i="17"/>
  <c r="BN3" i="17" s="1"/>
  <c r="I16" i="18"/>
  <c r="P16" i="18" s="1"/>
  <c r="F36" i="15"/>
  <c r="D4" i="18"/>
  <c r="J4" i="18" s="1"/>
  <c r="Q4" i="18" s="1"/>
  <c r="C32" i="18"/>
  <c r="C22" i="18"/>
  <c r="C30" i="18"/>
  <c r="I50" i="18" s="1"/>
  <c r="P50" i="18" s="1"/>
  <c r="C20" i="18"/>
  <c r="I32" i="18" s="1"/>
  <c r="P32" i="18" s="1"/>
  <c r="F135" i="15"/>
  <c r="BF7" i="17" l="1"/>
  <c r="CE3" i="17" s="1"/>
  <c r="H89" i="18" s="1"/>
  <c r="D41" i="15"/>
  <c r="DG4" i="17"/>
  <c r="P84" i="18" s="1"/>
  <c r="DI4" i="17"/>
  <c r="P86" i="18" s="1"/>
  <c r="EQ4" i="17"/>
  <c r="ER7" i="17" s="1"/>
  <c r="CB5" i="17"/>
  <c r="CX3" i="17"/>
  <c r="O75" i="18" s="1"/>
  <c r="D40" i="15"/>
  <c r="DL3" i="17"/>
  <c r="C25" i="18"/>
  <c r="I41" i="18" s="1"/>
  <c r="P41" i="18" s="1"/>
  <c r="AY8" i="17"/>
  <c r="BX4" i="17" s="1"/>
  <c r="I82" i="18" s="1"/>
  <c r="CZ3" i="17"/>
  <c r="O77" i="18" s="1"/>
  <c r="EH3" i="17"/>
  <c r="EH20" i="17" s="1"/>
  <c r="C5" i="18"/>
  <c r="CW4" i="17"/>
  <c r="P74" i="18" s="1"/>
  <c r="I74" i="18"/>
  <c r="I78" i="18"/>
  <c r="BP7" i="17"/>
  <c r="BQ10" i="17" s="1"/>
  <c r="C31" i="18"/>
  <c r="I51" i="18" s="1"/>
  <c r="P51" i="18" s="1"/>
  <c r="EI4" i="17"/>
  <c r="EJ7" i="17" s="1"/>
  <c r="D5" i="18"/>
  <c r="J5" i="18" s="1"/>
  <c r="Q5" i="18" s="1"/>
  <c r="DH4" i="17"/>
  <c r="P85" i="18" s="1"/>
  <c r="EP4" i="17"/>
  <c r="EP21" i="17" s="1"/>
  <c r="EK4" i="17"/>
  <c r="EK21" i="17" s="1"/>
  <c r="H71" i="18"/>
  <c r="I77" i="18"/>
  <c r="CZ4" i="17"/>
  <c r="DA7" i="17" s="1"/>
  <c r="EO3" i="17"/>
  <c r="EO20" i="17" s="1"/>
  <c r="BZ5" i="17"/>
  <c r="ES4" i="17"/>
  <c r="ES21" i="17" s="1"/>
  <c r="I88" i="18"/>
  <c r="DK4" i="17"/>
  <c r="P88" i="18" s="1"/>
  <c r="EN3" i="17"/>
  <c r="EN20" i="17" s="1"/>
  <c r="H83" i="18"/>
  <c r="DF3" i="17"/>
  <c r="O83" i="18" s="1"/>
  <c r="DB3" i="17"/>
  <c r="O79" i="18" s="1"/>
  <c r="EJ3" i="17"/>
  <c r="EJ20" i="17" s="1"/>
  <c r="DC4" i="17"/>
  <c r="P80" i="18" s="1"/>
  <c r="ER3" i="17"/>
  <c r="ER20" i="17" s="1"/>
  <c r="EQ3" i="17"/>
  <c r="ER6" i="17" s="1"/>
  <c r="H58" i="18"/>
  <c r="H40" i="18"/>
  <c r="O4" i="18"/>
  <c r="H14" i="18"/>
  <c r="H22" i="18"/>
  <c r="H50" i="18"/>
  <c r="H32" i="18"/>
  <c r="BI17" i="17"/>
  <c r="BH17" i="17" s="1"/>
  <c r="BH16" i="17"/>
  <c r="BS7" i="17"/>
  <c r="BT10" i="17" s="1"/>
  <c r="H51" i="18"/>
  <c r="H33" i="18"/>
  <c r="H23" i="18"/>
  <c r="O5" i="18"/>
  <c r="H41" i="18"/>
  <c r="H15" i="18"/>
  <c r="H59" i="18"/>
  <c r="C35" i="18"/>
  <c r="I59" i="18" s="1"/>
  <c r="P59" i="18" s="1"/>
  <c r="EA4" i="17"/>
  <c r="EB7" i="17" s="1"/>
  <c r="C21" i="18"/>
  <c r="I33" i="18" s="1"/>
  <c r="P33" i="18" s="1"/>
  <c r="EB3" i="17"/>
  <c r="EB20" i="17" s="1"/>
  <c r="DJ3" i="17"/>
  <c r="O87" i="18" s="1"/>
  <c r="CP11" i="17"/>
  <c r="CO11" i="17" s="1"/>
  <c r="CO10" i="17"/>
  <c r="BH19" i="17"/>
  <c r="BI20" i="17"/>
  <c r="BH20" i="17" s="1"/>
  <c r="O53" i="18"/>
  <c r="O17" i="18"/>
  <c r="O61" i="18"/>
  <c r="O43" i="18"/>
  <c r="O35" i="18"/>
  <c r="O25" i="18"/>
  <c r="CO16" i="17"/>
  <c r="CP17" i="17"/>
  <c r="CO17" i="17" s="1"/>
  <c r="CP20" i="17"/>
  <c r="CO20" i="17" s="1"/>
  <c r="CO19" i="17"/>
  <c r="BY5" i="17"/>
  <c r="CG4" i="17"/>
  <c r="CV4" i="17"/>
  <c r="BU6" i="17"/>
  <c r="H103" i="18" s="1"/>
  <c r="O62" i="18"/>
  <c r="O44" i="18"/>
  <c r="O54" i="18"/>
  <c r="O26" i="18"/>
  <c r="O36" i="18"/>
  <c r="O18" i="18"/>
  <c r="O55" i="18"/>
  <c r="O63" i="18"/>
  <c r="O37" i="18"/>
  <c r="O27" i="18"/>
  <c r="O19" i="18"/>
  <c r="O45" i="18"/>
  <c r="CP8" i="17"/>
  <c r="CO8" i="17" s="1"/>
  <c r="CO7" i="17"/>
  <c r="BH13" i="17"/>
  <c r="BI14" i="17"/>
  <c r="BH14" i="17" s="1"/>
  <c r="O46" i="18"/>
  <c r="O56" i="18"/>
  <c r="O20" i="18"/>
  <c r="A77" i="21" s="1"/>
  <c r="O28" i="18"/>
  <c r="O38" i="18"/>
  <c r="A111" i="21" s="1"/>
  <c r="O64" i="18"/>
  <c r="BH7" i="17"/>
  <c r="BI8" i="17"/>
  <c r="BH8" i="17" s="1"/>
  <c r="DD3" i="17"/>
  <c r="DE6" i="17" s="1"/>
  <c r="I84" i="18"/>
  <c r="DH3" i="17"/>
  <c r="O85" i="18" s="1"/>
  <c r="CV3" i="17"/>
  <c r="O73" i="18" s="1"/>
  <c r="CU4" i="17"/>
  <c r="P72" i="18" s="1"/>
  <c r="EP3" i="17"/>
  <c r="EP20" i="17" s="1"/>
  <c r="BS6" i="17"/>
  <c r="H101" i="18" s="1"/>
  <c r="ED3" i="17"/>
  <c r="BO7" i="17"/>
  <c r="BP10" i="17" s="1"/>
  <c r="CB6" i="17"/>
  <c r="H110" i="18" s="1"/>
  <c r="BR6" i="17"/>
  <c r="BS9" i="17" s="1"/>
  <c r="CY3" i="17"/>
  <c r="O76" i="18" s="1"/>
  <c r="BO5" i="17"/>
  <c r="CE5" i="17"/>
  <c r="I73" i="18"/>
  <c r="BZ6" i="17"/>
  <c r="CA9" i="17" s="1"/>
  <c r="DG3" i="17"/>
  <c r="DH6" i="17" s="1"/>
  <c r="H81" i="18"/>
  <c r="I72" i="18"/>
  <c r="ED4" i="17"/>
  <c r="ED21" i="17" s="1"/>
  <c r="CA7" i="17"/>
  <c r="CB10" i="17" s="1"/>
  <c r="ET4" i="17"/>
  <c r="ET21" i="17" s="1"/>
  <c r="H84" i="18"/>
  <c r="EL4" i="17"/>
  <c r="EL21" i="17" s="1"/>
  <c r="BR5" i="17"/>
  <c r="CM4" i="17"/>
  <c r="BK4" i="17" s="1"/>
  <c r="CY4" i="17"/>
  <c r="CA5" i="17"/>
  <c r="I81" i="18"/>
  <c r="CB7" i="17"/>
  <c r="I110" i="18" s="1"/>
  <c r="DL4" i="17"/>
  <c r="P89" i="18" s="1"/>
  <c r="CA6" i="17"/>
  <c r="H109" i="18" s="1"/>
  <c r="CS4" i="17"/>
  <c r="P70" i="18" s="1"/>
  <c r="I76" i="18"/>
  <c r="CE7" i="17"/>
  <c r="DI3" i="17"/>
  <c r="DJ6" i="17" s="1"/>
  <c r="BS5" i="17"/>
  <c r="BU7" i="17"/>
  <c r="BV10" i="17" s="1"/>
  <c r="CJ3" i="17"/>
  <c r="BW5" i="17"/>
  <c r="BT7" i="17"/>
  <c r="BU10" i="17" s="1"/>
  <c r="H79" i="18"/>
  <c r="CC6" i="17"/>
  <c r="H111" i="18" s="1"/>
  <c r="H86" i="18"/>
  <c r="EH4" i="17"/>
  <c r="EH21" i="17" s="1"/>
  <c r="BW7" i="17"/>
  <c r="BT5" i="17"/>
  <c r="BQ5" i="17"/>
  <c r="F8" i="15"/>
  <c r="BM5" i="17"/>
  <c r="CD6" i="17"/>
  <c r="H112" i="18" s="1"/>
  <c r="EI3" i="17"/>
  <c r="EI20" i="17" s="1"/>
  <c r="CG3" i="17"/>
  <c r="H78" i="18"/>
  <c r="DA3" i="17"/>
  <c r="DB6" i="17" s="1"/>
  <c r="BV6" i="17"/>
  <c r="H104" i="18" s="1"/>
  <c r="EA3" i="17"/>
  <c r="EB6" i="17" s="1"/>
  <c r="BM6" i="17"/>
  <c r="H95" i="18" s="1"/>
  <c r="CS3" i="17"/>
  <c r="DN3" i="17" s="1"/>
  <c r="BQ7" i="17"/>
  <c r="BR10" i="17" s="1"/>
  <c r="BT6" i="17"/>
  <c r="H102" i="18" s="1"/>
  <c r="BL5" i="17"/>
  <c r="CG5" i="17" s="1"/>
  <c r="I17" i="18" s="1"/>
  <c r="P17" i="18" s="1"/>
  <c r="H72" i="18"/>
  <c r="EC3" i="17"/>
  <c r="CU3" i="17"/>
  <c r="DO3" i="17" s="1"/>
  <c r="BO6" i="17"/>
  <c r="BN5" i="17"/>
  <c r="P81" i="18"/>
  <c r="I42" i="18"/>
  <c r="P42" i="18" s="1"/>
  <c r="C71" i="15"/>
  <c r="I87" i="18"/>
  <c r="DJ4" i="17"/>
  <c r="ER4" i="17"/>
  <c r="CD7" i="17"/>
  <c r="CJ4" i="17"/>
  <c r="ED20" i="17"/>
  <c r="F139" i="24"/>
  <c r="F141" i="24"/>
  <c r="A76" i="24"/>
  <c r="A41" i="24"/>
  <c r="A24" i="24"/>
  <c r="A8" i="24"/>
  <c r="A12" i="24" s="1"/>
  <c r="A38" i="24"/>
  <c r="I34" i="18"/>
  <c r="P34" i="18" s="1"/>
  <c r="C70" i="15"/>
  <c r="H88" i="18"/>
  <c r="ES3" i="17"/>
  <c r="DK3" i="17"/>
  <c r="CE6" i="17"/>
  <c r="CD5" i="17"/>
  <c r="I60" i="18"/>
  <c r="P60" i="18" s="1"/>
  <c r="G71" i="15"/>
  <c r="E75" i="15"/>
  <c r="EO21" i="17"/>
  <c r="EP7" i="17"/>
  <c r="O89" i="18"/>
  <c r="P78" i="18"/>
  <c r="DB7" i="17"/>
  <c r="H82" i="18"/>
  <c r="DE3" i="17"/>
  <c r="CI3" i="17"/>
  <c r="EM3" i="17"/>
  <c r="BY6" i="17"/>
  <c r="DB4" i="17"/>
  <c r="I79" i="18"/>
  <c r="EJ4" i="17"/>
  <c r="BV7" i="17"/>
  <c r="BX6" i="17"/>
  <c r="EQ21" i="17"/>
  <c r="O71" i="18"/>
  <c r="CU6" i="17"/>
  <c r="BU5" i="17"/>
  <c r="I5" i="18"/>
  <c r="I52" i="18"/>
  <c r="P52" i="18" s="1"/>
  <c r="E74" i="15"/>
  <c r="G70" i="15"/>
  <c r="H74" i="18"/>
  <c r="CW3" i="17"/>
  <c r="BP5" i="17"/>
  <c r="BQ6" i="17"/>
  <c r="E6" i="18"/>
  <c r="E6" i="15" s="1"/>
  <c r="I6" i="18"/>
  <c r="C8" i="15"/>
  <c r="BP6" i="17"/>
  <c r="I75" i="18"/>
  <c r="CX4" i="17"/>
  <c r="BR7" i="17"/>
  <c r="CC7" i="17"/>
  <c r="I83" i="18"/>
  <c r="BZ7" i="17"/>
  <c r="DF4" i="17"/>
  <c r="EN4" i="17"/>
  <c r="I71" i="18"/>
  <c r="CT4" i="17"/>
  <c r="EB4" i="17"/>
  <c r="CH4" i="17"/>
  <c r="BN7" i="17"/>
  <c r="CM3" i="17"/>
  <c r="H80" i="18"/>
  <c r="EK3" i="17"/>
  <c r="DC3" i="17"/>
  <c r="BW6" i="17"/>
  <c r="BV5" i="17"/>
  <c r="E4" i="18"/>
  <c r="I4" i="18"/>
  <c r="EL20" i="17"/>
  <c r="EM6" i="17"/>
  <c r="BM7" i="17"/>
  <c r="ET7" i="17"/>
  <c r="ET24" i="17" s="1"/>
  <c r="CH3" i="17"/>
  <c r="BN6" i="17"/>
  <c r="CC5" i="17"/>
  <c r="EC21" i="17"/>
  <c r="ED7" i="17"/>
  <c r="EI21" i="17" l="1"/>
  <c r="EQ5" i="17"/>
  <c r="H108" i="18"/>
  <c r="EQ20" i="17"/>
  <c r="EQ22" i="17" s="1"/>
  <c r="DJ7" i="17"/>
  <c r="DH7" i="17"/>
  <c r="ET3" i="17"/>
  <c r="ET20" i="17" s="1"/>
  <c r="ET22" i="17" s="1"/>
  <c r="CX7" i="17"/>
  <c r="CY10" i="17" s="1"/>
  <c r="E5" i="18"/>
  <c r="BX10" i="17"/>
  <c r="DE7" i="17"/>
  <c r="DE8" i="17" s="1"/>
  <c r="O81" i="18"/>
  <c r="EO6" i="17"/>
  <c r="DI7" i="17"/>
  <c r="EJ5" i="17"/>
  <c r="EK6" i="17"/>
  <c r="EL9" i="17" s="1"/>
  <c r="BV9" i="17"/>
  <c r="H128" i="18" s="1"/>
  <c r="EL5" i="17"/>
  <c r="DD5" i="17"/>
  <c r="EM7" i="17"/>
  <c r="EN10" i="17" s="1"/>
  <c r="DA6" i="17"/>
  <c r="DA8" i="17" s="1"/>
  <c r="CZ5" i="17"/>
  <c r="EN5" i="17"/>
  <c r="BU8" i="17"/>
  <c r="BZ8" i="17"/>
  <c r="EQ7" i="17"/>
  <c r="EQ24" i="17" s="1"/>
  <c r="CY6" i="17"/>
  <c r="O100" i="18" s="1"/>
  <c r="DK6" i="17"/>
  <c r="DL9" i="17" s="1"/>
  <c r="BX5" i="17"/>
  <c r="CI5" i="17" s="1"/>
  <c r="H100" i="18"/>
  <c r="P77" i="18"/>
  <c r="DH5" i="17"/>
  <c r="CI4" i="17"/>
  <c r="BN9" i="17"/>
  <c r="H120" i="18" s="1"/>
  <c r="ED5" i="17"/>
  <c r="EI6" i="17"/>
  <c r="EJ9" i="17" s="1"/>
  <c r="EW3" i="17"/>
  <c r="CV7" i="17"/>
  <c r="P97" i="18" s="1"/>
  <c r="EP6" i="17"/>
  <c r="EP23" i="17" s="1"/>
  <c r="EC6" i="17"/>
  <c r="ED9" i="17" s="1"/>
  <c r="EH5" i="17"/>
  <c r="DL7" i="17"/>
  <c r="P113" i="18" s="1"/>
  <c r="I105" i="18"/>
  <c r="EI7" i="17"/>
  <c r="EI24" i="17" s="1"/>
  <c r="CH5" i="17"/>
  <c r="I25" i="18" s="1"/>
  <c r="P25" i="18" s="1"/>
  <c r="BM8" i="17"/>
  <c r="DD7" i="17"/>
  <c r="P105" i="18" s="1"/>
  <c r="EO5" i="17"/>
  <c r="CZ6" i="17"/>
  <c r="DA9" i="17" s="1"/>
  <c r="EM4" i="17"/>
  <c r="EM5" i="17" s="1"/>
  <c r="BY7" i="17"/>
  <c r="BZ10" i="17" s="1"/>
  <c r="I132" i="18" s="1"/>
  <c r="DE4" i="17"/>
  <c r="DE5" i="17" s="1"/>
  <c r="EQ6" i="17"/>
  <c r="ER9" i="17" s="1"/>
  <c r="BX7" i="17"/>
  <c r="BY10" i="17" s="1"/>
  <c r="I131" i="18" s="1"/>
  <c r="CY5" i="17"/>
  <c r="P76" i="18"/>
  <c r="DT3" i="17"/>
  <c r="CV5" i="17"/>
  <c r="EL7" i="17"/>
  <c r="EL24" i="17" s="1"/>
  <c r="BT8" i="17"/>
  <c r="CW6" i="17"/>
  <c r="CX9" i="17" s="1"/>
  <c r="BU9" i="17"/>
  <c r="H127" i="18" s="1"/>
  <c r="DC6" i="17"/>
  <c r="O104" i="18" s="1"/>
  <c r="BK3" i="17"/>
  <c r="DZ3" i="17" s="1"/>
  <c r="CW7" i="17"/>
  <c r="O58" i="18"/>
  <c r="O40" i="18"/>
  <c r="O14" i="18"/>
  <c r="O50" i="18"/>
  <c r="O32" i="18"/>
  <c r="O22" i="18"/>
  <c r="P73" i="18"/>
  <c r="DT4" i="17"/>
  <c r="DI6" i="17"/>
  <c r="DI8" i="17" s="1"/>
  <c r="CB8" i="17"/>
  <c r="O51" i="18"/>
  <c r="O33" i="18"/>
  <c r="O23" i="18"/>
  <c r="O59" i="18"/>
  <c r="O41" i="18"/>
  <c r="O15" i="18"/>
  <c r="I109" i="18"/>
  <c r="O230" i="18" s="1"/>
  <c r="ES6" i="17"/>
  <c r="ES23" i="17" s="1"/>
  <c r="EA21" i="17"/>
  <c r="DG6" i="17"/>
  <c r="O108" i="18" s="1"/>
  <c r="I113" i="18"/>
  <c r="I103" i="18"/>
  <c r="O224" i="18" s="1"/>
  <c r="DF5" i="17"/>
  <c r="I98" i="18"/>
  <c r="I101" i="18"/>
  <c r="O222" i="18" s="1"/>
  <c r="I102" i="18"/>
  <c r="O223" i="18" s="1"/>
  <c r="O84" i="18"/>
  <c r="DI5" i="17"/>
  <c r="CB9" i="17"/>
  <c r="H134" i="18" s="1"/>
  <c r="EP5" i="17"/>
  <c r="DG5" i="17"/>
  <c r="CD8" i="17"/>
  <c r="CM7" i="17"/>
  <c r="BK7" i="17" s="1"/>
  <c r="I97" i="18"/>
  <c r="CJ6" i="17"/>
  <c r="BS8" i="17"/>
  <c r="DN4" i="17"/>
  <c r="CC10" i="17"/>
  <c r="I135" i="18" s="1"/>
  <c r="CC9" i="17"/>
  <c r="CD12" i="17" s="1"/>
  <c r="CJ5" i="17"/>
  <c r="CT7" i="17"/>
  <c r="P95" i="18" s="1"/>
  <c r="BT9" i="17"/>
  <c r="BU12" i="17" s="1"/>
  <c r="CS5" i="17"/>
  <c r="I43" i="18"/>
  <c r="P43" i="18" s="1"/>
  <c r="I99" i="18"/>
  <c r="EY4" i="17"/>
  <c r="CC8" i="17"/>
  <c r="O86" i="18"/>
  <c r="O78" i="18"/>
  <c r="EA5" i="17"/>
  <c r="DQ3" i="17"/>
  <c r="CZ7" i="17"/>
  <c r="DA10" i="17" s="1"/>
  <c r="CA8" i="17"/>
  <c r="ER5" i="17"/>
  <c r="DL5" i="17"/>
  <c r="CD9" i="17"/>
  <c r="CE12" i="17" s="1"/>
  <c r="CT6" i="17"/>
  <c r="O95" i="18" s="1"/>
  <c r="CE9" i="17"/>
  <c r="H137" i="18" s="1"/>
  <c r="BV8" i="17"/>
  <c r="EL22" i="17"/>
  <c r="BW9" i="17"/>
  <c r="BX12" i="17" s="1"/>
  <c r="D7" i="15"/>
  <c r="DA5" i="17"/>
  <c r="O70" i="18"/>
  <c r="EI5" i="17"/>
  <c r="CM5" i="17"/>
  <c r="EJ6" i="17"/>
  <c r="EK9" i="17" s="1"/>
  <c r="EH22" i="17"/>
  <c r="EA20" i="17"/>
  <c r="O231" i="18"/>
  <c r="EV3" i="17"/>
  <c r="P4" i="18"/>
  <c r="K4" i="18"/>
  <c r="R4" i="18" s="1"/>
  <c r="H105" i="18"/>
  <c r="BX9" i="17"/>
  <c r="BW8" i="17"/>
  <c r="I128" i="18"/>
  <c r="BW13" i="17"/>
  <c r="I134" i="18"/>
  <c r="CC13" i="17"/>
  <c r="EB21" i="17"/>
  <c r="EW21" i="17" s="1"/>
  <c r="EC7" i="17"/>
  <c r="EW4" i="17"/>
  <c r="I108" i="18"/>
  <c r="O229" i="18" s="1"/>
  <c r="CA10" i="17"/>
  <c r="CA11" i="17" s="1"/>
  <c r="CJ7" i="17"/>
  <c r="O106" i="18"/>
  <c r="DF9" i="17"/>
  <c r="P109" i="18"/>
  <c r="DI10" i="17"/>
  <c r="ER23" i="17"/>
  <c r="ES9" i="17"/>
  <c r="ER8" i="17"/>
  <c r="I122" i="18"/>
  <c r="BQ13" i="17"/>
  <c r="O96" i="18"/>
  <c r="CV9" i="17"/>
  <c r="I130" i="18"/>
  <c r="BY13" i="17"/>
  <c r="P79" i="18"/>
  <c r="DC7" i="17"/>
  <c r="EM20" i="17"/>
  <c r="EN6" i="17"/>
  <c r="EX3" i="17"/>
  <c r="P103" i="18"/>
  <c r="DC10" i="17"/>
  <c r="EP24" i="17"/>
  <c r="EQ10" i="17"/>
  <c r="ET6" i="17"/>
  <c r="ES5" i="17"/>
  <c r="ES20" i="17"/>
  <c r="ES22" i="17" s="1"/>
  <c r="EO22" i="17"/>
  <c r="I112" i="18"/>
  <c r="O233" i="18" s="1"/>
  <c r="CE10" i="17"/>
  <c r="I137" i="18" s="1"/>
  <c r="EB23" i="17"/>
  <c r="EC9" i="17"/>
  <c r="EB8" i="17"/>
  <c r="H96" i="18"/>
  <c r="BO9" i="17"/>
  <c r="BN8" i="17"/>
  <c r="H133" i="18"/>
  <c r="CB12" i="17"/>
  <c r="BU11" i="17"/>
  <c r="BV12" i="17"/>
  <c r="O80" i="18"/>
  <c r="DD6" i="17"/>
  <c r="DC5" i="17"/>
  <c r="CU7" i="17"/>
  <c r="P71" i="18"/>
  <c r="DO4" i="17"/>
  <c r="EP22" i="17"/>
  <c r="I100" i="18"/>
  <c r="BS10" i="17"/>
  <c r="EJ24" i="17"/>
  <c r="EK10" i="17"/>
  <c r="I124" i="18"/>
  <c r="BS13" i="17"/>
  <c r="O74" i="18"/>
  <c r="CX6" i="17"/>
  <c r="CW5" i="17"/>
  <c r="I126" i="18"/>
  <c r="BU13" i="17"/>
  <c r="CT5" i="17"/>
  <c r="EV4" i="17"/>
  <c r="H106" i="18"/>
  <c r="CI6" i="17"/>
  <c r="BY9" i="17"/>
  <c r="I104" i="18"/>
  <c r="O225" i="18" s="1"/>
  <c r="BW10" i="17"/>
  <c r="CH6" i="17"/>
  <c r="DB5" i="17"/>
  <c r="EP8" i="17"/>
  <c r="ER21" i="17"/>
  <c r="EY21" i="17" s="1"/>
  <c r="ES7" i="17"/>
  <c r="H97" i="18"/>
  <c r="BP9" i="17"/>
  <c r="BO8" i="17"/>
  <c r="CM6" i="17"/>
  <c r="I69" i="18"/>
  <c r="J7" i="18" s="1"/>
  <c r="Q7" i="18" s="1"/>
  <c r="DZ4" i="17"/>
  <c r="CF4" i="17"/>
  <c r="BL7" i="17"/>
  <c r="CR4" i="17"/>
  <c r="EM23" i="17"/>
  <c r="EN9" i="17"/>
  <c r="O109" i="18"/>
  <c r="DH8" i="17"/>
  <c r="DI9" i="17"/>
  <c r="EL6" i="17"/>
  <c r="EK20" i="17"/>
  <c r="EK22" i="17" s="1"/>
  <c r="EK5" i="17"/>
  <c r="BT11" i="17"/>
  <c r="I96" i="18"/>
  <c r="BO10" i="17"/>
  <c r="EN21" i="17"/>
  <c r="EO7" i="17"/>
  <c r="EO8" i="17" s="1"/>
  <c r="I111" i="18"/>
  <c r="O232" i="18" s="1"/>
  <c r="CD10" i="17"/>
  <c r="I123" i="18"/>
  <c r="BR13" i="17"/>
  <c r="CY7" i="17"/>
  <c r="P75" i="18"/>
  <c r="H98" i="18"/>
  <c r="BP8" i="17"/>
  <c r="BQ9" i="17"/>
  <c r="H99" i="18"/>
  <c r="BQ8" i="17"/>
  <c r="BR9" i="17"/>
  <c r="K5" i="18"/>
  <c r="R5" i="18" s="1"/>
  <c r="P5" i="18"/>
  <c r="ET9" i="17"/>
  <c r="EB24" i="17"/>
  <c r="EC10" i="17"/>
  <c r="EJ21" i="17"/>
  <c r="EJ22" i="17" s="1"/>
  <c r="EK7" i="17"/>
  <c r="H107" i="18"/>
  <c r="BZ9" i="17"/>
  <c r="O82" i="18"/>
  <c r="DF6" i="17"/>
  <c r="DP3" i="17"/>
  <c r="P110" i="18"/>
  <c r="DJ10" i="17"/>
  <c r="H125" i="18"/>
  <c r="BT12" i="17"/>
  <c r="H113" i="18"/>
  <c r="CE8" i="17"/>
  <c r="P111" i="18"/>
  <c r="DK10" i="17"/>
  <c r="CA13" i="17"/>
  <c r="P87" i="18"/>
  <c r="DK7" i="17"/>
  <c r="DF10" i="17"/>
  <c r="O72" i="18"/>
  <c r="CV6" i="17"/>
  <c r="CU5" i="17"/>
  <c r="ED24" i="17"/>
  <c r="I95" i="18"/>
  <c r="O216" i="18" s="1"/>
  <c r="CH7" i="17"/>
  <c r="BN10" i="17"/>
  <c r="P102" i="18"/>
  <c r="DB10" i="17"/>
  <c r="CX5" i="17"/>
  <c r="P83" i="18"/>
  <c r="DG7" i="17"/>
  <c r="O111" i="18"/>
  <c r="DK9" i="17"/>
  <c r="DJ8" i="17"/>
  <c r="DJ5" i="17"/>
  <c r="DQ4" i="17"/>
  <c r="K6" i="18"/>
  <c r="R6" i="18" s="1"/>
  <c r="P6" i="18"/>
  <c r="O103" i="18"/>
  <c r="DC9" i="17"/>
  <c r="DB8" i="17"/>
  <c r="ER24" i="17"/>
  <c r="ES10" i="17"/>
  <c r="I127" i="18"/>
  <c r="BV13" i="17"/>
  <c r="I35" i="18"/>
  <c r="P35" i="18" s="1"/>
  <c r="BR8" i="17"/>
  <c r="O88" i="18"/>
  <c r="DL6" i="17"/>
  <c r="DK5" i="17"/>
  <c r="EI22" i="17"/>
  <c r="EB5" i="17"/>
  <c r="EO23" i="17"/>
  <c r="EP9" i="17"/>
  <c r="O102" i="18"/>
  <c r="DB9" i="17"/>
  <c r="ED22" i="17"/>
  <c r="ED6" i="17"/>
  <c r="EC5" i="17"/>
  <c r="EC20" i="17"/>
  <c r="EC22" i="17" s="1"/>
  <c r="P106" i="18" l="1"/>
  <c r="P99" i="18"/>
  <c r="EQ9" i="17"/>
  <c r="EQ26" i="17" s="1"/>
  <c r="CZ9" i="17"/>
  <c r="O125" i="18" s="1"/>
  <c r="EA22" i="17"/>
  <c r="O112" i="18"/>
  <c r="EC23" i="17"/>
  <c r="EW23" i="17" s="1"/>
  <c r="EM24" i="17"/>
  <c r="EM25" i="17" s="1"/>
  <c r="EI23" i="17"/>
  <c r="DK8" i="17"/>
  <c r="BY8" i="17"/>
  <c r="CY8" i="17"/>
  <c r="EM8" i="17"/>
  <c r="EC8" i="17"/>
  <c r="DP4" i="17"/>
  <c r="EY3" i="17"/>
  <c r="EW6" i="17"/>
  <c r="H135" i="18"/>
  <c r="EM10" i="17"/>
  <c r="EM27" i="17" s="1"/>
  <c r="EK23" i="17"/>
  <c r="ET5" i="17"/>
  <c r="EY5" i="17" s="1"/>
  <c r="I107" i="18"/>
  <c r="O98" i="18"/>
  <c r="O101" i="18"/>
  <c r="BW12" i="17"/>
  <c r="BW14" i="17" s="1"/>
  <c r="BX8" i="17"/>
  <c r="DN5" i="17"/>
  <c r="Q17" i="18" s="1"/>
  <c r="O226" i="18"/>
  <c r="BK5" i="17"/>
  <c r="CF5" i="17" s="1"/>
  <c r="BZ13" i="17"/>
  <c r="BV11" i="17"/>
  <c r="CB11" i="17"/>
  <c r="CR3" i="17"/>
  <c r="DM3" i="17" s="1"/>
  <c r="DS3" i="17" s="1"/>
  <c r="BL6" i="17"/>
  <c r="H94" i="18" s="1"/>
  <c r="CH8" i="17"/>
  <c r="I26" i="18" s="1"/>
  <c r="P26" i="18" s="1"/>
  <c r="EQ8" i="17"/>
  <c r="CI7" i="17"/>
  <c r="I106" i="18"/>
  <c r="O227" i="18" s="1"/>
  <c r="CW10" i="17"/>
  <c r="P122" i="18" s="1"/>
  <c r="CC12" i="17"/>
  <c r="H159" i="18" s="1"/>
  <c r="EX4" i="17"/>
  <c r="CF3" i="17"/>
  <c r="CK3" i="17" s="1"/>
  <c r="H69" i="18"/>
  <c r="I53" i="18" s="1"/>
  <c r="P53" i="18" s="1"/>
  <c r="ER10" i="17"/>
  <c r="ES13" i="17" s="1"/>
  <c r="ES30" i="17" s="1"/>
  <c r="O221" i="18"/>
  <c r="BO12" i="17"/>
  <c r="O234" i="18"/>
  <c r="EJ10" i="17"/>
  <c r="EJ27" i="17" s="1"/>
  <c r="EY6" i="17"/>
  <c r="EI8" i="17"/>
  <c r="CC11" i="17"/>
  <c r="EW7" i="17"/>
  <c r="EQ23" i="17"/>
  <c r="EQ25" i="17" s="1"/>
  <c r="EV20" i="17"/>
  <c r="DE10" i="17"/>
  <c r="DF13" i="17" s="1"/>
  <c r="O219" i="18"/>
  <c r="DF7" i="17"/>
  <c r="DP7" i="17" s="1"/>
  <c r="P82" i="18"/>
  <c r="Q35" i="18" s="1"/>
  <c r="CU10" i="17"/>
  <c r="P120" i="18" s="1"/>
  <c r="EN7" i="17"/>
  <c r="EN8" i="17" s="1"/>
  <c r="EM21" i="17"/>
  <c r="EM22" i="17" s="1"/>
  <c r="H129" i="18"/>
  <c r="H136" i="18"/>
  <c r="CW8" i="17"/>
  <c r="BW11" i="17"/>
  <c r="DJ9" i="17"/>
  <c r="DK12" i="17" s="1"/>
  <c r="O110" i="18"/>
  <c r="P231" i="18" s="1"/>
  <c r="P98" i="18"/>
  <c r="P219" i="18" s="1"/>
  <c r="DD9" i="17"/>
  <c r="DE12" i="17" s="1"/>
  <c r="CX10" i="17"/>
  <c r="CY13" i="17" s="1"/>
  <c r="DH9" i="17"/>
  <c r="O133" i="18" s="1"/>
  <c r="EJ8" i="17"/>
  <c r="CU9" i="17"/>
  <c r="EV5" i="17"/>
  <c r="CJ8" i="17"/>
  <c r="O228" i="18"/>
  <c r="G104" i="19"/>
  <c r="CZ8" i="17"/>
  <c r="P223" i="18"/>
  <c r="CD13" i="17"/>
  <c r="CD14" i="17" s="1"/>
  <c r="P101" i="18"/>
  <c r="CT8" i="17"/>
  <c r="BK6" i="17"/>
  <c r="H93" i="18" s="1"/>
  <c r="H126" i="18"/>
  <c r="ER22" i="17"/>
  <c r="EY22" i="17" s="1"/>
  <c r="DO6" i="17"/>
  <c r="CL4" i="17"/>
  <c r="Q43" i="18"/>
  <c r="P224" i="18"/>
  <c r="CJ10" i="17"/>
  <c r="EJ23" i="17"/>
  <c r="EJ25" i="17" s="1"/>
  <c r="DQ5" i="17"/>
  <c r="P216" i="18"/>
  <c r="EY20" i="17"/>
  <c r="EX6" i="17"/>
  <c r="EV21" i="17"/>
  <c r="DT5" i="17"/>
  <c r="EW20" i="17"/>
  <c r="DT7" i="17"/>
  <c r="CR7" i="17" s="1"/>
  <c r="ES8" i="17"/>
  <c r="EP25" i="17"/>
  <c r="EI25" i="17"/>
  <c r="CK4" i="17"/>
  <c r="EP26" i="17"/>
  <c r="EQ12" i="17"/>
  <c r="ES27" i="17"/>
  <c r="ET13" i="17"/>
  <c r="ET30" i="17" s="1"/>
  <c r="O127" i="18"/>
  <c r="DC12" i="17"/>
  <c r="DB11" i="17"/>
  <c r="H160" i="18"/>
  <c r="CE15" i="17"/>
  <c r="I152" i="18"/>
  <c r="BW16" i="17"/>
  <c r="P108" i="18"/>
  <c r="P229" i="18" s="1"/>
  <c r="DH10" i="17"/>
  <c r="DQ7" i="17"/>
  <c r="I120" i="18"/>
  <c r="BO13" i="17"/>
  <c r="DZ20" i="17"/>
  <c r="EA6" i="17"/>
  <c r="DZ5" i="17"/>
  <c r="P131" i="18"/>
  <c r="DG13" i="17"/>
  <c r="P136" i="18"/>
  <c r="DL13" i="17"/>
  <c r="P161" i="18" s="1"/>
  <c r="H150" i="18"/>
  <c r="BU15" i="17"/>
  <c r="EK24" i="17"/>
  <c r="EL10" i="17"/>
  <c r="EL11" i="17" s="1"/>
  <c r="O220" i="18"/>
  <c r="C104" i="19"/>
  <c r="I148" i="18"/>
  <c r="BS16" i="17"/>
  <c r="DZ21" i="17"/>
  <c r="EA7" i="17"/>
  <c r="H122" i="18"/>
  <c r="BQ12" i="17"/>
  <c r="BP11" i="17"/>
  <c r="O126" i="18"/>
  <c r="DA11" i="17"/>
  <c r="DB12" i="17"/>
  <c r="DG8" i="17"/>
  <c r="I149" i="18"/>
  <c r="BT16" i="17"/>
  <c r="I125" i="18"/>
  <c r="BT13" i="17"/>
  <c r="P126" i="18"/>
  <c r="DB13" i="17"/>
  <c r="H158" i="18"/>
  <c r="CC15" i="17"/>
  <c r="EN13" i="17"/>
  <c r="EN30" i="17" s="1"/>
  <c r="O217" i="18"/>
  <c r="EL26" i="17"/>
  <c r="EM12" i="17"/>
  <c r="H161" i="18"/>
  <c r="ED26" i="17"/>
  <c r="EQ27" i="17"/>
  <c r="ER13" i="17"/>
  <c r="ER30" i="17" s="1"/>
  <c r="P104" i="18"/>
  <c r="P225" i="18" s="1"/>
  <c r="DD10" i="17"/>
  <c r="I155" i="18"/>
  <c r="BZ16" i="17"/>
  <c r="ES26" i="17"/>
  <c r="ES11" i="17"/>
  <c r="ET12" i="17"/>
  <c r="H130" i="18"/>
  <c r="BY12" i="17"/>
  <c r="BX11" i="17"/>
  <c r="CI9" i="17"/>
  <c r="BL10" i="17"/>
  <c r="I93" i="18"/>
  <c r="CF7" i="17"/>
  <c r="I44" i="18"/>
  <c r="P44" i="18" s="1"/>
  <c r="O97" i="18"/>
  <c r="P218" i="18" s="1"/>
  <c r="DT6" i="17"/>
  <c r="CW9" i="17"/>
  <c r="CV8" i="17"/>
  <c r="I157" i="18"/>
  <c r="CB16" i="17"/>
  <c r="BS11" i="17"/>
  <c r="H132" i="18"/>
  <c r="CA12" i="17"/>
  <c r="CJ9" i="17"/>
  <c r="BZ11" i="17"/>
  <c r="ET26" i="17"/>
  <c r="H123" i="18"/>
  <c r="BQ11" i="17"/>
  <c r="BR12" i="17"/>
  <c r="O137" i="18"/>
  <c r="P124" i="18"/>
  <c r="CZ13" i="17"/>
  <c r="EL23" i="17"/>
  <c r="EL25" i="17" s="1"/>
  <c r="EM9" i="17"/>
  <c r="EL8" i="17"/>
  <c r="O134" i="18"/>
  <c r="DI11" i="17"/>
  <c r="DJ12" i="17"/>
  <c r="EN26" i="17"/>
  <c r="EO12" i="17"/>
  <c r="EN11" i="17"/>
  <c r="P69" i="18"/>
  <c r="CS7" i="17"/>
  <c r="DM4" i="17"/>
  <c r="O218" i="18"/>
  <c r="G103" i="19"/>
  <c r="EN22" i="17"/>
  <c r="H131" i="18"/>
  <c r="BY11" i="17"/>
  <c r="BZ12" i="17"/>
  <c r="O105" i="18"/>
  <c r="P226" i="18" s="1"/>
  <c r="DE9" i="17"/>
  <c r="DD8" i="17"/>
  <c r="EK8" i="17"/>
  <c r="EC26" i="17"/>
  <c r="EC11" i="17"/>
  <c r="ED12" i="17"/>
  <c r="EN27" i="17"/>
  <c r="EO13" i="17"/>
  <c r="EN23" i="17"/>
  <c r="EO9" i="17"/>
  <c r="I147" i="18"/>
  <c r="BR16" i="17"/>
  <c r="ER25" i="17"/>
  <c r="P134" i="18"/>
  <c r="DJ13" i="17"/>
  <c r="O131" i="18"/>
  <c r="DG12" i="17"/>
  <c r="DF11" i="17"/>
  <c r="EC24" i="17"/>
  <c r="EW24" i="17" s="1"/>
  <c r="ED10" i="17"/>
  <c r="I153" i="18"/>
  <c r="BX16" i="17"/>
  <c r="O113" i="18"/>
  <c r="P234" i="18" s="1"/>
  <c r="DL8" i="17"/>
  <c r="O128" i="18"/>
  <c r="DC11" i="17"/>
  <c r="DD12" i="17"/>
  <c r="CC14" i="17"/>
  <c r="O136" i="18"/>
  <c r="DK11" i="17"/>
  <c r="DL12" i="17"/>
  <c r="O123" i="18"/>
  <c r="CY12" i="17"/>
  <c r="P127" i="18"/>
  <c r="DC13" i="17"/>
  <c r="CG6" i="17"/>
  <c r="BL8" i="17"/>
  <c r="CG8" i="17" s="1"/>
  <c r="I18" i="18" s="1"/>
  <c r="P18" i="18" s="1"/>
  <c r="P112" i="18"/>
  <c r="P233" i="18" s="1"/>
  <c r="DL10" i="17"/>
  <c r="P137" i="18" s="1"/>
  <c r="O120" i="18"/>
  <c r="DP5" i="17"/>
  <c r="EC27" i="17"/>
  <c r="ED13" i="17"/>
  <c r="H124" i="18"/>
  <c r="BS12" i="17"/>
  <c r="BR11" i="17"/>
  <c r="I136" i="18"/>
  <c r="CE13" i="17"/>
  <c r="I161" i="18" s="1"/>
  <c r="H151" i="18"/>
  <c r="BU14" i="17"/>
  <c r="BV15" i="17"/>
  <c r="I94" i="18"/>
  <c r="BM10" i="17"/>
  <c r="CG7" i="17"/>
  <c r="ES24" i="17"/>
  <c r="ES25" i="17" s="1"/>
  <c r="ET10" i="17"/>
  <c r="ET27" i="17" s="1"/>
  <c r="EK26" i="17"/>
  <c r="EK11" i="17"/>
  <c r="EL12" i="17"/>
  <c r="DO5" i="17"/>
  <c r="Q25" i="18" s="1"/>
  <c r="O99" i="18"/>
  <c r="P220" i="18" s="1"/>
  <c r="CY9" i="17"/>
  <c r="CX8" i="17"/>
  <c r="EK27" i="17"/>
  <c r="EL13" i="17"/>
  <c r="EL30" i="17" s="1"/>
  <c r="BX15" i="17"/>
  <c r="EB25" i="17"/>
  <c r="BN11" i="17"/>
  <c r="P128" i="18"/>
  <c r="DD13" i="17"/>
  <c r="EK12" i="17"/>
  <c r="EJ26" i="17"/>
  <c r="O121" i="18"/>
  <c r="CW12" i="17"/>
  <c r="P227" i="18"/>
  <c r="DA12" i="17"/>
  <c r="ED23" i="17"/>
  <c r="ED8" i="17"/>
  <c r="EW5" i="17"/>
  <c r="P232" i="18"/>
  <c r="C105" i="19"/>
  <c r="EB22" i="17"/>
  <c r="EW22" i="17" s="1"/>
  <c r="P135" i="18"/>
  <c r="DK13" i="17"/>
  <c r="O107" i="18"/>
  <c r="DG9" i="17"/>
  <c r="P100" i="18"/>
  <c r="P221" i="18" s="1"/>
  <c r="CZ10" i="17"/>
  <c r="CZ11" i="17" s="1"/>
  <c r="EP10" i="17"/>
  <c r="EO24" i="17"/>
  <c r="EY7" i="17"/>
  <c r="I121" i="18"/>
  <c r="CM10" i="17"/>
  <c r="BP13" i="17"/>
  <c r="P230" i="18"/>
  <c r="CM8" i="17"/>
  <c r="ER12" i="17"/>
  <c r="CE11" i="17"/>
  <c r="DQ6" i="17"/>
  <c r="I129" i="18"/>
  <c r="BX13" i="17"/>
  <c r="BX14" i="17" s="1"/>
  <c r="CI8" i="17"/>
  <c r="BV16" i="17"/>
  <c r="I151" i="18"/>
  <c r="I156" i="18"/>
  <c r="CA16" i="17"/>
  <c r="P96" i="18"/>
  <c r="P217" i="18" s="1"/>
  <c r="CV10" i="17"/>
  <c r="H152" i="18"/>
  <c r="BV14" i="17"/>
  <c r="BW15" i="17"/>
  <c r="H121" i="18"/>
  <c r="BO11" i="17"/>
  <c r="BP12" i="17"/>
  <c r="CM9" i="17"/>
  <c r="EW8" i="17"/>
  <c r="CD11" i="17"/>
  <c r="DC8" i="17"/>
  <c r="H145" i="18"/>
  <c r="BP15" i="17"/>
  <c r="ET23" i="17"/>
  <c r="ET25" i="17" s="1"/>
  <c r="ET8" i="17"/>
  <c r="EX20" i="17"/>
  <c r="CI10" i="17"/>
  <c r="CU8" i="17"/>
  <c r="DJ11" i="17"/>
  <c r="DP6" i="17"/>
  <c r="H154" i="18"/>
  <c r="BY15" i="17"/>
  <c r="I133" i="18"/>
  <c r="CB13" i="17"/>
  <c r="CB14" i="17" s="1"/>
  <c r="ER26" i="17"/>
  <c r="ES12" i="17"/>
  <c r="ER11" i="17"/>
  <c r="CD16" i="17"/>
  <c r="I159" i="18"/>
  <c r="DO7" i="17"/>
  <c r="EQ11" i="17" l="1"/>
  <c r="CD15" i="17"/>
  <c r="DR4" i="17"/>
  <c r="EK25" i="17"/>
  <c r="P222" i="18"/>
  <c r="CK5" i="17"/>
  <c r="CL5" i="17"/>
  <c r="H153" i="18"/>
  <c r="O250" i="18" s="1"/>
  <c r="EJ11" i="17"/>
  <c r="P130" i="18"/>
  <c r="ER27" i="17"/>
  <c r="EX5" i="17"/>
  <c r="CK7" i="17"/>
  <c r="EX7" i="17"/>
  <c r="CX13" i="17"/>
  <c r="P147" i="18" s="1"/>
  <c r="O69" i="18"/>
  <c r="Q61" i="18" s="1"/>
  <c r="CV13" i="17"/>
  <c r="CW16" i="17" s="1"/>
  <c r="EK13" i="17"/>
  <c r="EK30" i="17" s="1"/>
  <c r="DI12" i="17"/>
  <c r="I160" i="18"/>
  <c r="O257" i="18" s="1"/>
  <c r="T7" i="18"/>
  <c r="CR5" i="17"/>
  <c r="DM5" i="17" s="1"/>
  <c r="DR5" i="17" s="1"/>
  <c r="CS6" i="17"/>
  <c r="CS8" i="17" s="1"/>
  <c r="DN8" i="17" s="1"/>
  <c r="Q18" i="18" s="1"/>
  <c r="CU11" i="17"/>
  <c r="O135" i="18"/>
  <c r="I7" i="18"/>
  <c r="P7" i="18" s="1"/>
  <c r="P123" i="18"/>
  <c r="BM9" i="17"/>
  <c r="BN12" i="17" s="1"/>
  <c r="CX11" i="17"/>
  <c r="O129" i="18"/>
  <c r="I36" i="18"/>
  <c r="P36" i="18" s="1"/>
  <c r="I61" i="18"/>
  <c r="P61" i="18" s="1"/>
  <c r="CL3" i="17"/>
  <c r="CE16" i="17"/>
  <c r="I185" i="18" s="1"/>
  <c r="BO14" i="17"/>
  <c r="EY8" i="17"/>
  <c r="EX21" i="17"/>
  <c r="CV12" i="17"/>
  <c r="O145" i="18" s="1"/>
  <c r="DF8" i="17"/>
  <c r="DS5" i="17"/>
  <c r="EN24" i="17"/>
  <c r="EN25" i="17" s="1"/>
  <c r="EO10" i="17"/>
  <c r="EO11" i="17" s="1"/>
  <c r="P107" i="18"/>
  <c r="P228" i="18" s="1"/>
  <c r="DG10" i="17"/>
  <c r="DP10" i="17" s="1"/>
  <c r="DO8" i="17"/>
  <c r="Q26" i="18" s="1"/>
  <c r="CL7" i="17"/>
  <c r="ES28" i="17"/>
  <c r="BK8" i="17"/>
  <c r="CF8" i="17" s="1"/>
  <c r="CL8" i="17" s="1"/>
  <c r="CF6" i="17"/>
  <c r="EX22" i="17"/>
  <c r="DP8" i="17"/>
  <c r="EJ28" i="17"/>
  <c r="BL9" i="17"/>
  <c r="H118" i="18" s="1"/>
  <c r="EC25" i="17"/>
  <c r="EW25" i="17" s="1"/>
  <c r="CR6" i="17"/>
  <c r="CR8" i="17" s="1"/>
  <c r="ER28" i="17"/>
  <c r="O249" i="18"/>
  <c r="EX8" i="17"/>
  <c r="EC28" i="17"/>
  <c r="DH11" i="17"/>
  <c r="J8" i="18"/>
  <c r="Q8" i="18" s="1"/>
  <c r="ET28" i="17"/>
  <c r="CE14" i="17"/>
  <c r="CM11" i="17"/>
  <c r="Q44" i="18"/>
  <c r="EK28" i="17"/>
  <c r="O256" i="18"/>
  <c r="EN28" i="17"/>
  <c r="O215" i="18"/>
  <c r="I54" i="18"/>
  <c r="P54" i="18" s="1"/>
  <c r="I181" i="18"/>
  <c r="CB19" i="17"/>
  <c r="I206" i="18" s="1"/>
  <c r="BK10" i="17"/>
  <c r="BK9" i="17"/>
  <c r="EP27" i="17"/>
  <c r="EQ13" i="17"/>
  <c r="EQ30" i="17" s="1"/>
  <c r="O146" i="18"/>
  <c r="CX15" i="17"/>
  <c r="P148" i="18"/>
  <c r="CZ16" i="17"/>
  <c r="EL29" i="17"/>
  <c r="EL31" i="17" s="1"/>
  <c r="EL14" i="17"/>
  <c r="H149" i="18"/>
  <c r="BT15" i="17"/>
  <c r="BS14" i="17"/>
  <c r="ED27" i="17"/>
  <c r="O156" i="18"/>
  <c r="DG14" i="17"/>
  <c r="DH15" i="17"/>
  <c r="EY9" i="17"/>
  <c r="EP12" i="17"/>
  <c r="EY12" i="17" s="1"/>
  <c r="EO26" i="17"/>
  <c r="EO29" i="17"/>
  <c r="EO14" i="17"/>
  <c r="DL11" i="17"/>
  <c r="O122" i="18"/>
  <c r="CW11" i="17"/>
  <c r="CX12" i="17"/>
  <c r="P93" i="18"/>
  <c r="CS10" i="17"/>
  <c r="DM7" i="17"/>
  <c r="DS7" i="17" s="1"/>
  <c r="H155" i="18"/>
  <c r="O252" i="18" s="1"/>
  <c r="BY14" i="17"/>
  <c r="BZ15" i="17"/>
  <c r="ET29" i="17"/>
  <c r="ET31" i="17" s="1"/>
  <c r="ET14" i="17"/>
  <c r="I180" i="18"/>
  <c r="CA19" i="17"/>
  <c r="I205" i="18" s="1"/>
  <c r="O154" i="18"/>
  <c r="DF15" i="17"/>
  <c r="I150" i="18"/>
  <c r="O247" i="18" s="1"/>
  <c r="BU16" i="17"/>
  <c r="BU17" i="17" s="1"/>
  <c r="O151" i="18"/>
  <c r="DB14" i="17"/>
  <c r="DC15" i="17"/>
  <c r="H147" i="18"/>
  <c r="BQ14" i="17"/>
  <c r="BR15" i="17"/>
  <c r="P156" i="18"/>
  <c r="DH16" i="17"/>
  <c r="EB9" i="17"/>
  <c r="EV6" i="17"/>
  <c r="EA8" i="17"/>
  <c r="EV8" i="17" s="1"/>
  <c r="EA23" i="17"/>
  <c r="DS4" i="17"/>
  <c r="O214" i="18"/>
  <c r="I8" i="18"/>
  <c r="I62" i="18"/>
  <c r="P62" i="18" s="1"/>
  <c r="H185" i="18"/>
  <c r="CE17" i="17"/>
  <c r="O152" i="18"/>
  <c r="DC14" i="17"/>
  <c r="DD15" i="17"/>
  <c r="EP11" i="17"/>
  <c r="ES29" i="17"/>
  <c r="ES31" i="17" s="1"/>
  <c r="ES14" i="17"/>
  <c r="H179" i="18"/>
  <c r="BZ18" i="17"/>
  <c r="H170" i="18"/>
  <c r="BQ18" i="17"/>
  <c r="P121" i="18"/>
  <c r="CW13" i="17"/>
  <c r="DT10" i="17"/>
  <c r="I154" i="18"/>
  <c r="CI13" i="17"/>
  <c r="BY16" i="17"/>
  <c r="BY17" i="17" s="1"/>
  <c r="ER29" i="17"/>
  <c r="ER31" i="17" s="1"/>
  <c r="ER14" i="17"/>
  <c r="P125" i="18"/>
  <c r="DA13" i="17"/>
  <c r="O132" i="18"/>
  <c r="DH12" i="17"/>
  <c r="DQ12" i="17" s="1"/>
  <c r="DQ9" i="17"/>
  <c r="O150" i="18"/>
  <c r="DB15" i="17"/>
  <c r="DT9" i="17"/>
  <c r="EK29" i="17"/>
  <c r="EK31" i="17" s="1"/>
  <c r="EK14" i="17"/>
  <c r="EX24" i="17"/>
  <c r="O124" i="18"/>
  <c r="CY11" i="17"/>
  <c r="CZ12" i="17"/>
  <c r="EX23" i="17"/>
  <c r="H176" i="18"/>
  <c r="BV17" i="17"/>
  <c r="BW18" i="17"/>
  <c r="O148" i="18"/>
  <c r="CY14" i="17"/>
  <c r="CZ15" i="17"/>
  <c r="O153" i="18"/>
  <c r="DD14" i="17"/>
  <c r="DE15" i="17"/>
  <c r="I172" i="18"/>
  <c r="BS19" i="17"/>
  <c r="I197" i="18" s="1"/>
  <c r="H156" i="18"/>
  <c r="CA15" i="17"/>
  <c r="CJ12" i="17"/>
  <c r="BZ14" i="17"/>
  <c r="O158" i="18"/>
  <c r="DJ15" i="17"/>
  <c r="P94" i="18"/>
  <c r="DN7" i="17"/>
  <c r="CT10" i="17"/>
  <c r="ET11" i="17"/>
  <c r="H157" i="18"/>
  <c r="O254" i="18" s="1"/>
  <c r="CB15" i="17"/>
  <c r="CA14" i="17"/>
  <c r="I182" i="18"/>
  <c r="CC19" i="17"/>
  <c r="I207" i="18" s="1"/>
  <c r="I37" i="18"/>
  <c r="P37" i="18" s="1"/>
  <c r="EM29" i="17"/>
  <c r="EL27" i="17"/>
  <c r="EL28" i="17" s="1"/>
  <c r="EM13" i="17"/>
  <c r="EM14" i="17" s="1"/>
  <c r="H175" i="18"/>
  <c r="BV18" i="17"/>
  <c r="DZ22" i="17"/>
  <c r="I177" i="18"/>
  <c r="BX19" i="17"/>
  <c r="EQ29" i="17"/>
  <c r="I184" i="18"/>
  <c r="CE19" i="17"/>
  <c r="I209" i="18" s="1"/>
  <c r="H177" i="18"/>
  <c r="BX18" i="17"/>
  <c r="BW17" i="17"/>
  <c r="H178" i="18"/>
  <c r="BX17" i="17"/>
  <c r="BY18" i="17"/>
  <c r="I119" i="18"/>
  <c r="BN13" i="17"/>
  <c r="CH10" i="17"/>
  <c r="ED30" i="17"/>
  <c r="P152" i="18"/>
  <c r="DD16" i="17"/>
  <c r="H184" i="18"/>
  <c r="CD17" i="17"/>
  <c r="CE18" i="17"/>
  <c r="CY16" i="17"/>
  <c r="I178" i="18"/>
  <c r="BY19" i="17"/>
  <c r="I203" i="18" s="1"/>
  <c r="P159" i="18"/>
  <c r="DK16" i="17"/>
  <c r="EO30" i="17"/>
  <c r="ED29" i="17"/>
  <c r="ED14" i="17"/>
  <c r="P155" i="18"/>
  <c r="DG16" i="17"/>
  <c r="O159" i="18"/>
  <c r="DK15" i="17"/>
  <c r="DJ14" i="17"/>
  <c r="EM26" i="17"/>
  <c r="EM11" i="17"/>
  <c r="EX9" i="17"/>
  <c r="EN12" i="17"/>
  <c r="P149" i="18"/>
  <c r="DA16" i="17"/>
  <c r="H148" i="18"/>
  <c r="O245" i="18" s="1"/>
  <c r="BS15" i="17"/>
  <c r="BR14" i="17"/>
  <c r="I45" i="18"/>
  <c r="P45" i="18" s="1"/>
  <c r="EY23" i="17"/>
  <c r="P129" i="18"/>
  <c r="DE13" i="17"/>
  <c r="ED11" i="17"/>
  <c r="EX10" i="17"/>
  <c r="P151" i="18"/>
  <c r="DC16" i="17"/>
  <c r="I174" i="18"/>
  <c r="BU19" i="17"/>
  <c r="I199" i="18" s="1"/>
  <c r="I173" i="18"/>
  <c r="BT19" i="17"/>
  <c r="I198" i="18" s="1"/>
  <c r="BT14" i="17"/>
  <c r="I145" i="18"/>
  <c r="BP16" i="17"/>
  <c r="CM13" i="17"/>
  <c r="P133" i="18"/>
  <c r="DI13" i="17"/>
  <c r="I158" i="18"/>
  <c r="O255" i="18" s="1"/>
  <c r="CC16" i="17"/>
  <c r="CI12" i="17"/>
  <c r="O160" i="18"/>
  <c r="DK14" i="17"/>
  <c r="DL15" i="17"/>
  <c r="CM12" i="17"/>
  <c r="H146" i="18"/>
  <c r="BP14" i="17"/>
  <c r="BQ15" i="17"/>
  <c r="CJ13" i="17"/>
  <c r="I176" i="18"/>
  <c r="BW19" i="17"/>
  <c r="I201" i="18" s="1"/>
  <c r="EQ28" i="17"/>
  <c r="I146" i="18"/>
  <c r="BQ16" i="17"/>
  <c r="EY24" i="17"/>
  <c r="P160" i="18"/>
  <c r="DL16" i="17"/>
  <c r="P185" i="18" s="1"/>
  <c r="EV22" i="17"/>
  <c r="ED25" i="17"/>
  <c r="CV11" i="17"/>
  <c r="P153" i="18"/>
  <c r="DE16" i="17"/>
  <c r="EY10" i="17"/>
  <c r="O248" i="18"/>
  <c r="C139" i="19"/>
  <c r="CT9" i="17"/>
  <c r="DN6" i="17"/>
  <c r="O161" i="18"/>
  <c r="P258" i="18" s="1"/>
  <c r="DL14" i="17"/>
  <c r="O130" i="18"/>
  <c r="DE11" i="17"/>
  <c r="DP9" i="17"/>
  <c r="DF12" i="17"/>
  <c r="CJ11" i="17"/>
  <c r="DR3" i="17"/>
  <c r="DT8" i="17"/>
  <c r="I118" i="18"/>
  <c r="CG10" i="17"/>
  <c r="BM13" i="17"/>
  <c r="EO25" i="17"/>
  <c r="EY25" i="17" s="1"/>
  <c r="CI11" i="17"/>
  <c r="DD11" i="17"/>
  <c r="O258" i="18"/>
  <c r="H183" i="18"/>
  <c r="CD18" i="17"/>
  <c r="DQ8" i="17"/>
  <c r="EA24" i="17"/>
  <c r="EV24" i="17" s="1"/>
  <c r="EB10" i="17"/>
  <c r="EV7" i="17"/>
  <c r="O94" i="18" l="1"/>
  <c r="BL11" i="17"/>
  <c r="Q53" i="18"/>
  <c r="S7" i="18"/>
  <c r="U7" i="18" s="1"/>
  <c r="P145" i="18"/>
  <c r="P242" i="18" s="1"/>
  <c r="CW15" i="17"/>
  <c r="CW17" i="17" s="1"/>
  <c r="CG9" i="17"/>
  <c r="CV14" i="17"/>
  <c r="DT12" i="17"/>
  <c r="K7" i="18"/>
  <c r="R7" i="18" s="1"/>
  <c r="CH9" i="17"/>
  <c r="DG11" i="17"/>
  <c r="DQ11" i="17" s="1"/>
  <c r="BM11" i="17"/>
  <c r="CH11" i="17" s="1"/>
  <c r="I27" i="18" s="1"/>
  <c r="P27" i="18" s="1"/>
  <c r="H119" i="18"/>
  <c r="Q36" i="18"/>
  <c r="P132" i="18"/>
  <c r="Q45" i="18" s="1"/>
  <c r="DH13" i="17"/>
  <c r="DQ13" i="17" s="1"/>
  <c r="DQ10" i="17"/>
  <c r="EP13" i="17"/>
  <c r="EP30" i="17" s="1"/>
  <c r="EY30" i="17" s="1"/>
  <c r="EO27" i="17"/>
  <c r="EX27" i="17" s="1"/>
  <c r="EQ14" i="17"/>
  <c r="DM6" i="17"/>
  <c r="DR6" i="17" s="1"/>
  <c r="BM12" i="17"/>
  <c r="H143" i="18" s="1"/>
  <c r="CS9" i="17"/>
  <c r="DN9" i="17" s="1"/>
  <c r="O93" i="18"/>
  <c r="Q54" i="18" s="1"/>
  <c r="CL6" i="17"/>
  <c r="CK6" i="17"/>
  <c r="DP11" i="17"/>
  <c r="CJ14" i="17"/>
  <c r="EX12" i="17"/>
  <c r="CI15" i="17"/>
  <c r="DP12" i="17"/>
  <c r="F8" i="19"/>
  <c r="G137" i="19"/>
  <c r="P215" i="18"/>
  <c r="P256" i="18"/>
  <c r="CM14" i="17"/>
  <c r="EX11" i="17"/>
  <c r="P250" i="18"/>
  <c r="I38" i="18"/>
  <c r="P38" i="18" s="1"/>
  <c r="EC13" i="17"/>
  <c r="EC30" i="17" s="1"/>
  <c r="EB27" i="17"/>
  <c r="EW27" i="17" s="1"/>
  <c r="EW10" i="17"/>
  <c r="P178" i="18"/>
  <c r="DF19" i="17"/>
  <c r="P203" i="18" s="1"/>
  <c r="H171" i="18"/>
  <c r="BR18" i="17"/>
  <c r="BQ17" i="17"/>
  <c r="I170" i="18"/>
  <c r="BQ19" i="17"/>
  <c r="I195" i="18" s="1"/>
  <c r="P176" i="18"/>
  <c r="DD19" i="17"/>
  <c r="P201" i="18" s="1"/>
  <c r="H204" i="18"/>
  <c r="I175" i="18"/>
  <c r="BV19" i="17"/>
  <c r="I200" i="18" s="1"/>
  <c r="O181" i="18"/>
  <c r="DH17" i="17"/>
  <c r="DI18" i="17"/>
  <c r="CK8" i="17"/>
  <c r="O185" i="18"/>
  <c r="DL17" i="17"/>
  <c r="I183" i="18"/>
  <c r="CD19" i="17"/>
  <c r="I208" i="18" s="1"/>
  <c r="P158" i="18"/>
  <c r="P255" i="18" s="1"/>
  <c r="DJ16" i="17"/>
  <c r="DJ17" i="17" s="1"/>
  <c r="P180" i="18"/>
  <c r="DH19" i="17"/>
  <c r="P205" i="18" s="1"/>
  <c r="ED31" i="17"/>
  <c r="DI14" i="17"/>
  <c r="EB26" i="17"/>
  <c r="EC12" i="17"/>
  <c r="EW9" i="17"/>
  <c r="EB11" i="17"/>
  <c r="EW11" i="17" s="1"/>
  <c r="O176" i="18"/>
  <c r="DD18" i="17"/>
  <c r="DC17" i="17"/>
  <c r="BN16" i="17"/>
  <c r="I143" i="18"/>
  <c r="CH13" i="17"/>
  <c r="DT11" i="17"/>
  <c r="BN15" i="17"/>
  <c r="CC17" i="17"/>
  <c r="O155" i="18"/>
  <c r="P252" i="18" s="1"/>
  <c r="DG15" i="17"/>
  <c r="DF14" i="17"/>
  <c r="O119" i="18"/>
  <c r="CU12" i="17"/>
  <c r="CT11" i="17"/>
  <c r="DO11" i="17" s="1"/>
  <c r="Q27" i="18" s="1"/>
  <c r="DO9" i="17"/>
  <c r="P257" i="18"/>
  <c r="EP28" i="17"/>
  <c r="BK13" i="17"/>
  <c r="DW8" i="17" s="1"/>
  <c r="BK12" i="17"/>
  <c r="O184" i="18"/>
  <c r="DL18" i="17"/>
  <c r="DK17" i="17"/>
  <c r="H209" i="18"/>
  <c r="CE20" i="17"/>
  <c r="I144" i="18"/>
  <c r="BO16" i="17"/>
  <c r="O242" i="18"/>
  <c r="I202" i="18"/>
  <c r="EM30" i="17"/>
  <c r="EX30" i="17" s="1"/>
  <c r="H182" i="18"/>
  <c r="CB17" i="17"/>
  <c r="CC18" i="17"/>
  <c r="O253" i="18"/>
  <c r="I46" i="18"/>
  <c r="P245" i="18"/>
  <c r="O170" i="18"/>
  <c r="O175" i="18"/>
  <c r="DC18" i="17"/>
  <c r="H195" i="18"/>
  <c r="P249" i="18"/>
  <c r="K8" i="18"/>
  <c r="P8" i="18"/>
  <c r="C8" i="19"/>
  <c r="P248" i="18"/>
  <c r="ED28" i="17"/>
  <c r="O179" i="18"/>
  <c r="DG18" i="17"/>
  <c r="O147" i="18"/>
  <c r="P244" i="18" s="1"/>
  <c r="CY15" i="17"/>
  <c r="CX14" i="17"/>
  <c r="EY26" i="17"/>
  <c r="O246" i="18"/>
  <c r="G138" i="19"/>
  <c r="O171" i="18"/>
  <c r="CY18" i="17"/>
  <c r="I117" i="18"/>
  <c r="J9" i="18" s="1"/>
  <c r="Q9" i="18" s="1"/>
  <c r="CF10" i="17"/>
  <c r="BL13" i="17"/>
  <c r="O251" i="18"/>
  <c r="H208" i="18"/>
  <c r="P174" i="18"/>
  <c r="DB19" i="17"/>
  <c r="P199" i="18" s="1"/>
  <c r="P184" i="18"/>
  <c r="DL19" i="17"/>
  <c r="P209" i="18" s="1"/>
  <c r="H202" i="18"/>
  <c r="BX20" i="17"/>
  <c r="CR10" i="17"/>
  <c r="CR9" i="17"/>
  <c r="BP17" i="17"/>
  <c r="O244" i="18"/>
  <c r="C138" i="19"/>
  <c r="EP29" i="17"/>
  <c r="EP31" i="17" s="1"/>
  <c r="DA19" i="17"/>
  <c r="P198" i="18" s="1"/>
  <c r="P173" i="18"/>
  <c r="I171" i="18"/>
  <c r="BR19" i="17"/>
  <c r="I196" i="18" s="1"/>
  <c r="P154" i="18"/>
  <c r="DF16" i="17"/>
  <c r="DP13" i="17"/>
  <c r="EM28" i="17"/>
  <c r="EX26" i="17"/>
  <c r="P172" i="18"/>
  <c r="CZ19" i="17"/>
  <c r="P197" i="18" s="1"/>
  <c r="DR7" i="17"/>
  <c r="CI14" i="17"/>
  <c r="EQ31" i="17"/>
  <c r="H200" i="18"/>
  <c r="DM8" i="17"/>
  <c r="DR8" i="17" s="1"/>
  <c r="O173" i="18"/>
  <c r="CZ17" i="17"/>
  <c r="DA18" i="17"/>
  <c r="P150" i="18"/>
  <c r="P247" i="18" s="1"/>
  <c r="DB16" i="17"/>
  <c r="I179" i="18"/>
  <c r="BZ19" i="17"/>
  <c r="P146" i="18"/>
  <c r="P243" i="18" s="1"/>
  <c r="CX16" i="17"/>
  <c r="O177" i="18"/>
  <c r="DD17" i="17"/>
  <c r="DE18" i="17"/>
  <c r="CJ16" i="17"/>
  <c r="DT13" i="17"/>
  <c r="P118" i="18"/>
  <c r="CT13" i="17"/>
  <c r="DN10" i="17"/>
  <c r="H144" i="18"/>
  <c r="BO15" i="17"/>
  <c r="BN14" i="17"/>
  <c r="EX25" i="17"/>
  <c r="O243" i="18"/>
  <c r="H173" i="18"/>
  <c r="BT18" i="17"/>
  <c r="BS17" i="17"/>
  <c r="EN29" i="17"/>
  <c r="EN31" i="17" s="1"/>
  <c r="EN14" i="17"/>
  <c r="CI16" i="17"/>
  <c r="P177" i="18"/>
  <c r="DE19" i="17"/>
  <c r="H203" i="18"/>
  <c r="BY20" i="17"/>
  <c r="O118" i="18"/>
  <c r="P119" i="18"/>
  <c r="DO10" i="17"/>
  <c r="CU13" i="17"/>
  <c r="O183" i="18"/>
  <c r="DK18" i="17"/>
  <c r="H181" i="18"/>
  <c r="CB18" i="17"/>
  <c r="CA17" i="17"/>
  <c r="O178" i="18"/>
  <c r="DF18" i="17"/>
  <c r="DE17" i="17"/>
  <c r="H201" i="18"/>
  <c r="BW20" i="17"/>
  <c r="O149" i="18"/>
  <c r="P246" i="18" s="1"/>
  <c r="CZ14" i="17"/>
  <c r="DA15" i="17"/>
  <c r="DA14" i="17"/>
  <c r="O157" i="18"/>
  <c r="DH14" i="17"/>
  <c r="DI15" i="17"/>
  <c r="EA25" i="17"/>
  <c r="EV25" i="17" s="1"/>
  <c r="EV23" i="17"/>
  <c r="DI19" i="17"/>
  <c r="P206" i="18" s="1"/>
  <c r="P181" i="18"/>
  <c r="H172" i="18"/>
  <c r="BR17" i="17"/>
  <c r="BS18" i="17"/>
  <c r="DE14" i="17"/>
  <c r="H180" i="18"/>
  <c r="CJ15" i="17"/>
  <c r="BZ17" i="17"/>
  <c r="CA18" i="17"/>
  <c r="P170" i="18"/>
  <c r="CX19" i="17"/>
  <c r="P195" i="18" s="1"/>
  <c r="T8" i="18"/>
  <c r="EO31" i="17"/>
  <c r="EY11" i="17"/>
  <c r="P253" i="18"/>
  <c r="H174" i="18"/>
  <c r="BT17" i="17"/>
  <c r="BU18" i="17"/>
  <c r="CW14" i="17"/>
  <c r="H117" i="18"/>
  <c r="BK11" i="17"/>
  <c r="CF9" i="17"/>
  <c r="BL12" i="17"/>
  <c r="BM14" i="17" l="1"/>
  <c r="DW10" i="17"/>
  <c r="DW16" i="17" s="1"/>
  <c r="DW17" i="17" s="1"/>
  <c r="DX1" i="17" s="1"/>
  <c r="EP14" i="17"/>
  <c r="EX13" i="17"/>
  <c r="EY13" i="17"/>
  <c r="DW7" i="17"/>
  <c r="DW9" i="17" s="1"/>
  <c r="CH12" i="17"/>
  <c r="CF11" i="17"/>
  <c r="CK11" i="17" s="1"/>
  <c r="CS11" i="17"/>
  <c r="BV20" i="17"/>
  <c r="EY14" i="17"/>
  <c r="CX18" i="17"/>
  <c r="O195" i="18" s="1"/>
  <c r="Q37" i="18"/>
  <c r="DS6" i="17"/>
  <c r="EO28" i="17"/>
  <c r="EX28" i="17" s="1"/>
  <c r="CG11" i="17"/>
  <c r="I19" i="18" s="1"/>
  <c r="P19" i="18" s="1"/>
  <c r="CD20" i="17"/>
  <c r="EY27" i="17"/>
  <c r="EX14" i="17"/>
  <c r="P157" i="18"/>
  <c r="P254" i="18" s="1"/>
  <c r="DI16" i="17"/>
  <c r="DP16" i="17" s="1"/>
  <c r="P214" i="18"/>
  <c r="CT12" i="17"/>
  <c r="O143" i="18" s="1"/>
  <c r="Q62" i="18"/>
  <c r="S8" i="18"/>
  <c r="U8" i="18" s="1"/>
  <c r="D43" i="21" s="1"/>
  <c r="DT14" i="17"/>
  <c r="DQ14" i="17"/>
  <c r="O241" i="18"/>
  <c r="CH14" i="17"/>
  <c r="I28" i="18" s="1"/>
  <c r="P28" i="18" s="1"/>
  <c r="C70" i="19"/>
  <c r="EY31" i="17"/>
  <c r="DP14" i="17"/>
  <c r="EM31" i="17"/>
  <c r="EX31" i="17" s="1"/>
  <c r="CL9" i="17"/>
  <c r="CK9" i="17"/>
  <c r="H199" i="18"/>
  <c r="BU20" i="17"/>
  <c r="H205" i="18"/>
  <c r="CA20" i="17"/>
  <c r="O203" i="18"/>
  <c r="DF20" i="17"/>
  <c r="P144" i="18"/>
  <c r="CV16" i="17"/>
  <c r="H198" i="18"/>
  <c r="BT20" i="17"/>
  <c r="CR12" i="17"/>
  <c r="CR13" i="17"/>
  <c r="I204" i="18"/>
  <c r="CJ19" i="17"/>
  <c r="CL10" i="17"/>
  <c r="CK10" i="17"/>
  <c r="I169" i="18"/>
  <c r="BP19" i="17"/>
  <c r="I194" i="18" s="1"/>
  <c r="CM16" i="17"/>
  <c r="O180" i="18"/>
  <c r="DH18" i="17"/>
  <c r="DG17" i="17"/>
  <c r="DQ15" i="17"/>
  <c r="P183" i="18"/>
  <c r="DK19" i="17"/>
  <c r="P208" i="18" s="1"/>
  <c r="BZ20" i="17"/>
  <c r="H196" i="18"/>
  <c r="BR20" i="17"/>
  <c r="CJ17" i="17"/>
  <c r="H197" i="18"/>
  <c r="BS20" i="17"/>
  <c r="O182" i="18"/>
  <c r="DJ18" i="17"/>
  <c r="O174" i="18"/>
  <c r="DB18" i="17"/>
  <c r="DA17" i="17"/>
  <c r="O208" i="18"/>
  <c r="DN11" i="17"/>
  <c r="Q19" i="18" s="1"/>
  <c r="P202" i="18"/>
  <c r="P251" i="18"/>
  <c r="CS12" i="17"/>
  <c r="O117" i="18"/>
  <c r="CR11" i="17"/>
  <c r="DM11" i="17" s="1"/>
  <c r="DM9" i="17"/>
  <c r="O204" i="18"/>
  <c r="R8" i="18"/>
  <c r="D6" i="19"/>
  <c r="D7" i="19" s="1"/>
  <c r="P46" i="18"/>
  <c r="C71" i="19"/>
  <c r="H207" i="18"/>
  <c r="CC20" i="17"/>
  <c r="H141" i="18"/>
  <c r="BL15" i="17"/>
  <c r="BK14" i="17"/>
  <c r="CF12" i="17"/>
  <c r="O144" i="18"/>
  <c r="CU14" i="17"/>
  <c r="CV15" i="17"/>
  <c r="H168" i="18"/>
  <c r="BN17" i="17"/>
  <c r="BO18" i="17"/>
  <c r="I168" i="18"/>
  <c r="BO19" i="17"/>
  <c r="O206" i="18"/>
  <c r="DI20" i="17"/>
  <c r="I9" i="18"/>
  <c r="I55" i="18"/>
  <c r="P55" i="18" s="1"/>
  <c r="I63" i="18"/>
  <c r="P63" i="18" s="1"/>
  <c r="H169" i="18"/>
  <c r="BP18" i="17"/>
  <c r="BO17" i="17"/>
  <c r="CM17" i="17" s="1"/>
  <c r="CM15" i="17"/>
  <c r="P143" i="18"/>
  <c r="DO13" i="17"/>
  <c r="CU16" i="17"/>
  <c r="P171" i="18"/>
  <c r="CY19" i="17"/>
  <c r="P196" i="18" s="1"/>
  <c r="P175" i="18"/>
  <c r="DC19" i="17"/>
  <c r="P200" i="18" s="1"/>
  <c r="P179" i="18"/>
  <c r="DG19" i="17"/>
  <c r="DG20" i="17" s="1"/>
  <c r="P117" i="18"/>
  <c r="T9" i="18" s="1"/>
  <c r="CS13" i="17"/>
  <c r="DM10" i="17"/>
  <c r="O196" i="18"/>
  <c r="DF17" i="17"/>
  <c r="O200" i="18"/>
  <c r="CI19" i="17"/>
  <c r="O209" i="18"/>
  <c r="DL20" i="17"/>
  <c r="I141" i="18"/>
  <c r="BL16" i="17"/>
  <c r="CF13" i="17"/>
  <c r="DS8" i="17"/>
  <c r="O201" i="18"/>
  <c r="DD20" i="17"/>
  <c r="EC29" i="17"/>
  <c r="EC31" i="17" s="1"/>
  <c r="EC14" i="17"/>
  <c r="H142" i="18"/>
  <c r="CG12" i="17"/>
  <c r="BL14" i="17"/>
  <c r="CG14" i="17" s="1"/>
  <c r="I20" i="18" s="1"/>
  <c r="BM15" i="17"/>
  <c r="EY29" i="17"/>
  <c r="DP15" i="17"/>
  <c r="H206" i="18"/>
  <c r="CB20" i="17"/>
  <c r="CT14" i="17"/>
  <c r="EX29" i="17"/>
  <c r="O202" i="18"/>
  <c r="DE20" i="17"/>
  <c r="O198" i="18"/>
  <c r="DA20" i="17"/>
  <c r="CI18" i="17"/>
  <c r="I142" i="18"/>
  <c r="CG13" i="17"/>
  <c r="BM16" i="17"/>
  <c r="CX17" i="17"/>
  <c r="O172" i="18"/>
  <c r="CZ18" i="17"/>
  <c r="CY17" i="17"/>
  <c r="BQ20" i="17"/>
  <c r="DB17" i="17"/>
  <c r="CI17" i="17"/>
  <c r="O240" i="18"/>
  <c r="EB28" i="17"/>
  <c r="EW28" i="17" s="1"/>
  <c r="EW26" i="17"/>
  <c r="CJ18" i="17"/>
  <c r="CL11" i="17" l="1"/>
  <c r="CU15" i="17"/>
  <c r="DO12" i="17"/>
  <c r="CX20" i="17"/>
  <c r="EY28" i="17"/>
  <c r="DQ16" i="17"/>
  <c r="F37" i="19"/>
  <c r="F41" i="19" s="1"/>
  <c r="Q46" i="18"/>
  <c r="C113" i="21" s="1"/>
  <c r="DI17" i="17"/>
  <c r="DP17" i="17" s="1"/>
  <c r="P241" i="18"/>
  <c r="Q38" i="18"/>
  <c r="C112" i="21" s="1"/>
  <c r="P182" i="18"/>
  <c r="DJ19" i="17"/>
  <c r="P207" i="18" s="1"/>
  <c r="DK20" i="17"/>
  <c r="EE4" i="17"/>
  <c r="EF7" i="17" s="1"/>
  <c r="EE12" i="17"/>
  <c r="EE3" i="17"/>
  <c r="EE9" i="17"/>
  <c r="EF4" i="17"/>
  <c r="EF21" i="17" s="1"/>
  <c r="EG4" i="17"/>
  <c r="DX18" i="17"/>
  <c r="EE13" i="17"/>
  <c r="EE30" i="17" s="1"/>
  <c r="EE7" i="17"/>
  <c r="EE10" i="17"/>
  <c r="EE27" i="17" s="1"/>
  <c r="C37" i="21"/>
  <c r="EE6" i="17"/>
  <c r="EF3" i="17"/>
  <c r="EG6" i="17" s="1"/>
  <c r="EG3" i="17"/>
  <c r="DC20" i="17"/>
  <c r="D46" i="21"/>
  <c r="DO14" i="17"/>
  <c r="Q28" i="18" s="1"/>
  <c r="F79" i="21" s="1"/>
  <c r="C83" i="21" s="1"/>
  <c r="P240" i="18"/>
  <c r="CF14" i="17"/>
  <c r="CY20" i="17"/>
  <c r="CL13" i="17"/>
  <c r="CK13" i="17"/>
  <c r="H194" i="18"/>
  <c r="BP20" i="17"/>
  <c r="O238" i="18"/>
  <c r="I10" i="18"/>
  <c r="I56" i="18"/>
  <c r="I64" i="18"/>
  <c r="DR11" i="17"/>
  <c r="DS11" i="17"/>
  <c r="O207" i="18"/>
  <c r="DJ20" i="17"/>
  <c r="O205" i="18"/>
  <c r="DH20" i="17"/>
  <c r="DP18" i="17"/>
  <c r="O168" i="18"/>
  <c r="CV18" i="17"/>
  <c r="CU17" i="17"/>
  <c r="P20" i="18"/>
  <c r="F36" i="19"/>
  <c r="F40" i="19" s="1"/>
  <c r="I166" i="18"/>
  <c r="BM19" i="17"/>
  <c r="CG16" i="17"/>
  <c r="P204" i="18"/>
  <c r="DQ19" i="17"/>
  <c r="I193" i="18"/>
  <c r="CM19" i="17"/>
  <c r="CK12" i="17"/>
  <c r="CL12" i="17"/>
  <c r="DQ18" i="17"/>
  <c r="S9" i="18"/>
  <c r="U9" i="18" s="1"/>
  <c r="Q55" i="18"/>
  <c r="Q63" i="18"/>
  <c r="O199" i="18"/>
  <c r="DB20" i="17"/>
  <c r="CJ20" i="17"/>
  <c r="CI20" i="17"/>
  <c r="P141" i="18"/>
  <c r="DM13" i="17"/>
  <c r="CS16" i="17"/>
  <c r="O197" i="18"/>
  <c r="CZ20" i="17"/>
  <c r="I167" i="18"/>
  <c r="BN19" i="17"/>
  <c r="I192" i="18" s="1"/>
  <c r="CH16" i="17"/>
  <c r="H167" i="18"/>
  <c r="BN18" i="17"/>
  <c r="CH15" i="17"/>
  <c r="BM17" i="17"/>
  <c r="CH17" i="17" s="1"/>
  <c r="J10" i="18"/>
  <c r="DS10" i="17"/>
  <c r="DR10" i="17"/>
  <c r="O169" i="18"/>
  <c r="CV17" i="17"/>
  <c r="DT17" i="17" s="1"/>
  <c r="DT15" i="17"/>
  <c r="CW18" i="17"/>
  <c r="O142" i="18"/>
  <c r="CT15" i="17"/>
  <c r="CS14" i="17"/>
  <c r="DN14" i="17" s="1"/>
  <c r="Q20" i="18" s="1"/>
  <c r="F78" i="21" s="1"/>
  <c r="DN12" i="17"/>
  <c r="O141" i="18"/>
  <c r="DM12" i="17"/>
  <c r="CR14" i="17"/>
  <c r="CS15" i="17"/>
  <c r="O239" i="18"/>
  <c r="P142" i="18"/>
  <c r="CT16" i="17"/>
  <c r="DN13" i="17"/>
  <c r="P168" i="18"/>
  <c r="CV19" i="17"/>
  <c r="K9" i="18"/>
  <c r="R9" i="18" s="1"/>
  <c r="P9" i="18"/>
  <c r="H193" i="18"/>
  <c r="BO20" i="17"/>
  <c r="CM18" i="17"/>
  <c r="H166" i="18"/>
  <c r="BL17" i="17"/>
  <c r="BM18" i="17"/>
  <c r="CG15" i="17"/>
  <c r="DR9" i="17"/>
  <c r="DS9" i="17"/>
  <c r="DP19" i="17"/>
  <c r="BK15" i="17"/>
  <c r="BK16" i="17"/>
  <c r="P169" i="18"/>
  <c r="CW19" i="17"/>
  <c r="P194" i="18" s="1"/>
  <c r="DT16" i="17"/>
  <c r="CM20" i="17" l="1"/>
  <c r="EG7" i="17"/>
  <c r="EG24" i="17" s="1"/>
  <c r="DP20" i="17"/>
  <c r="DQ17" i="17"/>
  <c r="EE24" i="17"/>
  <c r="FB7" i="17"/>
  <c r="EG23" i="17"/>
  <c r="EG8" i="17"/>
  <c r="EH9" i="17"/>
  <c r="EH10" i="17"/>
  <c r="DQ20" i="17"/>
  <c r="EF10" i="17"/>
  <c r="EG21" i="17"/>
  <c r="EH7" i="17"/>
  <c r="D37" i="21"/>
  <c r="C39" i="21"/>
  <c r="C38" i="21"/>
  <c r="D39" i="21"/>
  <c r="D38" i="21"/>
  <c r="EF24" i="17"/>
  <c r="EG10" i="17"/>
  <c r="EF12" i="17"/>
  <c r="EE26" i="17"/>
  <c r="EE28" i="17" s="1"/>
  <c r="EE11" i="17"/>
  <c r="EF13" i="17"/>
  <c r="EF6" i="17"/>
  <c r="EE20" i="17"/>
  <c r="EE5" i="17"/>
  <c r="FB3" i="17"/>
  <c r="EU3" i="17"/>
  <c r="EH6" i="17"/>
  <c r="EG20" i="17"/>
  <c r="EG5" i="17"/>
  <c r="EE14" i="17"/>
  <c r="EE29" i="17"/>
  <c r="EF20" i="17"/>
  <c r="EF22" i="17" s="1"/>
  <c r="EF5" i="17"/>
  <c r="FB4" i="17"/>
  <c r="EE21" i="17"/>
  <c r="EU4" i="17"/>
  <c r="EF9" i="17"/>
  <c r="EE8" i="17"/>
  <c r="EE23" i="17"/>
  <c r="CG17" i="17"/>
  <c r="C82" i="21"/>
  <c r="CL14" i="17"/>
  <c r="CK14" i="17"/>
  <c r="DM14" i="17"/>
  <c r="DS14" i="17" s="1"/>
  <c r="DS12" i="17"/>
  <c r="DR12" i="17"/>
  <c r="DS13" i="17"/>
  <c r="DR13" i="17"/>
  <c r="O193" i="18"/>
  <c r="CV20" i="17"/>
  <c r="DT18" i="17"/>
  <c r="P64" i="18"/>
  <c r="E75" i="19"/>
  <c r="G71" i="19"/>
  <c r="S10" i="18"/>
  <c r="P238" i="18"/>
  <c r="Q64" i="18"/>
  <c r="Q56" i="18"/>
  <c r="P239" i="18"/>
  <c r="H192" i="18"/>
  <c r="BN20" i="17"/>
  <c r="T10" i="18"/>
  <c r="P56" i="18"/>
  <c r="E74" i="19"/>
  <c r="G70" i="19"/>
  <c r="O167" i="18"/>
  <c r="CT17" i="17"/>
  <c r="DO17" i="17" s="1"/>
  <c r="DO15" i="17"/>
  <c r="CU18" i="17"/>
  <c r="Q10" i="18"/>
  <c r="F12" i="19"/>
  <c r="I165" i="18"/>
  <c r="CF16" i="17"/>
  <c r="BL19" i="17"/>
  <c r="H191" i="18"/>
  <c r="CH18" i="17"/>
  <c r="BM20" i="17"/>
  <c r="P193" i="18"/>
  <c r="DT19" i="17"/>
  <c r="O166" i="18"/>
  <c r="CT18" i="17"/>
  <c r="DN15" i="17"/>
  <c r="CS17" i="17"/>
  <c r="BK19" i="17"/>
  <c r="BK18" i="17"/>
  <c r="K10" i="18"/>
  <c r="P10" i="18"/>
  <c r="C12" i="19"/>
  <c r="CR16" i="17"/>
  <c r="CR15" i="17"/>
  <c r="H165" i="18"/>
  <c r="BL18" i="17"/>
  <c r="CF15" i="17"/>
  <c r="BK17" i="17"/>
  <c r="CF17" i="17" s="1"/>
  <c r="P167" i="18"/>
  <c r="CU19" i="17"/>
  <c r="P192" i="18" s="1"/>
  <c r="DO16" i="17"/>
  <c r="O194" i="18"/>
  <c r="CW20" i="17"/>
  <c r="P166" i="18"/>
  <c r="DN16" i="17"/>
  <c r="CT19" i="17"/>
  <c r="I191" i="18"/>
  <c r="CH19" i="17"/>
  <c r="EE25" i="17" l="1"/>
  <c r="EF23" i="17"/>
  <c r="EF8" i="17"/>
  <c r="FB8" i="17" s="1"/>
  <c r="EG9" i="17"/>
  <c r="EF30" i="17"/>
  <c r="EH24" i="17"/>
  <c r="EI10" i="17"/>
  <c r="EF27" i="17"/>
  <c r="EG13" i="17"/>
  <c r="EG30" i="17" s="1"/>
  <c r="FB6" i="17"/>
  <c r="EF29" i="17"/>
  <c r="EF14" i="17"/>
  <c r="EG22" i="17"/>
  <c r="FB10" i="17"/>
  <c r="EG27" i="17"/>
  <c r="EH13" i="17"/>
  <c r="EH30" i="17" s="1"/>
  <c r="EI13" i="17"/>
  <c r="EI30" i="17" s="1"/>
  <c r="EH27" i="17"/>
  <c r="EH23" i="17"/>
  <c r="EI9" i="17"/>
  <c r="EH8" i="17"/>
  <c r="EF25" i="17"/>
  <c r="EH26" i="17"/>
  <c r="EI12" i="17"/>
  <c r="EH11" i="17"/>
  <c r="EE31" i="17"/>
  <c r="EG12" i="17"/>
  <c r="EF26" i="17"/>
  <c r="EF11" i="17"/>
  <c r="FA3" i="17"/>
  <c r="EZ3" i="17"/>
  <c r="FA4" i="17"/>
  <c r="EZ4" i="17"/>
  <c r="FB23" i="17"/>
  <c r="EG25" i="17"/>
  <c r="FB21" i="17"/>
  <c r="EU21" i="17"/>
  <c r="FB5" i="17"/>
  <c r="EU5" i="17"/>
  <c r="DZ7" i="17"/>
  <c r="DZ6" i="17"/>
  <c r="FB20" i="17"/>
  <c r="EE22" i="17"/>
  <c r="EU20" i="17"/>
  <c r="FB24" i="17"/>
  <c r="DR14" i="17"/>
  <c r="CH20" i="17"/>
  <c r="DN17" i="17"/>
  <c r="CK15" i="17"/>
  <c r="CL15" i="17"/>
  <c r="P165" i="18"/>
  <c r="CS19" i="17"/>
  <c r="DM16" i="17"/>
  <c r="CK16" i="17"/>
  <c r="CL16" i="17"/>
  <c r="E116" i="21"/>
  <c r="G112" i="21"/>
  <c r="H190" i="18"/>
  <c r="BL20" i="17"/>
  <c r="CG20" i="17" s="1"/>
  <c r="CG18" i="17"/>
  <c r="CR19" i="17"/>
  <c r="CR18" i="17"/>
  <c r="E117" i="21"/>
  <c r="G113" i="21"/>
  <c r="H189" i="18"/>
  <c r="BK20" i="17"/>
  <c r="CF18" i="17"/>
  <c r="DT20" i="17"/>
  <c r="DO19" i="17"/>
  <c r="P191" i="18"/>
  <c r="CL17" i="17"/>
  <c r="CK17" i="17"/>
  <c r="O165" i="18"/>
  <c r="CR17" i="17"/>
  <c r="DM17" i="17" s="1"/>
  <c r="DM15" i="17"/>
  <c r="CS18" i="17"/>
  <c r="R10" i="18"/>
  <c r="D10" i="19"/>
  <c r="D11" i="19" s="1"/>
  <c r="I189" i="18"/>
  <c r="CF19" i="17"/>
  <c r="O191" i="18"/>
  <c r="CT20" i="17"/>
  <c r="DO18" i="17"/>
  <c r="I190" i="18"/>
  <c r="CG19" i="17"/>
  <c r="O192" i="18"/>
  <c r="CU20" i="17"/>
  <c r="U10" i="18"/>
  <c r="D44" i="21" s="1"/>
  <c r="EH28" i="17" l="1"/>
  <c r="EH25" i="17"/>
  <c r="EF28" i="17"/>
  <c r="EF31" i="17"/>
  <c r="FA20" i="17"/>
  <c r="EZ20" i="17"/>
  <c r="FB22" i="17"/>
  <c r="EU22" i="17"/>
  <c r="EI27" i="17"/>
  <c r="EJ13" i="17"/>
  <c r="EJ30" i="17" s="1"/>
  <c r="EA9" i="17"/>
  <c r="DZ8" i="17"/>
  <c r="EU8" i="17" s="1"/>
  <c r="EU6" i="17"/>
  <c r="DZ23" i="17"/>
  <c r="EU7" i="17"/>
  <c r="EA10" i="17"/>
  <c r="DZ24" i="17"/>
  <c r="EU24" i="17" s="1"/>
  <c r="FB13" i="17"/>
  <c r="EJ12" i="17"/>
  <c r="EI11" i="17"/>
  <c r="EI26" i="17"/>
  <c r="FA5" i="17"/>
  <c r="EZ5" i="17"/>
  <c r="EG29" i="17"/>
  <c r="EG31" i="17" s="1"/>
  <c r="FB31" i="17" s="1"/>
  <c r="EG14" i="17"/>
  <c r="FB14" i="17" s="1"/>
  <c r="FB30" i="17"/>
  <c r="FB27" i="17"/>
  <c r="EH12" i="17"/>
  <c r="EG26" i="17"/>
  <c r="EG11" i="17"/>
  <c r="FB11" i="17" s="1"/>
  <c r="FB9" i="17"/>
  <c r="FA21" i="17"/>
  <c r="EZ21" i="17"/>
  <c r="DZ9" i="17"/>
  <c r="DZ10" i="17"/>
  <c r="FB25" i="17"/>
  <c r="EI29" i="17"/>
  <c r="EI31" i="17" s="1"/>
  <c r="EI14" i="17"/>
  <c r="FB12" i="17"/>
  <c r="D47" i="21"/>
  <c r="DO20" i="17"/>
  <c r="CL19" i="17"/>
  <c r="CK19" i="17"/>
  <c r="O190" i="18"/>
  <c r="DN18" i="17"/>
  <c r="CS20" i="17"/>
  <c r="DN20" i="17" s="1"/>
  <c r="DR17" i="17"/>
  <c r="DS17" i="17"/>
  <c r="CK18" i="17"/>
  <c r="CL18" i="17"/>
  <c r="DR16" i="17"/>
  <c r="DS16" i="17"/>
  <c r="CF20" i="17"/>
  <c r="O189" i="18"/>
  <c r="CR20" i="17"/>
  <c r="DM18" i="17"/>
  <c r="P190" i="18"/>
  <c r="DN19" i="17"/>
  <c r="P189" i="18"/>
  <c r="DM19" i="17"/>
  <c r="DR15" i="17"/>
  <c r="DS15" i="17"/>
  <c r="EI28" i="17" l="1"/>
  <c r="FB29" i="17"/>
  <c r="DZ25" i="17"/>
  <c r="EU25" i="17" s="1"/>
  <c r="EU23" i="17"/>
  <c r="EZ8" i="17"/>
  <c r="FA8" i="17"/>
  <c r="EU9" i="17"/>
  <c r="EA11" i="17"/>
  <c r="EV11" i="17" s="1"/>
  <c r="EV9" i="17"/>
  <c r="EB12" i="17"/>
  <c r="EA26" i="17"/>
  <c r="EA13" i="17"/>
  <c r="DZ27" i="17"/>
  <c r="EU10" i="17"/>
  <c r="FA6" i="17"/>
  <c r="EZ6" i="17"/>
  <c r="FA7" i="17"/>
  <c r="EZ7" i="17"/>
  <c r="EA12" i="17"/>
  <c r="DZ26" i="17"/>
  <c r="DZ11" i="17"/>
  <c r="EU11" i="17" s="1"/>
  <c r="EZ11" i="17" s="1"/>
  <c r="H36" i="21"/>
  <c r="FA22" i="17"/>
  <c r="EZ22" i="17"/>
  <c r="EJ29" i="17"/>
  <c r="EJ31" i="17" s="1"/>
  <c r="EJ14" i="17"/>
  <c r="FB26" i="17"/>
  <c r="EG28" i="17"/>
  <c r="FB28" i="17" s="1"/>
  <c r="DZ12" i="17"/>
  <c r="DZ13" i="17"/>
  <c r="EH29" i="17"/>
  <c r="EH31" i="17" s="1"/>
  <c r="EH14" i="17"/>
  <c r="FA24" i="17"/>
  <c r="EZ24" i="17"/>
  <c r="EV10" i="17"/>
  <c r="EB13" i="17"/>
  <c r="EA27" i="17"/>
  <c r="EV27" i="17" s="1"/>
  <c r="DM20" i="17"/>
  <c r="DS20" i="17" s="1"/>
  <c r="DR19" i="17"/>
  <c r="DS19" i="17"/>
  <c r="CL20" i="17"/>
  <c r="CK20" i="17"/>
  <c r="DR18" i="17"/>
  <c r="DS18" i="17"/>
  <c r="FA11" i="17" l="1"/>
  <c r="EU27" i="17"/>
  <c r="EA28" i="17"/>
  <c r="EV28" i="17" s="1"/>
  <c r="EV26" i="17"/>
  <c r="EZ10" i="17"/>
  <c r="FA10" i="17"/>
  <c r="EW12" i="17"/>
  <c r="EB29" i="17"/>
  <c r="EB14" i="17"/>
  <c r="EW14" i="17" s="1"/>
  <c r="EW13" i="17"/>
  <c r="EB30" i="17"/>
  <c r="EW30" i="17" s="1"/>
  <c r="EA29" i="17"/>
  <c r="EA14" i="17"/>
  <c r="EV12" i="17"/>
  <c r="EZ9" i="17"/>
  <c r="FA9" i="17"/>
  <c r="DZ30" i="17"/>
  <c r="EU13" i="17"/>
  <c r="DZ29" i="17"/>
  <c r="DZ31" i="17" s="1"/>
  <c r="DZ14" i="17"/>
  <c r="EU12" i="17"/>
  <c r="EA30" i="17"/>
  <c r="EV13" i="17"/>
  <c r="FA23" i="17"/>
  <c r="EZ23" i="17"/>
  <c r="DZ28" i="17"/>
  <c r="EU26" i="17"/>
  <c r="H37" i="21"/>
  <c r="FA25" i="17"/>
  <c r="EZ25" i="17"/>
  <c r="DR20" i="17"/>
  <c r="EU28" i="17" l="1"/>
  <c r="EV30" i="17"/>
  <c r="EV14" i="17"/>
  <c r="EZ12" i="17"/>
  <c r="FA12" i="17"/>
  <c r="EU29" i="17"/>
  <c r="EW29" i="17"/>
  <c r="EB31" i="17"/>
  <c r="EW31" i="17" s="1"/>
  <c r="EA31" i="17"/>
  <c r="EV29" i="17"/>
  <c r="EU30" i="17"/>
  <c r="EU14" i="17"/>
  <c r="FA13" i="17"/>
  <c r="EZ13" i="17"/>
  <c r="EZ26" i="17"/>
  <c r="FA26" i="17"/>
  <c r="FA28" i="17"/>
  <c r="EZ28" i="17"/>
  <c r="H38" i="21"/>
  <c r="EZ27" i="17"/>
  <c r="FA27" i="17"/>
  <c r="EV31" i="17" l="1"/>
  <c r="EZ14" i="17"/>
  <c r="FA14" i="17"/>
  <c r="FA30" i="17"/>
  <c r="EZ30" i="17"/>
  <c r="FA29" i="17"/>
  <c r="EZ29" i="17"/>
  <c r="EU31" i="17"/>
  <c r="EZ31" i="17" l="1"/>
  <c r="H39" i="21"/>
  <c r="FA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<sst xmlns="http://schemas.openxmlformats.org/spreadsheetml/2006/main" count="1369" uniqueCount="452">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</sst>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c:v>
                </c:pt>
                <c:pt idx="1">
                  <c:v>7</c:v>
                </c:pt>
                <c:pt idx="2">
                  <c:v>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71753160"/>
        <c:axId val="388225192"/>
      </c:barChart>
      <c:catAx>
        <c:axId val="171753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5192"/>
        <c:crosses val="autoZero"/>
        <c:auto val="1"/>
        <c:lblAlgn val="ctr"/>
        <c:lblOffset val="100"/>
        <c:noMultiLvlLbl val="0"/>
      </c:catAx>
      <c:valAx>
        <c:axId val="388225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1753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c:v>
                </c:pt>
                <c:pt idx="1">
                  <c:v>1</c:v>
                </c:pt>
                <c:pt idx="2">
                  <c:v>2</c:v>
                </c:pt>
                <c:pt idx="3">
                  <c:v>3</c:v>
                </c:pt>
                <c:pt idx="4">
                  <c:v>2</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283320"/>
        <c:axId val="390282536"/>
      </c:barChart>
      <c:catAx>
        <c:axId val="39028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2536"/>
        <c:crosses val="autoZero"/>
        <c:auto val="1"/>
        <c:lblAlgn val="ctr"/>
        <c:lblOffset val="100"/>
        <c:noMultiLvlLbl val="0"/>
      </c:catAx>
      <c:valAx>
        <c:axId val="390282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33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0.45</c:v>
                </c:pt>
                <c:pt idx="1">
                  <c:v>0.39</c:v>
                </c:pt>
                <c:pt idx="2">
                  <c:v>0.38</c:v>
                </c:pt>
                <c:pt idx="3">
                  <c:v>0.42</c:v>
                </c:pt>
                <c:pt idx="4">
                  <c:v>0.41</c:v>
                </c:pt>
                <c:pt idx="5">
                  <c:v>0.4</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285672"/>
        <c:axId val="388226760"/>
      </c:barChart>
      <c:catAx>
        <c:axId val="39028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6760"/>
        <c:crosses val="autoZero"/>
        <c:auto val="1"/>
        <c:lblAlgn val="ctr"/>
        <c:lblOffset val="100"/>
        <c:noMultiLvlLbl val="0"/>
      </c:catAx>
      <c:valAx>
        <c:axId val="388226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5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0.31</c:v>
                </c:pt>
                <c:pt idx="1">
                  <c:v>0.31</c:v>
                </c:pt>
                <c:pt idx="2">
                  <c:v>0.26</c:v>
                </c:pt>
                <c:pt idx="3">
                  <c:v>0.22</c:v>
                </c:pt>
                <c:pt idx="4">
                  <c:v>0.17</c:v>
                </c:pt>
                <c:pt idx="5">
                  <c:v>0.25</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8227152"/>
        <c:axId val="388230680"/>
      </c:barChart>
      <c:catAx>
        <c:axId val="388227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30680"/>
        <c:crosses val="autoZero"/>
        <c:auto val="1"/>
        <c:lblAlgn val="ctr"/>
        <c:lblOffset val="100"/>
        <c:noMultiLvlLbl val="0"/>
      </c:catAx>
      <c:valAx>
        <c:axId val="388230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7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3"/>
              <c:layout>
                <c:manualLayout>
                  <c:x val="2.172926340346200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51-47EC-A07A-F62074E7A2E2}"/>
                </c:ext>
                <c:ext xmlns:c15="http://schemas.microsoft.com/office/drawing/2012/chart" uri="{CE6537A1-D6FC-4f65-9D91-7224C49458BB}"/>
              </c:extLst>
            </c:dLbl>
            <c:dLbl>
              <c:idx val="4"/>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51-47EC-A07A-F62074E7A2E2}"/>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851-47EC-A07A-F62074E7A2E2}"/>
                </c:ext>
                <c:ext xmlns:c15="http://schemas.microsoft.com/office/drawing/2012/chart" uri="{CE6537A1-D6FC-4f65-9D91-7224C49458BB}"/>
              </c:extLst>
            </c:dLbl>
            <c:dLbl>
              <c:idx val="6"/>
              <c:layout>
                <c:manualLayout>
                  <c:x val="-4.345339431419033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851-47EC-A07A-F62074E7A2E2}"/>
                </c:ext>
                <c:ext xmlns:c15="http://schemas.microsoft.com/office/drawing/2012/chart" uri="{CE6537A1-D6FC-4f65-9D91-7224C49458BB}"/>
              </c:extLst>
            </c:dLbl>
            <c:dLbl>
              <c:idx val="10"/>
              <c:layout>
                <c:manualLayout>
                  <c:x val="-3.693683937333632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851-47EC-A07A-F62074E7A2E2}"/>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851-47EC-A07A-F62074E7A2E2}"/>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851-47EC-A07A-F62074E7A2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1</c:v>
                </c:pt>
                <c:pt idx="2">
                  <c:v>1</c:v>
                </c:pt>
                <c:pt idx="3">
                  <c:v>3</c:v>
                </c:pt>
                <c:pt idx="4">
                  <c:v>2</c:v>
                </c:pt>
                <c:pt idx="5">
                  <c:v>1</c:v>
                </c:pt>
                <c:pt idx="6">
                  <c:v>0</c:v>
                </c:pt>
                <c:pt idx="7">
                  <c:v>1</c:v>
                </c:pt>
                <c:pt idx="8">
                  <c:v>4</c:v>
                </c:pt>
                <c:pt idx="9">
                  <c:v>4</c:v>
                </c:pt>
                <c:pt idx="10">
                  <c:v>7</c:v>
                </c:pt>
                <c:pt idx="11">
                  <c:v>0</c:v>
                </c:pt>
                <c:pt idx="12">
                  <c:v>2</c:v>
                </c:pt>
                <c:pt idx="13">
                  <c:v>5</c:v>
                </c:pt>
                <c:pt idx="14">
                  <c:v>6</c:v>
                </c:pt>
                <c:pt idx="15">
                  <c:v>4</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045296"/>
        <c:axId val="4530456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2</c:v>
                </c:pt>
                <c:pt idx="2">
                  <c:v>2</c:v>
                </c:pt>
                <c:pt idx="3">
                  <c:v>1</c:v>
                </c:pt>
                <c:pt idx="4">
                  <c:v>4</c:v>
                </c:pt>
                <c:pt idx="5">
                  <c:v>0</c:v>
                </c:pt>
                <c:pt idx="6">
                  <c:v>0</c:v>
                </c:pt>
                <c:pt idx="7">
                  <c:v>2</c:v>
                </c:pt>
                <c:pt idx="8">
                  <c:v>1</c:v>
                </c:pt>
                <c:pt idx="9">
                  <c:v>3</c:v>
                </c:pt>
                <c:pt idx="10">
                  <c:v>2</c:v>
                </c:pt>
                <c:pt idx="11">
                  <c:v>1</c:v>
                </c:pt>
                <c:pt idx="12">
                  <c:v>4</c:v>
                </c:pt>
                <c:pt idx="13">
                  <c:v>2</c:v>
                </c:pt>
                <c:pt idx="14">
                  <c:v>7</c:v>
                </c:pt>
                <c:pt idx="15">
                  <c:v>1</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039024"/>
        <c:axId val="453039416"/>
      </c:barChart>
      <c:catAx>
        <c:axId val="453045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5688"/>
        <c:crosses val="autoZero"/>
        <c:auto val="1"/>
        <c:lblAlgn val="ctr"/>
        <c:lblOffset val="100"/>
        <c:noMultiLvlLbl val="0"/>
      </c:catAx>
      <c:valAx>
        <c:axId val="45304568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5296"/>
        <c:crosses val="autoZero"/>
        <c:crossBetween val="between"/>
        <c:majorUnit val="15"/>
      </c:valAx>
      <c:valAx>
        <c:axId val="4530394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39024"/>
        <c:crosses val="max"/>
        <c:crossBetween val="between"/>
        <c:majorUnit val="15"/>
      </c:valAx>
      <c:catAx>
        <c:axId val="453039024"/>
        <c:scaling>
          <c:orientation val="minMax"/>
        </c:scaling>
        <c:delete val="1"/>
        <c:axPos val="l"/>
        <c:numFmt formatCode="General" sourceLinked="1"/>
        <c:majorTickMark val="out"/>
        <c:minorTickMark val="none"/>
        <c:tickLblPos val="nextTo"/>
        <c:crossAx val="453039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3"/>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5D-4CDE-9AEF-8CA353BE22BE}"/>
                </c:ext>
                <c:ext xmlns:c15="http://schemas.microsoft.com/office/drawing/2012/chart" uri="{CE6537A1-D6FC-4f65-9D91-7224C49458BB}"/>
              </c:extLst>
            </c:dLbl>
            <c:dLbl>
              <c:idx val="5"/>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5D-4CDE-9AEF-8CA353BE22BE}"/>
                </c:ext>
                <c:ext xmlns:c15="http://schemas.microsoft.com/office/drawing/2012/chart" uri="{CE6537A1-D6FC-4f65-9D91-7224C49458BB}"/>
              </c:extLst>
            </c:dLbl>
            <c:dLbl>
              <c:idx val="6"/>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35D-4CDE-9AEF-8CA353BE22BE}"/>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35D-4CDE-9AEF-8CA353BE22BE}"/>
                </c:ext>
                <c:ext xmlns:c15="http://schemas.microsoft.com/office/drawing/2012/chart" uri="{CE6537A1-D6FC-4f65-9D91-7224C49458BB}"/>
              </c:extLst>
            </c:dLbl>
            <c:dLbl>
              <c:idx val="8"/>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35D-4CDE-9AEF-8CA353BE22BE}"/>
                </c:ext>
                <c:ext xmlns:c15="http://schemas.microsoft.com/office/drawing/2012/chart" uri="{CE6537A1-D6FC-4f65-9D91-7224C49458BB}"/>
              </c:extLst>
            </c:dLbl>
            <c:dLbl>
              <c:idx val="12"/>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35D-4CDE-9AEF-8CA353BE22BE}"/>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35D-4CDE-9AEF-8CA353BE22B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35D-4CDE-9AEF-8CA353BE22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1</c:v>
                </c:pt>
                <c:pt idx="3">
                  <c:v>0</c:v>
                </c:pt>
                <c:pt idx="4">
                  <c:v>1</c:v>
                </c:pt>
                <c:pt idx="5">
                  <c:v>4</c:v>
                </c:pt>
                <c:pt idx="6">
                  <c:v>2</c:v>
                </c:pt>
                <c:pt idx="7">
                  <c:v>1</c:v>
                </c:pt>
                <c:pt idx="8">
                  <c:v>0</c:v>
                </c:pt>
                <c:pt idx="9">
                  <c:v>1</c:v>
                </c:pt>
                <c:pt idx="10">
                  <c:v>5</c:v>
                </c:pt>
                <c:pt idx="11">
                  <c:v>4</c:v>
                </c:pt>
                <c:pt idx="12">
                  <c:v>7</c:v>
                </c:pt>
                <c:pt idx="13">
                  <c:v>0</c:v>
                </c:pt>
                <c:pt idx="14">
                  <c:v>2</c:v>
                </c:pt>
                <c:pt idx="15">
                  <c:v>4</c:v>
                </c:pt>
                <c:pt idx="16">
                  <c:v>4</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039808"/>
        <c:axId val="4530402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2</c:v>
                </c:pt>
                <c:pt idx="3">
                  <c:v>1</c:v>
                </c:pt>
                <c:pt idx="4">
                  <c:v>2</c:v>
                </c:pt>
                <c:pt idx="5">
                  <c:v>2</c:v>
                </c:pt>
                <c:pt idx="6">
                  <c:v>4</c:v>
                </c:pt>
                <c:pt idx="7">
                  <c:v>0</c:v>
                </c:pt>
                <c:pt idx="8">
                  <c:v>0</c:v>
                </c:pt>
                <c:pt idx="9">
                  <c:v>2</c:v>
                </c:pt>
                <c:pt idx="10">
                  <c:v>1</c:v>
                </c:pt>
                <c:pt idx="11">
                  <c:v>3</c:v>
                </c:pt>
                <c:pt idx="12">
                  <c:v>2</c:v>
                </c:pt>
                <c:pt idx="13">
                  <c:v>1</c:v>
                </c:pt>
                <c:pt idx="14">
                  <c:v>4</c:v>
                </c:pt>
                <c:pt idx="15">
                  <c:v>2</c:v>
                </c:pt>
                <c:pt idx="16">
                  <c:v>6</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040592"/>
        <c:axId val="453046080"/>
      </c:barChart>
      <c:catAx>
        <c:axId val="453039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0200"/>
        <c:crosses val="autoZero"/>
        <c:auto val="1"/>
        <c:lblAlgn val="ctr"/>
        <c:lblOffset val="100"/>
        <c:noMultiLvlLbl val="0"/>
      </c:catAx>
      <c:valAx>
        <c:axId val="45304020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39808"/>
        <c:crosses val="autoZero"/>
        <c:crossBetween val="between"/>
        <c:majorUnit val="15"/>
      </c:valAx>
      <c:valAx>
        <c:axId val="45304608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0592"/>
        <c:crosses val="max"/>
        <c:crossBetween val="between"/>
        <c:majorUnit val="15"/>
      </c:valAx>
      <c:catAx>
        <c:axId val="453040592"/>
        <c:scaling>
          <c:orientation val="minMax"/>
        </c:scaling>
        <c:delete val="1"/>
        <c:axPos val="l"/>
        <c:numFmt formatCode="General" sourceLinked="1"/>
        <c:majorTickMark val="out"/>
        <c:minorTickMark val="none"/>
        <c:tickLblPos val="nextTo"/>
        <c:crossAx val="453046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130</c:v>
                </c:pt>
                <c:pt idx="1">
                  <c:v>124</c:v>
                </c:pt>
                <c:pt idx="2">
                  <c:v>105</c:v>
                </c:pt>
                <c:pt idx="3">
                  <c:v>93</c:v>
                </c:pt>
                <c:pt idx="4">
                  <c:v>86</c:v>
                </c:pt>
                <c:pt idx="5">
                  <c:v>84</c:v>
                </c:pt>
                <c:pt idx="6">
                  <c:v>82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4DB-45F6-AAF1-FAAA358205B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4DB-45F6-AAF1-FAAA358205B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4DB-45F6-AAF1-FAAA358205B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4DB-45F6-AAF1-FAAA358205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102</c:v>
                </c:pt>
                <c:pt idx="4" formatCode="#,##0_);[Red]\(#,##0\)">
                  <c:v>107</c:v>
                </c:pt>
                <c:pt idx="5" formatCode="#,##0_);[Red]\(#,##0\)">
                  <c:v>119</c:v>
                </c:pt>
                <c:pt idx="6" formatCode="#,##0_);[Red]\(#,##0\)">
                  <c:v>134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040984"/>
        <c:axId val="453041376"/>
      </c:barChart>
      <c:catAx>
        <c:axId val="45304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1376"/>
        <c:crosses val="autoZero"/>
        <c:auto val="1"/>
        <c:lblAlgn val="ctr"/>
        <c:lblOffset val="100"/>
        <c:noMultiLvlLbl val="0"/>
      </c:catAx>
      <c:valAx>
        <c:axId val="453041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098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c:v>
                </c:pt>
                <c:pt idx="1">
                  <c:v>7</c:v>
                </c:pt>
                <c:pt idx="2">
                  <c:v>7</c:v>
                </c:pt>
                <c:pt idx="3">
                  <c:v>5</c:v>
                </c:pt>
                <c:pt idx="4">
                  <c:v>3</c:v>
                </c:pt>
                <c:pt idx="5">
                  <c:v>3</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2.06197216910702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1.1549199779717966E-3"/>
                  <c:y val="-1.33544814885605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5.3794505537664641E-3"/>
                  <c:y val="5.8772911365096835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1.6665217442756084E-3"/>
                  <c:y val="1.8951154952591022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c:v>
                </c:pt>
                <c:pt idx="4">
                  <c:v>6</c:v>
                </c:pt>
                <c:pt idx="5">
                  <c:v>9</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042160"/>
        <c:axId val="453042552"/>
      </c:barChart>
      <c:catAx>
        <c:axId val="45304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2552"/>
        <c:crosses val="autoZero"/>
        <c:auto val="1"/>
        <c:lblAlgn val="ctr"/>
        <c:lblOffset val="100"/>
        <c:noMultiLvlLbl val="0"/>
      </c:catAx>
      <c:valAx>
        <c:axId val="453042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21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0.45</c:v>
                </c:pt>
                <c:pt idx="1">
                  <c:v>0.39</c:v>
                </c:pt>
                <c:pt idx="2">
                  <c:v>0.38</c:v>
                </c:pt>
                <c:pt idx="3">
                  <c:v>0.42</c:v>
                </c:pt>
                <c:pt idx="4">
                  <c:v>0.41</c:v>
                </c:pt>
                <c:pt idx="5">
                  <c:v>0.4</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82F-4F41-8A3D-E7ADE5F2F3B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82F-4F41-8A3D-E7ADE5F2F3B7}"/>
                </c:ext>
                <c:ext xmlns:c15="http://schemas.microsoft.com/office/drawing/2012/chart" uri="{CE6537A1-D6FC-4f65-9D91-7224C49458BB}"/>
              </c:extLst>
            </c:dLbl>
            <c:dLbl>
              <c:idx val="5"/>
              <c:layout>
                <c:manualLayout>
                  <c:x val="1.3378186483699385E-2"/>
                  <c:y val="-0.1072890284212661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82F-4F41-8A3D-E7ADE5F2F3B7}"/>
                </c:ext>
                <c:ext xmlns:c15="http://schemas.microsoft.com/office/drawing/2012/chart" uri="{CE6537A1-D6FC-4f65-9D91-7224C49458BB}"/>
              </c:extLst>
            </c:dLbl>
            <c:dLbl>
              <c:idx val="6"/>
              <c:layout>
                <c:manualLayout>
                  <c:x val="2.3587624798807969E-2"/>
                  <c:y val="-0.1419462249424921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82F-4F41-8A3D-E7ADE5F2F3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0.33</c:v>
                </c:pt>
                <c:pt idx="5" formatCode="0%">
                  <c:v>0.28999999999999998</c:v>
                </c:pt>
                <c:pt idx="6" formatCode="0%">
                  <c:v>0.22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042944"/>
        <c:axId val="453044512"/>
      </c:barChart>
      <c:catAx>
        <c:axId val="453042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4512"/>
        <c:crosses val="autoZero"/>
        <c:auto val="1"/>
        <c:lblAlgn val="ctr"/>
        <c:lblOffset val="100"/>
        <c:noMultiLvlLbl val="0"/>
      </c:catAx>
      <c:valAx>
        <c:axId val="453044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29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0.31</c:v>
                </c:pt>
                <c:pt idx="1">
                  <c:v>0.31</c:v>
                </c:pt>
                <c:pt idx="2">
                  <c:v>0.26</c:v>
                </c:pt>
                <c:pt idx="3">
                  <c:v>0.22</c:v>
                </c:pt>
                <c:pt idx="4">
                  <c:v>0.17</c:v>
                </c:pt>
                <c:pt idx="5">
                  <c:v>0.25</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AAF-4747-8A06-A9BF88EA4EC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AAF-4747-8A06-A9BF88EA4EC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AAF-4747-8A06-A9BF88EA4EC1}"/>
                </c:ext>
                <c:ext xmlns:c15="http://schemas.microsoft.com/office/drawing/2012/chart" uri="{CE6537A1-D6FC-4f65-9D91-7224C49458BB}"/>
              </c:extLst>
            </c:dLbl>
            <c:dLbl>
              <c:idx val="6"/>
              <c:layout>
                <c:manualLayout>
                  <c:x val="1.7837694184075537E-2"/>
                  <c:y val="-0.1238718684966149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AAF-4747-8A06-A9BF88EA4E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0.14000000000000001</c:v>
                </c:pt>
                <c:pt idx="5" formatCode="0%">
                  <c:v>0.18</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043728"/>
        <c:axId val="389434968"/>
      </c:barChart>
      <c:catAx>
        <c:axId val="45304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4968"/>
        <c:crosses val="autoZero"/>
        <c:auto val="1"/>
        <c:lblAlgn val="ctr"/>
        <c:lblOffset val="100"/>
        <c:noMultiLvlLbl val="0"/>
      </c:catAx>
      <c:valAx>
        <c:axId val="389434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437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c:v>
                </c:pt>
                <c:pt idx="1">
                  <c:v>1</c:v>
                </c:pt>
                <c:pt idx="2">
                  <c:v>2</c:v>
                </c:pt>
                <c:pt idx="3">
                  <c:v>3</c:v>
                </c:pt>
                <c:pt idx="4">
                  <c:v>2</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3.0115608132313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c:v>
                </c:pt>
                <c:pt idx="4">
                  <c:v>3</c:v>
                </c:pt>
                <c:pt idx="5">
                  <c:v>3</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9435360"/>
        <c:axId val="389436144"/>
      </c:barChart>
      <c:catAx>
        <c:axId val="38943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6144"/>
        <c:crosses val="autoZero"/>
        <c:auto val="1"/>
        <c:lblAlgn val="ctr"/>
        <c:lblOffset val="100"/>
        <c:noMultiLvlLbl val="0"/>
      </c:catAx>
      <c:valAx>
        <c:axId val="389436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536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c:v>
                </c:pt>
                <c:pt idx="1">
                  <c:v>1</c:v>
                </c:pt>
                <c:pt idx="2">
                  <c:v>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8225584"/>
        <c:axId val="388225976"/>
      </c:barChart>
      <c:catAx>
        <c:axId val="38822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5976"/>
        <c:crosses val="autoZero"/>
        <c:auto val="1"/>
        <c:lblAlgn val="ctr"/>
        <c:lblOffset val="100"/>
        <c:noMultiLvlLbl val="0"/>
      </c:catAx>
      <c:valAx>
        <c:axId val="388225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558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872-48F3-B84F-4C818F27D211}"/>
                </c:ext>
                <c:ext xmlns:c15="http://schemas.microsoft.com/office/drawing/2012/chart" uri="{CE6537A1-D6FC-4f65-9D91-7224C49458BB}"/>
              </c:extLst>
            </c:dLbl>
            <c:dLbl>
              <c:idx val="4"/>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872-48F3-B84F-4C818F27D211}"/>
                </c:ext>
                <c:ext xmlns:c15="http://schemas.microsoft.com/office/drawing/2012/chart" uri="{CE6537A1-D6FC-4f65-9D91-7224C49458BB}"/>
              </c:extLst>
            </c:dLbl>
            <c:dLbl>
              <c:idx val="10"/>
              <c:layout>
                <c:manualLayout>
                  <c:x val="-3.5874547132393145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872-48F3-B84F-4C818F27D211}"/>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872-48F3-B84F-4C818F27D211}"/>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872-48F3-B84F-4C818F27D2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2</c:v>
                </c:pt>
                <c:pt idx="2">
                  <c:v>2</c:v>
                </c:pt>
                <c:pt idx="3">
                  <c:v>4</c:v>
                </c:pt>
                <c:pt idx="4">
                  <c:v>2</c:v>
                </c:pt>
                <c:pt idx="5">
                  <c:v>3</c:v>
                </c:pt>
                <c:pt idx="6">
                  <c:v>2</c:v>
                </c:pt>
                <c:pt idx="7">
                  <c:v>1</c:v>
                </c:pt>
                <c:pt idx="8">
                  <c:v>4</c:v>
                </c:pt>
                <c:pt idx="9">
                  <c:v>4</c:v>
                </c:pt>
                <c:pt idx="10">
                  <c:v>7</c:v>
                </c:pt>
                <c:pt idx="11">
                  <c:v>0</c:v>
                </c:pt>
                <c:pt idx="12">
                  <c:v>2</c:v>
                </c:pt>
                <c:pt idx="13">
                  <c:v>5</c:v>
                </c:pt>
                <c:pt idx="14">
                  <c:v>6</c:v>
                </c:pt>
                <c:pt idx="15">
                  <c:v>4</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9433008"/>
        <c:axId val="3894314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3</c:v>
                </c:pt>
                <c:pt idx="2">
                  <c:v>3</c:v>
                </c:pt>
                <c:pt idx="3">
                  <c:v>2</c:v>
                </c:pt>
                <c:pt idx="4">
                  <c:v>4</c:v>
                </c:pt>
                <c:pt idx="5">
                  <c:v>2</c:v>
                </c:pt>
                <c:pt idx="6">
                  <c:v>2</c:v>
                </c:pt>
                <c:pt idx="7">
                  <c:v>2</c:v>
                </c:pt>
                <c:pt idx="8">
                  <c:v>2</c:v>
                </c:pt>
                <c:pt idx="9">
                  <c:v>5</c:v>
                </c:pt>
                <c:pt idx="10">
                  <c:v>2</c:v>
                </c:pt>
                <c:pt idx="11">
                  <c:v>1</c:v>
                </c:pt>
                <c:pt idx="12">
                  <c:v>4</c:v>
                </c:pt>
                <c:pt idx="13">
                  <c:v>2</c:v>
                </c:pt>
                <c:pt idx="14">
                  <c:v>7</c:v>
                </c:pt>
                <c:pt idx="15">
                  <c:v>1</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9435752"/>
        <c:axId val="389433400"/>
      </c:barChart>
      <c:catAx>
        <c:axId val="389433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1440"/>
        <c:crosses val="autoZero"/>
        <c:auto val="1"/>
        <c:lblAlgn val="ctr"/>
        <c:lblOffset val="100"/>
        <c:noMultiLvlLbl val="0"/>
      </c:catAx>
      <c:valAx>
        <c:axId val="38943144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3008"/>
        <c:crosses val="autoZero"/>
        <c:crossBetween val="between"/>
        <c:majorUnit val="15"/>
      </c:valAx>
      <c:valAx>
        <c:axId val="38943340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5752"/>
        <c:crosses val="max"/>
        <c:crossBetween val="between"/>
        <c:majorUnit val="15"/>
      </c:valAx>
      <c:catAx>
        <c:axId val="389435752"/>
        <c:scaling>
          <c:orientation val="minMax"/>
        </c:scaling>
        <c:delete val="1"/>
        <c:axPos val="l"/>
        <c:numFmt formatCode="General" sourceLinked="1"/>
        <c:majorTickMark val="out"/>
        <c:minorTickMark val="none"/>
        <c:tickLblPos val="nextTo"/>
        <c:crossAx val="389433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2"/>
              <c:layout>
                <c:manualLayout>
                  <c:x val="-4.260102471971685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D4-4FE4-B941-6BD9C8C94A47}"/>
                </c:ext>
                <c:ext xmlns:c15="http://schemas.microsoft.com/office/drawing/2012/chart" uri="{CE6537A1-D6FC-4f65-9D91-7224C49458BB}"/>
              </c:extLst>
            </c:dLbl>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D4-4FE4-B941-6BD9C8C94A4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7D4-4FE4-B941-6BD9C8C94A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3</c:v>
                </c:pt>
                <c:pt idx="2">
                  <c:v>3</c:v>
                </c:pt>
                <c:pt idx="3">
                  <c:v>2</c:v>
                </c:pt>
                <c:pt idx="4">
                  <c:v>2</c:v>
                </c:pt>
                <c:pt idx="5">
                  <c:v>8</c:v>
                </c:pt>
                <c:pt idx="6">
                  <c:v>4</c:v>
                </c:pt>
                <c:pt idx="7">
                  <c:v>4</c:v>
                </c:pt>
                <c:pt idx="8">
                  <c:v>2</c:v>
                </c:pt>
                <c:pt idx="9">
                  <c:v>1</c:v>
                </c:pt>
                <c:pt idx="10">
                  <c:v>5</c:v>
                </c:pt>
                <c:pt idx="11">
                  <c:v>4</c:v>
                </c:pt>
                <c:pt idx="12">
                  <c:v>7</c:v>
                </c:pt>
                <c:pt idx="13">
                  <c:v>0</c:v>
                </c:pt>
                <c:pt idx="14">
                  <c:v>2</c:v>
                </c:pt>
                <c:pt idx="15">
                  <c:v>4</c:v>
                </c:pt>
                <c:pt idx="16">
                  <c:v>4</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431832"/>
        <c:axId val="3894365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c:v>
                </c:pt>
                <c:pt idx="1">
                  <c:v>9</c:v>
                </c:pt>
                <c:pt idx="2">
                  <c:v>5</c:v>
                </c:pt>
                <c:pt idx="3">
                  <c:v>3</c:v>
                </c:pt>
                <c:pt idx="4">
                  <c:v>4</c:v>
                </c:pt>
                <c:pt idx="5">
                  <c:v>5</c:v>
                </c:pt>
                <c:pt idx="6">
                  <c:v>6</c:v>
                </c:pt>
                <c:pt idx="7">
                  <c:v>2</c:v>
                </c:pt>
                <c:pt idx="8">
                  <c:v>3</c:v>
                </c:pt>
                <c:pt idx="9">
                  <c:v>3</c:v>
                </c:pt>
                <c:pt idx="10">
                  <c:v>2</c:v>
                </c:pt>
                <c:pt idx="11">
                  <c:v>5</c:v>
                </c:pt>
                <c:pt idx="12">
                  <c:v>2</c:v>
                </c:pt>
                <c:pt idx="13">
                  <c:v>1</c:v>
                </c:pt>
                <c:pt idx="14">
                  <c:v>4</c:v>
                </c:pt>
                <c:pt idx="15">
                  <c:v>2</c:v>
                </c:pt>
                <c:pt idx="16">
                  <c:v>6</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9432224"/>
        <c:axId val="389433792"/>
      </c:barChart>
      <c:catAx>
        <c:axId val="389431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6536"/>
        <c:crosses val="autoZero"/>
        <c:auto val="1"/>
        <c:lblAlgn val="ctr"/>
        <c:lblOffset val="100"/>
        <c:noMultiLvlLbl val="0"/>
      </c:catAx>
      <c:valAx>
        <c:axId val="38943653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1832"/>
        <c:crosses val="autoZero"/>
        <c:crossBetween val="between"/>
        <c:majorUnit val="15"/>
      </c:valAx>
      <c:valAx>
        <c:axId val="38943379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2224"/>
        <c:crosses val="max"/>
        <c:crossBetween val="between"/>
        <c:majorUnit val="15"/>
      </c:valAx>
      <c:catAx>
        <c:axId val="389432224"/>
        <c:scaling>
          <c:orientation val="minMax"/>
        </c:scaling>
        <c:delete val="1"/>
        <c:axPos val="l"/>
        <c:numFmt formatCode="General" sourceLinked="1"/>
        <c:majorTickMark val="out"/>
        <c:minorTickMark val="none"/>
        <c:tickLblPos val="nextTo"/>
        <c:crossAx val="389433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3"/>
              <c:layout>
                <c:manualLayout>
                  <c:x val="-2.1116347934359236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B6-4AA3-90DA-798A760BD907}"/>
                </c:ext>
                <c:ext xmlns:c15="http://schemas.microsoft.com/office/drawing/2012/chart" uri="{CE6537A1-D6FC-4f65-9D91-7224C49458BB}"/>
              </c:extLst>
            </c:dLbl>
            <c:dLbl>
              <c:idx val="4"/>
              <c:layout>
                <c:manualLayout>
                  <c:x val="-2.956521507779409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B6-4AA3-90DA-798A760BD907}"/>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EB6-4AA3-90DA-798A760BD907}"/>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EB6-4AA3-90DA-798A760BD907}"/>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EB6-4AA3-90DA-798A760BD9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c:v>
                </c:pt>
                <c:pt idx="1">
                  <c:v>3</c:v>
                </c:pt>
                <c:pt idx="2">
                  <c:v>3</c:v>
                </c:pt>
                <c:pt idx="3">
                  <c:v>4</c:v>
                </c:pt>
                <c:pt idx="4">
                  <c:v>6</c:v>
                </c:pt>
                <c:pt idx="5">
                  <c:v>1</c:v>
                </c:pt>
                <c:pt idx="6">
                  <c:v>0</c:v>
                </c:pt>
                <c:pt idx="7">
                  <c:v>3</c:v>
                </c:pt>
                <c:pt idx="8">
                  <c:v>5</c:v>
                </c:pt>
                <c:pt idx="9">
                  <c:v>7</c:v>
                </c:pt>
                <c:pt idx="10">
                  <c:v>9</c:v>
                </c:pt>
                <c:pt idx="11">
                  <c:v>1</c:v>
                </c:pt>
                <c:pt idx="12">
                  <c:v>6</c:v>
                </c:pt>
                <c:pt idx="13">
                  <c:v>7</c:v>
                </c:pt>
                <c:pt idx="14">
                  <c:v>13</c:v>
                </c:pt>
                <c:pt idx="15">
                  <c:v>5</c:v>
                </c:pt>
                <c:pt idx="16">
                  <c:v>5</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436928"/>
        <c:axId val="3894377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c:v>
                </c:pt>
                <c:pt idx="1">
                  <c:v>5</c:v>
                </c:pt>
                <c:pt idx="2">
                  <c:v>5</c:v>
                </c:pt>
                <c:pt idx="3">
                  <c:v>6</c:v>
                </c:pt>
                <c:pt idx="4">
                  <c:v>6</c:v>
                </c:pt>
                <c:pt idx="5">
                  <c:v>5</c:v>
                </c:pt>
                <c:pt idx="6">
                  <c:v>4</c:v>
                </c:pt>
                <c:pt idx="7">
                  <c:v>3</c:v>
                </c:pt>
                <c:pt idx="8">
                  <c:v>6</c:v>
                </c:pt>
                <c:pt idx="9">
                  <c:v>9</c:v>
                </c:pt>
                <c:pt idx="10">
                  <c:v>9</c:v>
                </c:pt>
                <c:pt idx="11">
                  <c:v>1</c:v>
                </c:pt>
                <c:pt idx="12">
                  <c:v>6</c:v>
                </c:pt>
                <c:pt idx="13">
                  <c:v>7</c:v>
                </c:pt>
                <c:pt idx="14">
                  <c:v>13</c:v>
                </c:pt>
                <c:pt idx="15">
                  <c:v>5</c:v>
                </c:pt>
                <c:pt idx="16">
                  <c:v>5</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9431048"/>
        <c:axId val="389432616"/>
      </c:barChart>
      <c:catAx>
        <c:axId val="389436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7712"/>
        <c:crosses val="autoZero"/>
        <c:auto val="1"/>
        <c:lblAlgn val="ctr"/>
        <c:lblOffset val="100"/>
        <c:noMultiLvlLbl val="0"/>
      </c:catAx>
      <c:valAx>
        <c:axId val="3894377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6928"/>
        <c:crosses val="autoZero"/>
        <c:crossBetween val="between"/>
        <c:majorUnit val="25"/>
      </c:valAx>
      <c:valAx>
        <c:axId val="3894326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31048"/>
        <c:crosses val="max"/>
        <c:crossBetween val="between"/>
        <c:majorUnit val="25"/>
      </c:valAx>
      <c:catAx>
        <c:axId val="389431048"/>
        <c:scaling>
          <c:orientation val="minMax"/>
        </c:scaling>
        <c:delete val="1"/>
        <c:axPos val="l"/>
        <c:numFmt formatCode="General" sourceLinked="1"/>
        <c:majorTickMark val="out"/>
        <c:minorTickMark val="none"/>
        <c:tickLblPos val="nextTo"/>
        <c:crossAx val="3894326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97C-4720-B2A3-19E9115975CE}"/>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97C-4720-B2A3-19E9115975CE}"/>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97C-4720-B2A3-19E9115975CE}"/>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97C-4720-B2A3-19E9115975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4</c:v>
                </c:pt>
                <c:pt idx="2">
                  <c:v>3</c:v>
                </c:pt>
                <c:pt idx="3">
                  <c:v>1</c:v>
                </c:pt>
                <c:pt idx="4">
                  <c:v>3</c:v>
                </c:pt>
                <c:pt idx="5">
                  <c:v>6</c:v>
                </c:pt>
                <c:pt idx="6">
                  <c:v>6</c:v>
                </c:pt>
                <c:pt idx="7">
                  <c:v>1</c:v>
                </c:pt>
                <c:pt idx="8">
                  <c:v>0</c:v>
                </c:pt>
                <c:pt idx="9">
                  <c:v>3</c:v>
                </c:pt>
                <c:pt idx="10">
                  <c:v>6</c:v>
                </c:pt>
                <c:pt idx="11">
                  <c:v>7</c:v>
                </c:pt>
                <c:pt idx="12">
                  <c:v>9</c:v>
                </c:pt>
                <c:pt idx="13">
                  <c:v>1</c:v>
                </c:pt>
                <c:pt idx="14">
                  <c:v>6</c:v>
                </c:pt>
                <c:pt idx="15">
                  <c:v>6</c:v>
                </c:pt>
                <c:pt idx="16">
                  <c:v>10</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615336"/>
        <c:axId val="3896192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c:v>
                </c:pt>
                <c:pt idx="1">
                  <c:v>12</c:v>
                </c:pt>
                <c:pt idx="2">
                  <c:v>8</c:v>
                </c:pt>
                <c:pt idx="3">
                  <c:v>5</c:v>
                </c:pt>
                <c:pt idx="4">
                  <c:v>6</c:v>
                </c:pt>
                <c:pt idx="5">
                  <c:v>13</c:v>
                </c:pt>
                <c:pt idx="6">
                  <c:v>10</c:v>
                </c:pt>
                <c:pt idx="7">
                  <c:v>6</c:v>
                </c:pt>
                <c:pt idx="8">
                  <c:v>5</c:v>
                </c:pt>
                <c:pt idx="9">
                  <c:v>4</c:v>
                </c:pt>
                <c:pt idx="10">
                  <c:v>7</c:v>
                </c:pt>
                <c:pt idx="11">
                  <c:v>9</c:v>
                </c:pt>
                <c:pt idx="12">
                  <c:v>9</c:v>
                </c:pt>
                <c:pt idx="13">
                  <c:v>1</c:v>
                </c:pt>
                <c:pt idx="14">
                  <c:v>6</c:v>
                </c:pt>
                <c:pt idx="15">
                  <c:v>6</c:v>
                </c:pt>
                <c:pt idx="16">
                  <c:v>10</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9616512"/>
        <c:axId val="389615728"/>
      </c:barChart>
      <c:catAx>
        <c:axId val="389615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9256"/>
        <c:crosses val="autoZero"/>
        <c:auto val="1"/>
        <c:lblAlgn val="ctr"/>
        <c:lblOffset val="100"/>
        <c:noMultiLvlLbl val="0"/>
      </c:catAx>
      <c:valAx>
        <c:axId val="3896192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5336"/>
        <c:crosses val="autoZero"/>
        <c:crossBetween val="between"/>
        <c:majorUnit val="25"/>
      </c:valAx>
      <c:valAx>
        <c:axId val="3896157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6512"/>
        <c:crosses val="max"/>
        <c:crossBetween val="between"/>
        <c:majorUnit val="25"/>
      </c:valAx>
      <c:catAx>
        <c:axId val="389616512"/>
        <c:scaling>
          <c:orientation val="minMax"/>
        </c:scaling>
        <c:delete val="1"/>
        <c:axPos val="l"/>
        <c:numFmt formatCode="General" sourceLinked="1"/>
        <c:majorTickMark val="out"/>
        <c:minorTickMark val="none"/>
        <c:tickLblPos val="nextTo"/>
        <c:crossAx val="3896157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不土野公民館区</c:v>
                </c:pt>
              </c:strCache>
            </c:strRef>
          </c:cat>
          <c:val>
            <c:numRef>
              <c:f>管理者用地域特徴シート!$H$3:$H$5</c:f>
              <c:numCache>
                <c:formatCode>0.0%</c:formatCode>
                <c:ptCount val="3"/>
                <c:pt idx="0">
                  <c:v>0.46108733927332846</c:v>
                </c:pt>
                <c:pt idx="1">
                  <c:v>0.66508538899430736</c:v>
                </c:pt>
                <c:pt idx="2">
                  <c:v>0.62222222222222223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9618472"/>
        <c:axId val="389620824"/>
      </c:barChart>
      <c:catAx>
        <c:axId val="389618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0824"/>
        <c:crosses val="autoZero"/>
        <c:auto val="1"/>
        <c:lblAlgn val="ctr"/>
        <c:lblOffset val="100"/>
        <c:noMultiLvlLbl val="0"/>
      </c:catAx>
      <c:valAx>
        <c:axId val="3896208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8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不土野公民館区</c:v>
                </c:pt>
              </c:strCache>
            </c:strRef>
          </c:cat>
          <c:val>
            <c:numRef>
              <c:f>管理者用地域特徴シート!$J$3:$J$5</c:f>
              <c:numCache>
                <c:formatCode>0.0%</c:formatCode>
                <c:ptCount val="3"/>
                <c:pt idx="0">
                  <c:v>0.15075281438403673</c:v>
                </c:pt>
                <c:pt idx="1">
                  <c:v>0.17457305502846299</c:v>
                </c:pt>
                <c:pt idx="2">
                  <c:v>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9617296"/>
        <c:axId val="389620040"/>
      </c:barChart>
      <c:catAx>
        <c:axId val="389617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0040"/>
        <c:crosses val="autoZero"/>
        <c:auto val="1"/>
        <c:lblAlgn val="ctr"/>
        <c:lblOffset val="100"/>
        <c:noMultiLvlLbl val="0"/>
      </c:catAx>
      <c:valAx>
        <c:axId val="389620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不土野公民館区</c:v>
                </c:pt>
              </c:strCache>
            </c:strRef>
          </c:cat>
          <c:val>
            <c:numRef>
              <c:f>管理者用地域特徴シート!$P$3:$P$5</c:f>
              <c:numCache>
                <c:formatCode>0.0%</c:formatCode>
                <c:ptCount val="3"/>
                <c:pt idx="0">
                  <c:v>0.34758352842621743</c:v>
                </c:pt>
                <c:pt idx="1">
                  <c:v>0.21853775469436676</c:v>
                </c:pt>
                <c:pt idx="2">
                  <c:v>0.18095238095238095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9621216"/>
        <c:axId val="389616120"/>
      </c:barChart>
      <c:catAx>
        <c:axId val="389621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6120"/>
        <c:crosses val="autoZero"/>
        <c:auto val="1"/>
        <c:lblAlgn val="ctr"/>
        <c:lblOffset val="100"/>
        <c:noMultiLvlLbl val="0"/>
      </c:catAx>
      <c:valAx>
        <c:axId val="389616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1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不土野公民館区</c:v>
                </c:pt>
              </c:strCache>
            </c:strRef>
          </c:cat>
          <c:val>
            <c:numRef>
              <c:f>管理者用地域特徴シート!$AO$3:$AO$5</c:f>
              <c:numCache>
                <c:formatCode>0.0%</c:formatCode>
                <c:ptCount val="3"/>
                <c:pt idx="0">
                  <c:v>0.5259093009439566</c:v>
                </c:pt>
                <c:pt idx="1">
                  <c:v>0.47745358090185674</c:v>
                </c:pt>
                <c:pt idx="2">
                  <c:v>0.38461538461538464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9618080"/>
        <c:axId val="389621608"/>
      </c:barChart>
      <c:catAx>
        <c:axId val="389618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1608"/>
        <c:crosses val="autoZero"/>
        <c:auto val="1"/>
        <c:lblAlgn val="ctr"/>
        <c:lblOffset val="100"/>
        <c:noMultiLvlLbl val="0"/>
      </c:catAx>
      <c:valAx>
        <c:axId val="389621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8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不土野公民館区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0.50793650793650791</c:v>
                </c:pt>
                <c:pt idx="1">
                  <c:v>0</c:v>
                </c:pt>
                <c:pt idx="2">
                  <c:v>0</c:v>
                </c:pt>
                <c:pt idx="3">
                  <c:v>6.3492063492063489E-2</c:v>
                </c:pt>
                <c:pt idx="4">
                  <c:v>3.1746031746031744E-2</c:v>
                </c:pt>
                <c:pt idx="5">
                  <c:v>0</c:v>
                </c:pt>
                <c:pt idx="6">
                  <c:v>0</c:v>
                </c:pt>
                <c:pt idx="7">
                  <c:v>7.9365079365079361E-2</c:v>
                </c:pt>
                <c:pt idx="8">
                  <c:v>6.3492063492063489E-2</c:v>
                </c:pt>
                <c:pt idx="9">
                  <c:v>0</c:v>
                </c:pt>
                <c:pt idx="10">
                  <c:v>0</c:v>
                </c:pt>
                <c:pt idx="11">
                  <c:v>0</c:v>
                </c:pt>
                <c:pt idx="12">
                  <c:v>1.5873015873015872E-2</c:v>
                </c:pt>
                <c:pt idx="13">
                  <c:v>0</c:v>
                </c:pt>
                <c:pt idx="14">
                  <c:v>0.12698412698412698</c:v>
                </c:pt>
                <c:pt idx="15">
                  <c:v>1.5873015873015872E-2</c:v>
                </c:pt>
                <c:pt idx="16">
                  <c:v>1.5873015873015872E-2</c:v>
                </c:pt>
                <c:pt idx="17">
                  <c:v>0</c:v>
                </c:pt>
                <c:pt idx="18">
                  <c:v>7.9365079365079361E-2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9620432"/>
        <c:axId val="389622000"/>
      </c:barChart>
      <c:catAx>
        <c:axId val="38962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2000"/>
        <c:crosses val="autoZero"/>
        <c:auto val="1"/>
        <c:lblAlgn val="ctr"/>
        <c:lblOffset val="100"/>
        <c:noMultiLvlLbl val="0"/>
      </c:catAx>
      <c:valAx>
        <c:axId val="3896220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0432"/>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7.862838619240278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不土野公民館区</c:v>
                </c:pt>
              </c:strCache>
            </c:strRef>
          </c:cat>
          <c:val>
            <c:numRef>
              <c:f>管理者用地域特徴シート!$CK$3:$CK$5</c:f>
              <c:numCache>
                <c:formatCode>0.0%</c:formatCode>
                <c:ptCount val="3"/>
                <c:pt idx="0">
                  <c:v>0.82747216160708559</c:v>
                </c:pt>
                <c:pt idx="1">
                  <c:v>0.96217851739788196</c:v>
                </c:pt>
                <c:pt idx="2">
                  <c:v>0.96825396825396826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164200"/>
        <c:axId val="455160280"/>
      </c:barChart>
      <c:catAx>
        <c:axId val="455164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60280"/>
        <c:crosses val="autoZero"/>
        <c:auto val="1"/>
        <c:lblAlgn val="ctr"/>
        <c:lblOffset val="100"/>
        <c:noMultiLvlLbl val="0"/>
      </c:catAx>
      <c:valAx>
        <c:axId val="45516028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64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0.45</c:v>
                </c:pt>
                <c:pt idx="1">
                  <c:v>0.39</c:v>
                </c:pt>
                <c:pt idx="2">
                  <c:v>0.38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8231464"/>
        <c:axId val="388231856"/>
      </c:barChart>
      <c:catAx>
        <c:axId val="388231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31856"/>
        <c:crosses val="autoZero"/>
        <c:auto val="1"/>
        <c:lblAlgn val="ctr"/>
        <c:lblOffset val="100"/>
        <c:noMultiLvlLbl val="0"/>
      </c:catAx>
      <c:valAx>
        <c:axId val="388231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31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0.31</c:v>
                </c:pt>
                <c:pt idx="1">
                  <c:v>0.31</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229896"/>
        <c:axId val="388226368"/>
      </c:barChart>
      <c:catAx>
        <c:axId val="388229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6368"/>
        <c:crosses val="autoZero"/>
        <c:auto val="1"/>
        <c:lblAlgn val="ctr"/>
        <c:lblOffset val="100"/>
        <c:noMultiLvlLbl val="0"/>
      </c:catAx>
      <c:valAx>
        <c:axId val="388226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98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DF7-4483-845A-C5D0875557C4}"/>
                </c:ext>
                <c:ext xmlns:c15="http://schemas.microsoft.com/office/drawing/2012/chart" uri="{CE6537A1-D6FC-4f65-9D91-7224C49458BB}"/>
              </c:extLst>
            </c:dLbl>
            <c:dLbl>
              <c:idx val="3"/>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DF7-4483-845A-C5D0875557C4}"/>
                </c:ext>
                <c:ext xmlns:c15="http://schemas.microsoft.com/office/drawing/2012/chart" uri="{CE6537A1-D6FC-4f65-9D91-7224C49458BB}"/>
              </c:extLst>
            </c:dLbl>
            <c:dLbl>
              <c:idx val="6"/>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DF7-4483-845A-C5D0875557C4}"/>
                </c:ext>
                <c:ext xmlns:c15="http://schemas.microsoft.com/office/drawing/2012/chart" uri="{CE6537A1-D6FC-4f65-9D91-7224C49458BB}"/>
              </c:extLst>
            </c:dLbl>
            <c:dLbl>
              <c:idx val="17"/>
              <c:layout>
                <c:manualLayout>
                  <c:x val="-4.1210500654283019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DF7-4483-845A-C5D0875557C4}"/>
                </c:ext>
                <c:ext xmlns:c15="http://schemas.microsoft.com/office/drawing/2012/chart" uri="{CE6537A1-D6FC-4f65-9D91-7224C49458BB}"/>
              </c:extLst>
            </c:dLbl>
            <c:dLbl>
              <c:idx val="18"/>
              <c:layout>
                <c:manualLayout>
                  <c:x val="-1.030286854225094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DF7-4483-845A-C5D0875557C4}"/>
                </c:ext>
                <c:ext xmlns:c15="http://schemas.microsoft.com/office/drawing/2012/chart" uri="{CE6537A1-D6FC-4f65-9D91-7224C49458BB}"/>
              </c:extLst>
            </c:dLbl>
            <c:dLbl>
              <c:idx val="19"/>
              <c:layout>
                <c:manualLayout>
                  <c:x val="-6.180520457194963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DF7-4483-845A-C5D0875557C4}"/>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DF7-4483-845A-C5D0875557C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c:v>
                </c:pt>
                <c:pt idx="1">
                  <c:v>1</c:v>
                </c:pt>
                <c:pt idx="2">
                  <c:v>1</c:v>
                </c:pt>
                <c:pt idx="3">
                  <c:v>1</c:v>
                </c:pt>
                <c:pt idx="4">
                  <c:v>1</c:v>
                </c:pt>
                <c:pt idx="5">
                  <c:v>5</c:v>
                </c:pt>
                <c:pt idx="6">
                  <c:v>5</c:v>
                </c:pt>
                <c:pt idx="7">
                  <c:v>0</c:v>
                </c:pt>
                <c:pt idx="8">
                  <c:v>1</c:v>
                </c:pt>
                <c:pt idx="9">
                  <c:v>6</c:v>
                </c:pt>
                <c:pt idx="10">
                  <c:v>8</c:v>
                </c:pt>
                <c:pt idx="11">
                  <c:v>6</c:v>
                </c:pt>
                <c:pt idx="12">
                  <c:v>3</c:v>
                </c:pt>
                <c:pt idx="13">
                  <c:v>2</c:v>
                </c:pt>
                <c:pt idx="14">
                  <c:v>5</c:v>
                </c:pt>
                <c:pt idx="15">
                  <c:v>6</c:v>
                </c:pt>
                <c:pt idx="16">
                  <c:v>8</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227936"/>
        <c:axId val="3882248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c:v>
                </c:pt>
                <c:pt idx="1">
                  <c:v>2</c:v>
                </c:pt>
                <c:pt idx="2">
                  <c:v>0</c:v>
                </c:pt>
                <c:pt idx="3">
                  <c:v>1</c:v>
                </c:pt>
                <c:pt idx="4">
                  <c:v>1</c:v>
                </c:pt>
                <c:pt idx="5">
                  <c:v>3</c:v>
                </c:pt>
                <c:pt idx="6">
                  <c:v>2</c:v>
                </c:pt>
                <c:pt idx="7">
                  <c:v>1</c:v>
                </c:pt>
                <c:pt idx="8">
                  <c:v>3</c:v>
                </c:pt>
                <c:pt idx="9">
                  <c:v>2</c:v>
                </c:pt>
                <c:pt idx="10">
                  <c:v>7</c:v>
                </c:pt>
                <c:pt idx="11">
                  <c:v>1</c:v>
                </c:pt>
                <c:pt idx="12">
                  <c:v>4</c:v>
                </c:pt>
                <c:pt idx="13">
                  <c:v>1</c:v>
                </c:pt>
                <c:pt idx="14">
                  <c:v>10</c:v>
                </c:pt>
                <c:pt idx="15">
                  <c:v>11</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232248"/>
        <c:axId val="388229112"/>
      </c:barChart>
      <c:catAx>
        <c:axId val="388227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4800"/>
        <c:crosses val="autoZero"/>
        <c:auto val="1"/>
        <c:lblAlgn val="ctr"/>
        <c:lblOffset val="100"/>
        <c:noMultiLvlLbl val="0"/>
      </c:catAx>
      <c:valAx>
        <c:axId val="38822480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7936"/>
        <c:crosses val="autoZero"/>
        <c:crossBetween val="between"/>
        <c:majorUnit val="15"/>
      </c:valAx>
      <c:valAx>
        <c:axId val="3882291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32248"/>
        <c:crosses val="max"/>
        <c:crossBetween val="between"/>
        <c:majorUnit val="15"/>
      </c:valAx>
      <c:catAx>
        <c:axId val="388232248"/>
        <c:scaling>
          <c:orientation val="minMax"/>
        </c:scaling>
        <c:delete val="1"/>
        <c:axPos val="l"/>
        <c:numFmt formatCode="General" sourceLinked="1"/>
        <c:majorTickMark val="out"/>
        <c:minorTickMark val="none"/>
        <c:tickLblPos val="nextTo"/>
        <c:crossAx val="388229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65</c:v>
                </c:pt>
                <c:pt idx="1">
                  <c:v>65</c:v>
                </c:pt>
                <c:pt idx="2">
                  <c:v>55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65</c:v>
                </c:pt>
                <c:pt idx="1">
                  <c:v>59</c:v>
                </c:pt>
                <c:pt idx="2">
                  <c:v>50</c:v>
                </c:pt>
              </c:numCache>
            </c:numRef>
          </c:val>
          <c:extLst xmlns:c16r2="http://schemas.microsoft.com/office/drawing/2015/06/chart">
            <c:ext xmlns:c16="http://schemas.microsoft.com/office/drawing/2014/chart" uri="{C3380CC4-5D6E-409C-BE32-E72D297353CC}">
              <c16:uniqueId val="{00000000-73FA-4576-B0B3-AFDD1209C7E1}"/>
            </c:ext>
          </c:extLst>
        </c:ser>
        <c:dLbls>
          <c:showLegendKey val="0"/>
          <c:showVal val="0"/>
          <c:showCatName val="0"/>
          <c:showSerName val="0"/>
          <c:showPercent val="0"/>
          <c:showBubbleSize val="0"/>
        </c:dLbls>
        <c:gapWidth val="219"/>
        <c:overlap val="100"/>
        <c:axId val="390286064"/>
        <c:axId val="3902888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726028513653241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FA-4576-B0B3-AFDD1209C7E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130</c:v>
                </c:pt>
                <c:pt idx="1">
                  <c:v>124</c:v>
                </c:pt>
                <c:pt idx="2">
                  <c:v>105</c:v>
                </c:pt>
              </c:numCache>
            </c:numRef>
          </c:val>
          <c:smooth val="0"/>
          <c:extLst xmlns:c16r2="http://schemas.microsoft.com/office/drawing/2015/06/chart">
            <c:ext xmlns:c16="http://schemas.microsoft.com/office/drawing/2014/chart" uri="{C3380CC4-5D6E-409C-BE32-E72D297353CC}">
              <c16:uniqueId val="{00000002-73FA-4576-B0B3-AFDD1209C7E1}"/>
            </c:ext>
          </c:extLst>
        </c:ser>
        <c:dLbls>
          <c:showLegendKey val="0"/>
          <c:showVal val="0"/>
          <c:showCatName val="0"/>
          <c:showSerName val="0"/>
          <c:showPercent val="0"/>
          <c:showBubbleSize val="0"/>
        </c:dLbls>
        <c:marker val="1"/>
        <c:smooth val="0"/>
        <c:axId val="390286064"/>
        <c:axId val="390288808"/>
      </c:lineChart>
      <c:catAx>
        <c:axId val="390286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8808"/>
        <c:crosses val="autoZero"/>
        <c:auto val="1"/>
        <c:lblAlgn val="ctr"/>
        <c:lblOffset val="100"/>
        <c:noMultiLvlLbl val="0"/>
      </c:catAx>
      <c:valAx>
        <c:axId val="390288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606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59-48E6-84B2-BB6C31FECB83}"/>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59-48E6-84B2-BB6C31FECB83}"/>
                </c:ext>
                <c:ext xmlns:c15="http://schemas.microsoft.com/office/drawing/2012/chart" uri="{CE6537A1-D6FC-4f65-9D91-7224C49458BB}"/>
              </c:extLst>
            </c:dLbl>
            <c:dLbl>
              <c:idx val="8"/>
              <c:layout>
                <c:manualLayout>
                  <c:x val="-3.7918232632172241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B59-48E6-84B2-BB6C31FECB83}"/>
                </c:ext>
                <c:ext xmlns:c15="http://schemas.microsoft.com/office/drawing/2012/chart" uri="{CE6537A1-D6FC-4f65-9D91-7224C49458BB}"/>
              </c:extLst>
            </c:dLbl>
            <c:dLbl>
              <c:idx val="18"/>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B59-48E6-84B2-BB6C31FECB83}"/>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B59-48E6-84B2-BB6C31FECB83}"/>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B59-48E6-84B2-BB6C31FECB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c:v>
                </c:pt>
                <c:pt idx="1">
                  <c:v>5</c:v>
                </c:pt>
                <c:pt idx="2">
                  <c:v>2</c:v>
                </c:pt>
                <c:pt idx="3">
                  <c:v>1</c:v>
                </c:pt>
                <c:pt idx="4">
                  <c:v>0</c:v>
                </c:pt>
                <c:pt idx="5">
                  <c:v>1</c:v>
                </c:pt>
                <c:pt idx="6">
                  <c:v>3</c:v>
                </c:pt>
                <c:pt idx="7">
                  <c:v>3</c:v>
                </c:pt>
                <c:pt idx="8">
                  <c:v>5</c:v>
                </c:pt>
                <c:pt idx="9">
                  <c:v>0</c:v>
                </c:pt>
                <c:pt idx="10">
                  <c:v>2</c:v>
                </c:pt>
                <c:pt idx="11">
                  <c:v>6</c:v>
                </c:pt>
                <c:pt idx="12">
                  <c:v>7</c:v>
                </c:pt>
                <c:pt idx="13">
                  <c:v>5</c:v>
                </c:pt>
                <c:pt idx="14">
                  <c:v>3</c:v>
                </c:pt>
                <c:pt idx="15">
                  <c:v>2</c:v>
                </c:pt>
                <c:pt idx="16">
                  <c:v>2</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285280"/>
        <c:axId val="3902884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2</c:v>
                </c:pt>
                <c:pt idx="2">
                  <c:v>3</c:v>
                </c:pt>
                <c:pt idx="3">
                  <c:v>0</c:v>
                </c:pt>
                <c:pt idx="4">
                  <c:v>0</c:v>
                </c:pt>
                <c:pt idx="5">
                  <c:v>2</c:v>
                </c:pt>
                <c:pt idx="6">
                  <c:v>1</c:v>
                </c:pt>
                <c:pt idx="7">
                  <c:v>3</c:v>
                </c:pt>
                <c:pt idx="8">
                  <c:v>2</c:v>
                </c:pt>
                <c:pt idx="9">
                  <c:v>1</c:v>
                </c:pt>
                <c:pt idx="10">
                  <c:v>4</c:v>
                </c:pt>
                <c:pt idx="11">
                  <c:v>2</c:v>
                </c:pt>
                <c:pt idx="12">
                  <c:v>7</c:v>
                </c:pt>
                <c:pt idx="13">
                  <c:v>1</c:v>
                </c:pt>
                <c:pt idx="14">
                  <c:v>4</c:v>
                </c:pt>
                <c:pt idx="15">
                  <c:v>1</c:v>
                </c:pt>
                <c:pt idx="16">
                  <c:v>8</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288024"/>
        <c:axId val="390281360"/>
      </c:barChart>
      <c:catAx>
        <c:axId val="390285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8416"/>
        <c:crosses val="autoZero"/>
        <c:auto val="1"/>
        <c:lblAlgn val="ctr"/>
        <c:lblOffset val="100"/>
        <c:noMultiLvlLbl val="0"/>
      </c:catAx>
      <c:valAx>
        <c:axId val="39028841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5280"/>
        <c:crosses val="autoZero"/>
        <c:crossBetween val="between"/>
        <c:majorUnit val="15"/>
      </c:valAx>
      <c:valAx>
        <c:axId val="39028136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8024"/>
        <c:crosses val="max"/>
        <c:crossBetween val="between"/>
        <c:majorUnit val="15"/>
      </c:valAx>
      <c:catAx>
        <c:axId val="390288024"/>
        <c:scaling>
          <c:orientation val="minMax"/>
        </c:scaling>
        <c:delete val="1"/>
        <c:axPos val="l"/>
        <c:numFmt formatCode="General" sourceLinked="1"/>
        <c:majorTickMark val="out"/>
        <c:minorTickMark val="none"/>
        <c:tickLblPos val="nextTo"/>
        <c:crossAx val="390281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8CE-4AE0-9E29-D80AF22D0D6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8CE-4AE0-9E29-D80AF22D0D6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8CE-4AE0-9E29-D80AF22D0D6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8CE-4AE0-9E29-D80AF22D0D6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8CE-4AE0-9E29-D80AF22D0D6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65</c:v>
                </c:pt>
                <c:pt idx="1">
                  <c:v>65</c:v>
                </c:pt>
                <c:pt idx="2">
                  <c:v>55</c:v>
                </c:pt>
                <c:pt idx="3">
                  <c:v>50</c:v>
                </c:pt>
                <c:pt idx="4">
                  <c:v>46</c:v>
                </c:pt>
                <c:pt idx="5">
                  <c:v>45</c:v>
                </c:pt>
                <c:pt idx="6">
                  <c:v>42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8CE-4AE0-9E29-D80AF22D0D6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8CE-4AE0-9E29-D80AF22D0D6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8CE-4AE0-9E29-D80AF22D0D6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65</c:v>
                </c:pt>
                <c:pt idx="1">
                  <c:v>59</c:v>
                </c:pt>
                <c:pt idx="2">
                  <c:v>50</c:v>
                </c:pt>
                <c:pt idx="3">
                  <c:v>43</c:v>
                </c:pt>
                <c:pt idx="4">
                  <c:v>40</c:v>
                </c:pt>
                <c:pt idx="5">
                  <c:v>39</c:v>
                </c:pt>
                <c:pt idx="6">
                  <c:v>40</c:v>
                </c:pt>
              </c:numCache>
            </c:numRef>
          </c:val>
          <c:extLst xmlns:c16r2="http://schemas.microsoft.com/office/drawing/2015/06/chart">
            <c:ext xmlns:c16="http://schemas.microsoft.com/office/drawing/2014/chart" uri="{C3380CC4-5D6E-409C-BE32-E72D297353CC}">
              <c16:uniqueId val="{00000010-38CE-4AE0-9E29-D80AF22D0D68}"/>
            </c:ext>
          </c:extLst>
        </c:ser>
        <c:dLbls>
          <c:showLegendKey val="0"/>
          <c:showVal val="0"/>
          <c:showCatName val="0"/>
          <c:showSerName val="0"/>
          <c:showPercent val="0"/>
          <c:showBubbleSize val="0"/>
        </c:dLbls>
        <c:gapWidth val="219"/>
        <c:overlap val="100"/>
        <c:axId val="390282144"/>
        <c:axId val="3902837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130</c:v>
                </c:pt>
                <c:pt idx="1">
                  <c:v>124</c:v>
                </c:pt>
                <c:pt idx="2">
                  <c:v>105</c:v>
                </c:pt>
                <c:pt idx="3">
                  <c:v>93</c:v>
                </c:pt>
                <c:pt idx="4">
                  <c:v>86</c:v>
                </c:pt>
                <c:pt idx="5">
                  <c:v>84</c:v>
                </c:pt>
                <c:pt idx="6">
                  <c:v>82</c:v>
                </c:pt>
              </c:numCache>
            </c:numRef>
          </c:val>
          <c:smooth val="0"/>
          <c:extLst xmlns:c16r2="http://schemas.microsoft.com/office/drawing/2015/06/chart">
            <c:ext xmlns:c16="http://schemas.microsoft.com/office/drawing/2014/chart" uri="{C3380CC4-5D6E-409C-BE32-E72D297353CC}">
              <c16:uniqueId val="{00000011-38CE-4AE0-9E29-D80AF22D0D68}"/>
            </c:ext>
          </c:extLst>
        </c:ser>
        <c:dLbls>
          <c:showLegendKey val="0"/>
          <c:showVal val="0"/>
          <c:showCatName val="0"/>
          <c:showSerName val="0"/>
          <c:showPercent val="0"/>
          <c:showBubbleSize val="0"/>
        </c:dLbls>
        <c:marker val="1"/>
        <c:smooth val="0"/>
        <c:axId val="390282144"/>
        <c:axId val="390283712"/>
      </c:lineChart>
      <c:catAx>
        <c:axId val="39028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3712"/>
        <c:crosses val="autoZero"/>
        <c:auto val="1"/>
        <c:lblAlgn val="ctr"/>
        <c:lblOffset val="100"/>
        <c:noMultiLvlLbl val="0"/>
      </c:catAx>
      <c:valAx>
        <c:axId val="390283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21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c:v>
                </c:pt>
                <c:pt idx="1">
                  <c:v>7</c:v>
                </c:pt>
                <c:pt idx="2">
                  <c:v>7</c:v>
                </c:pt>
                <c:pt idx="3">
                  <c:v>5</c:v>
                </c:pt>
                <c:pt idx="4">
                  <c:v>3</c:v>
                </c:pt>
                <c:pt idx="5">
                  <c:v>3</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286456"/>
        <c:axId val="390287240"/>
      </c:barChart>
      <c:catAx>
        <c:axId val="39028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7240"/>
        <c:crosses val="autoZero"/>
        <c:auto val="1"/>
        <c:lblAlgn val="ctr"/>
        <c:lblOffset val="100"/>
        <c:noMultiLvlLbl val="0"/>
      </c:catAx>
      <c:valAx>
        <c:axId val="390287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6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不土野公民館区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45430_6</v>
      </c>
      <c r="B5" s="201" t="str">
        <f>VLOOKUP($A$5,$A$7:$CP$50,2,FALSE)</f>
        <v>椎葉村</v>
      </c>
      <c r="C5" s="201" t="str">
        <f>VLOOKUP($A$5,$A$7:$CP$50,3,FALSE)</f>
        <v>不土野公民館区</v>
      </c>
      <c r="D5" s="188">
        <f>VLOOKUP($A$5,$A$7:$CP$70,4,FALSE)</f>
        <v>45</v>
      </c>
      <c r="E5" s="189">
        <f>VLOOKUP($A$5,$A$7:$CP$70,5,FALSE)</f>
        <v>28</v>
      </c>
      <c r="F5" s="189">
        <f>VLOOKUP($A$5,$A$7:$CP$70,6,FALSE)</f>
        <v>7</v>
      </c>
      <c r="G5" s="190">
        <f>VLOOKUP($A$5,$A$7:$CP$70,7,FALSE)</f>
        <v>9</v>
      </c>
      <c r="H5" s="178">
        <f>VLOOKUP($A$5,$A$7:$CP$70,8,FALSE)</f>
        <v>0.62222222222222223</v>
      </c>
      <c r="I5" s="179">
        <f>VLOOKUP($A$5,$A$7:$CP$70,9,FALSE)</f>
        <v>0.15555555555555556</v>
      </c>
      <c r="J5" s="180">
        <f>VLOOKUP($A$5,$A$7:$CP$70,10,FALSE)</f>
        <v>0.2</v>
      </c>
      <c r="K5" s="188">
        <f>VLOOKUP($A$5,$A$7:$CP$70,11,FALSE)</f>
        <v>105</v>
      </c>
      <c r="L5" s="189">
        <f>VLOOKUP($A$5,$A$7:$CP$70,12,FALSE)</f>
        <v>31</v>
      </c>
      <c r="M5" s="189">
        <f>VLOOKUP($A$5,$A$7:$CP$70,13,FALSE)</f>
        <v>19</v>
      </c>
      <c r="N5" s="190">
        <f>VLOOKUP($A$5,$A$7:$CP$70,14,FALSE)</f>
        <v>55</v>
      </c>
      <c r="O5" s="178">
        <f>VLOOKUP($A$5,$A$7:$CP$70,15,FALSE)</f>
        <v>0.29523809523809524</v>
      </c>
      <c r="P5" s="179">
        <f>VLOOKUP($A$5,$A$7:$CP$70,16,FALSE)</f>
        <v>0.18095238095238095</v>
      </c>
      <c r="Q5" s="180">
        <f>VLOOKUP($A$5,$A$7:$CP$70,17,FALSE)</f>
        <v>0.52380952380952384</v>
      </c>
      <c r="R5" s="188">
        <f>VLOOKUP($A$5,$A$7:$CP$70,18,FALSE)</f>
        <v>105</v>
      </c>
      <c r="S5" s="189">
        <f>VLOOKUP($A$5,$A$7:$CP$70,19,FALSE)</f>
        <v>6</v>
      </c>
      <c r="T5" s="189">
        <f>VLOOKUP($A$5,$A$7:$CP$70,20,FALSE)</f>
        <v>7</v>
      </c>
      <c r="U5" s="189">
        <f>VLOOKUP($A$5,$A$7:$CP$70,21,FALSE)</f>
        <v>0</v>
      </c>
      <c r="V5" s="189">
        <f>VLOOKUP($A$5,$A$7:$CP$70,22,FALSE)</f>
        <v>0</v>
      </c>
      <c r="W5" s="190">
        <f>VLOOKUP($A$5,$A$7:$CP$70,23,FALSE)</f>
        <v>13</v>
      </c>
      <c r="X5" s="188">
        <f>VLOOKUP($A$5,$A$7:$CP$70,24,FALSE)</f>
        <v>55</v>
      </c>
      <c r="Y5" s="189">
        <f>VLOOKUP($A$5,$A$7:$CP$70,25,FALSE)</f>
        <v>4</v>
      </c>
      <c r="Z5" s="189">
        <f>VLOOKUP($A$5,$A$7:$CP$70,26,FALSE)</f>
        <v>4</v>
      </c>
      <c r="AA5" s="189">
        <f>VLOOKUP($A$5,$A$7:$CP$70,27,FALSE)</f>
        <v>0</v>
      </c>
      <c r="AB5" s="189">
        <f>VLOOKUP($A$5,$A$7:$CP$70,28,FALSE)</f>
        <v>0</v>
      </c>
      <c r="AC5" s="191">
        <f>VLOOKUP($A$5,$A$7:$CP$70,29,FALSE)</f>
        <v>8</v>
      </c>
      <c r="AD5" s="188">
        <f>VLOOKUP($A$5,$A$7:$CP$70,30,FALSE)</f>
        <v>50</v>
      </c>
      <c r="AE5" s="189">
        <f>VLOOKUP($A$5,$A$7:$CP$70,31,FALSE)</f>
        <v>2</v>
      </c>
      <c r="AF5" s="189">
        <f>VLOOKUP($A$5,$A$7:$CP$70,32,FALSE)</f>
        <v>3</v>
      </c>
      <c r="AG5" s="189">
        <f>VLOOKUP($A$5,$A$7:$CP$70,33,FALSE)</f>
        <v>0</v>
      </c>
      <c r="AH5" s="189">
        <f>VLOOKUP($A$5,$A$7:$CP$70,34,FALSE)</f>
        <v>0</v>
      </c>
      <c r="AI5" s="191">
        <f>VLOOKUP($A$5,$A$7:$CP$70,35,FALSE)</f>
        <v>5</v>
      </c>
      <c r="AJ5" s="178">
        <f>VLOOKUP($A$5,$A$7:$CP$70,36,FALSE)</f>
        <v>0.12380952380952381</v>
      </c>
      <c r="AK5" s="179">
        <f>VLOOKUP($A$5,$A$7:$CP$70,37,FALSE)</f>
        <v>0.53846153846153844</v>
      </c>
      <c r="AL5" s="179">
        <f>VLOOKUP($A$5,$A$7:$CP$70,38,FALSE)</f>
        <v>0</v>
      </c>
      <c r="AM5" s="179">
        <f>VLOOKUP($A$5,$A$7:$CP$70,39,FALSE)</f>
        <v>0</v>
      </c>
      <c r="AN5" s="182">
        <f>VLOOKUP($A$5,$A$7:$CP$70,40,FALSE)</f>
        <v>0.61538461538461542</v>
      </c>
      <c r="AO5" s="180">
        <f>VLOOKUP($A$5,$A$7:$CP$70,41,FALSE)</f>
        <v>0.38461538461538464</v>
      </c>
      <c r="AP5" s="192">
        <f>VLOOKUP($A$5,$A$7:$CP$70,42,FALSE)</f>
        <v>63</v>
      </c>
      <c r="AQ5" s="189">
        <f>VLOOKUP($A$5,$A$7:$CP$70,43,FALSE)</f>
        <v>32</v>
      </c>
      <c r="AR5" s="189">
        <f>VLOOKUP($A$5,$A$7:$CP$70,44,FALSE)</f>
        <v>0</v>
      </c>
      <c r="AS5" s="189">
        <f>VLOOKUP($A$5,$A$7:$CP$70,45,FALSE)</f>
        <v>0</v>
      </c>
      <c r="AT5" s="189">
        <f>VLOOKUP($A$5,$A$7:$CP$70,46,FALSE)</f>
        <v>4</v>
      </c>
      <c r="AU5" s="189">
        <f>VLOOKUP($A$5,$A$7:$CP$70,47,FALSE)</f>
        <v>2</v>
      </c>
      <c r="AV5" s="189">
        <f>VLOOKUP($A$5,$A$7:$CP$70,48,FALSE)</f>
        <v>0</v>
      </c>
      <c r="AW5" s="189">
        <f>VLOOKUP($A$5,$A$7:$CP$70,49,FALSE)</f>
        <v>0</v>
      </c>
      <c r="AX5" s="189">
        <f>VLOOKUP($A$5,$A$7:$CP$70,50,FALSE)</f>
        <v>5</v>
      </c>
      <c r="AY5" s="189">
        <f>VLOOKUP($A$5,$A$7:$CP$70,51,FALSE)</f>
        <v>4</v>
      </c>
      <c r="AZ5" s="189">
        <f>VLOOKUP($A$5,$A$7:$CP$70,52,FALSE)</f>
        <v>0</v>
      </c>
      <c r="BA5" s="189">
        <f>VLOOKUP($A$5,$A$7:$CP$70,53,FALSE)</f>
        <v>0</v>
      </c>
      <c r="BB5" s="189">
        <f>VLOOKUP($A$5,$A$7:$CP$70,54,FALSE)</f>
        <v>0</v>
      </c>
      <c r="BC5" s="189">
        <f>VLOOKUP($A$5,$A$7:$CP$70,55,FALSE)</f>
        <v>1</v>
      </c>
      <c r="BD5" s="189">
        <f>VLOOKUP($A$5,$A$7:$CP$70,56,FALSE)</f>
        <v>0</v>
      </c>
      <c r="BE5" s="189">
        <f>VLOOKUP($A$5,$A$7:$CP$70,57,FALSE)</f>
        <v>8</v>
      </c>
      <c r="BF5" s="189">
        <f>VLOOKUP($A$5,$A$7:$CP$70,58,FALSE)</f>
        <v>1</v>
      </c>
      <c r="BG5" s="189">
        <f>VLOOKUP($A$5,$A$7:$CP$70,59,FALSE)</f>
        <v>1</v>
      </c>
      <c r="BH5" s="189">
        <f>VLOOKUP($A$5,$A$7:$CP$70,60,FALSE)</f>
        <v>0</v>
      </c>
      <c r="BI5" s="189">
        <f>VLOOKUP($A$5,$A$7:$CP$70,61,FALSE)</f>
        <v>5</v>
      </c>
      <c r="BJ5" s="178">
        <f>VLOOKUP($A$5,$A$7:$CP$70,62,FALSE)</f>
        <v>0.50793650793650791</v>
      </c>
      <c r="BK5" s="179">
        <f>VLOOKUP($A$5,$A$7:$CP$70,63,FALSE)</f>
        <v>0</v>
      </c>
      <c r="BL5" s="179">
        <f>VLOOKUP($A$5,$A$7:$CP$70,64,FALSE)</f>
        <v>0</v>
      </c>
      <c r="BM5" s="179">
        <f>VLOOKUP($A$5,$A$7:$CP$70,65,FALSE)</f>
        <v>6.3492063492063489E-2</v>
      </c>
      <c r="BN5" s="179">
        <f>VLOOKUP($A$5,$A$7:$CP$70,66,FALSE)</f>
        <v>3.1746031746031744E-2</v>
      </c>
      <c r="BO5" s="179">
        <f>VLOOKUP($A$5,$A$7:$CP$70,67,FALSE)</f>
        <v>0</v>
      </c>
      <c r="BP5" s="179">
        <f>VLOOKUP($A$5,$A$7:$CP$70,68,FALSE)</f>
        <v>0</v>
      </c>
      <c r="BQ5" s="179">
        <f>VLOOKUP($A$5,$A$7:$CP$70,69,FALSE)</f>
        <v>7.9365079365079361E-2</v>
      </c>
      <c r="BR5" s="179">
        <f>VLOOKUP($A$5,$A$7:$CP$70,70,FALSE)</f>
        <v>6.3492063492063489E-2</v>
      </c>
      <c r="BS5" s="179">
        <f>VLOOKUP($A$5,$A$7:$CP$70,71,FALSE)</f>
        <v>0</v>
      </c>
      <c r="BT5" s="179">
        <f>VLOOKUP($A$5,$A$7:$CP$70,72,FALSE)</f>
        <v>0</v>
      </c>
      <c r="BU5" s="179">
        <f>VLOOKUP($A$5,$A$7:$CP$70,73,FALSE)</f>
        <v>0</v>
      </c>
      <c r="BV5" s="179">
        <f>VLOOKUP($A$5,$A$7:$CP$70,74,FALSE)</f>
        <v>1.5873015873015872E-2</v>
      </c>
      <c r="BW5" s="179">
        <f>VLOOKUP($A$5,$A$7:$CP$70,75,FALSE)</f>
        <v>0</v>
      </c>
      <c r="BX5" s="179">
        <f>VLOOKUP($A$5,$A$7:$CP$70,76,FALSE)</f>
        <v>0.12698412698412698</v>
      </c>
      <c r="BY5" s="179">
        <f>VLOOKUP($A$5,$A$7:$CP$70,77,FALSE)</f>
        <v>1.5873015873015872E-2</v>
      </c>
      <c r="BZ5" s="179">
        <f>VLOOKUP($A$5,$A$7:$CP$70,78,FALSE)</f>
        <v>1.5873015873015872E-2</v>
      </c>
      <c r="CA5" s="179">
        <f>VLOOKUP($A$5,$A$7:$CP$70,79,FALSE)</f>
        <v>0</v>
      </c>
      <c r="CB5" s="180">
        <f>VLOOKUP($A$5,$A$7:$CP$70,80,FALSE)</f>
        <v>7.9365079365079361E-2</v>
      </c>
      <c r="CC5" s="188">
        <f>VLOOKUP($A$5,$A$7:$CP$70,81,FALSE)</f>
        <v>63</v>
      </c>
      <c r="CD5" s="190">
        <f>VLOOKUP($A$5,$A$7:$CP$70,82,FALSE)</f>
        <v>61</v>
      </c>
      <c r="CE5" s="189">
        <f>VLOOKUP($A$5,$A$7:$CP$70,83,FALSE)</f>
        <v>1</v>
      </c>
      <c r="CF5" s="191">
        <f>VLOOKUP($A$5,$A$7:$CP$70,84,FALSE)</f>
        <v>1</v>
      </c>
      <c r="CG5" s="188">
        <f>VLOOKUP($A$5,$A$7:$CP$70,85,FALSE)</f>
        <v>1</v>
      </c>
      <c r="CH5" s="189">
        <f>VLOOKUP($A$5,$A$7:$CP$70,86,FALSE)</f>
        <v>0</v>
      </c>
      <c r="CI5" s="189">
        <f>VLOOKUP($A$5,$A$7:$CP$70,87,FALSE)</f>
        <v>1</v>
      </c>
      <c r="CJ5" s="191">
        <f>VLOOKUP($A$5,$A$7:$CP$70,88,FALSE)</f>
        <v>0</v>
      </c>
      <c r="CK5" s="178">
        <f>VLOOKUP($A$5,$A$7:$CP$70,89,FALSE)</f>
        <v>0.96825396825396826</v>
      </c>
      <c r="CL5" s="179">
        <f>VLOOKUP($A$5,$A$7:$CP$70,90,FALSE)</f>
        <v>1.5873015873015872E-2</v>
      </c>
      <c r="CM5" s="180">
        <f>VLOOKUP($A$5,$A$7:$CP$70,91,FALSE)</f>
        <v>1.5873015873015872E-2</v>
      </c>
      <c r="CN5" s="178">
        <f>VLOOKUP($A$5,$A$7:$CP$70,92,FALSE)</f>
        <v>0</v>
      </c>
      <c r="CO5" s="179">
        <f>VLOOKUP($A$5,$A$7:$CP$70,93,FALSE)</f>
        <v>1</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不土野公民館区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105</v>
      </c>
      <c r="F6" s="256"/>
      <c r="G6" s="20" t="s">
        <v>54</v>
      </c>
    </row>
    <row r="7" spans="1:10" ht="22.5" customHeight="1" x14ac:dyDescent="0.15">
      <c r="A7" s="248">
        <f>管理者用グラフシート!B4</f>
        <v>2010</v>
      </c>
      <c r="B7" s="248"/>
      <c r="C7" s="82" t="s">
        <v>226</v>
      </c>
      <c r="D7" s="250">
        <f>E6-管理者用グラフシート!E4</f>
        <v>-25</v>
      </c>
      <c r="E7" s="250"/>
      <c r="F7" s="20" t="s">
        <v>356</v>
      </c>
    </row>
    <row r="8" spans="1:10" ht="22.5" customHeight="1" x14ac:dyDescent="0.15">
      <c r="A8" s="247" t="s">
        <v>380</v>
      </c>
      <c r="B8" s="247"/>
      <c r="C8" s="203">
        <f>管理者用グラフシート!C6-管理者用グラフシート!C4</f>
        <v>-10</v>
      </c>
      <c r="D8" s="206" t="s">
        <v>381</v>
      </c>
      <c r="F8" s="203">
        <f>管理者用グラフシート!D6-管理者用グラフシート!D4</f>
        <v>-15</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7</v>
      </c>
      <c r="G36" s="249"/>
      <c r="H36" s="20" t="s">
        <v>54</v>
      </c>
    </row>
    <row r="37" spans="1:9" ht="22.5" customHeight="1" x14ac:dyDescent="0.15">
      <c r="A37" s="20" t="s">
        <v>66</v>
      </c>
      <c r="F37" s="249">
        <f>管理者用グラフシート!C16</f>
        <v>2</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5</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40</v>
      </c>
      <c r="D70" s="249"/>
      <c r="E70" s="20" t="s">
        <v>76</v>
      </c>
      <c r="F70" s="37"/>
      <c r="G70" s="254">
        <f>管理者用グラフシート!C32</f>
        <v>0.38</v>
      </c>
      <c r="H70" s="254"/>
      <c r="I70" s="20" t="s">
        <v>77</v>
      </c>
    </row>
    <row r="71" spans="1:9" ht="22.5" customHeight="1" x14ac:dyDescent="0.15">
      <c r="A71" s="20" t="s">
        <v>78</v>
      </c>
      <c r="C71" s="249">
        <f>管理者用グラフシート!C26</f>
        <v>27</v>
      </c>
      <c r="D71" s="249"/>
      <c r="E71" s="20" t="s">
        <v>76</v>
      </c>
      <c r="F71" s="37"/>
      <c r="G71" s="254">
        <f>管理者用グラフシート!C36</f>
        <v>0.26</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7ポイント低下</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5ポイント低下</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-7</v>
      </c>
      <c r="G135" s="207" t="s">
        <v>386</v>
      </c>
      <c r="H135" s="111"/>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-4</v>
      </c>
      <c r="G136" s="20" t="s">
        <v>386</v>
      </c>
    </row>
    <row r="137" spans="1:8" ht="18.75" x14ac:dyDescent="0.15">
      <c r="A137" s="20" t="s">
        <v>389</v>
      </c>
      <c r="C137" s="205">
        <f>SUM(管理者用グラフシート!B99:C100)-SUM(管理者用グラフシート!B51:C52)</f>
        <v>-8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不土野公民館区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86</v>
      </c>
      <c r="E6" s="249"/>
      <c r="F6" s="20" t="s">
        <v>231</v>
      </c>
      <c r="H6" s="34"/>
      <c r="I6" s="34"/>
    </row>
    <row r="7" spans="1:9" ht="22.5" customHeight="1" x14ac:dyDescent="0.15">
      <c r="A7" s="248">
        <f>管理者入力シート!B5</f>
        <v>2020</v>
      </c>
      <c r="B7" s="248"/>
      <c r="C7" s="195" t="s">
        <v>362</v>
      </c>
      <c r="D7" s="250">
        <f>D6-現況シート!E6</f>
        <v>-19</v>
      </c>
      <c r="E7" s="250"/>
      <c r="F7" s="20" t="s">
        <v>232</v>
      </c>
      <c r="I7" s="34"/>
    </row>
    <row r="8" spans="1:9" ht="22.5" customHeight="1" x14ac:dyDescent="0.15">
      <c r="A8" s="247" t="s">
        <v>397</v>
      </c>
      <c r="B8" s="247"/>
      <c r="C8" s="205">
        <f>管理者用グラフシート!I8-管理者用グラフシート!C6</f>
        <v>-9</v>
      </c>
      <c r="D8" s="206" t="s">
        <v>398</v>
      </c>
      <c r="F8" s="260">
        <f>管理者用グラフシート!J8-管理者用グラフシート!D6</f>
        <v>-10</v>
      </c>
      <c r="G8" s="260"/>
      <c r="H8" s="20" t="s">
        <v>399</v>
      </c>
    </row>
    <row r="10" spans="1:9" ht="22.5" customHeight="1" x14ac:dyDescent="0.15">
      <c r="A10" s="248">
        <f>管理者入力シート!B11</f>
        <v>2040</v>
      </c>
      <c r="B10" s="248"/>
      <c r="C10" s="20" t="s">
        <v>361</v>
      </c>
      <c r="D10" s="249">
        <f>管理者用グラフシート!K10</f>
        <v>82</v>
      </c>
      <c r="E10" s="249"/>
      <c r="F10" s="20" t="s">
        <v>231</v>
      </c>
      <c r="H10" s="34"/>
    </row>
    <row r="11" spans="1:9" ht="22.5" customHeight="1" x14ac:dyDescent="0.15">
      <c r="A11" s="248">
        <f>管理者入力シート!B5</f>
        <v>2020</v>
      </c>
      <c r="B11" s="248"/>
      <c r="C11" s="195" t="s">
        <v>362</v>
      </c>
      <c r="D11" s="250">
        <f>D10-現況シート!E6</f>
        <v>-23</v>
      </c>
      <c r="E11" s="250"/>
      <c r="F11" s="20" t="s">
        <v>232</v>
      </c>
      <c r="H11" s="34"/>
    </row>
    <row r="12" spans="1:9" ht="22.5" customHeight="1" x14ac:dyDescent="0.15">
      <c r="A12" s="247" t="s">
        <v>397</v>
      </c>
      <c r="B12" s="247"/>
      <c r="C12" s="205">
        <f>管理者用グラフシート!I10-管理者用グラフシート!C6</f>
        <v>-13</v>
      </c>
      <c r="D12" s="206" t="s">
        <v>398</v>
      </c>
      <c r="F12" s="260">
        <f>管理者用グラフシート!J10-管理者用グラフシート!D6</f>
        <v>-10</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4</v>
      </c>
      <c r="G36" s="249"/>
      <c r="H36" s="82" t="s">
        <v>233</v>
      </c>
      <c r="I36" s="34"/>
    </row>
    <row r="37" spans="1:9" ht="22.5" customHeight="1" x14ac:dyDescent="0.15">
      <c r="A37" s="20" t="s">
        <v>234</v>
      </c>
      <c r="F37" s="249">
        <f>管理者用グラフシート!I28</f>
        <v>1</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-3</v>
      </c>
      <c r="G40" s="250"/>
      <c r="H40" s="35" t="s">
        <v>60</v>
      </c>
    </row>
    <row r="41" spans="1:9" ht="22.5" customHeight="1" x14ac:dyDescent="0.15">
      <c r="A41" s="20" t="s">
        <v>69</v>
      </c>
      <c r="C41" s="199">
        <f>管理者入力シート!B5</f>
        <v>2020</v>
      </c>
      <c r="D41" s="20" t="s">
        <v>374</v>
      </c>
      <c r="F41" s="250">
        <f>F37-現況シート!F37</f>
        <v>-1</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29</v>
      </c>
      <c r="D70" s="249"/>
      <c r="E70" s="82" t="s">
        <v>239</v>
      </c>
      <c r="F70" s="34"/>
      <c r="G70" s="254">
        <f>管理者用グラフシート!I56</f>
        <v>0.35</v>
      </c>
      <c r="H70" s="254"/>
      <c r="I70" s="110" t="s">
        <v>240</v>
      </c>
    </row>
    <row r="71" spans="1:9" ht="22.5" customHeight="1" x14ac:dyDescent="0.15">
      <c r="A71" s="20" t="s">
        <v>241</v>
      </c>
      <c r="C71" s="249">
        <f>管理者用グラフシート!I46</f>
        <v>22</v>
      </c>
      <c r="D71" s="249"/>
      <c r="E71" s="20" t="s">
        <v>239</v>
      </c>
      <c r="G71" s="258">
        <f>管理者用グラフシート!I64</f>
        <v>0.27</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3ポイント低下</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ほぼ横ばい</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4</v>
      </c>
      <c r="H103" s="207" t="s">
        <v>60</v>
      </c>
    </row>
    <row r="104" spans="1:8" ht="22.5" customHeight="1" x14ac:dyDescent="0.15">
      <c r="A104" s="35" t="s">
        <v>387</v>
      </c>
      <c r="C104" s="205">
        <f>SUM(管理者用グラフシート!H99:I100)-SUM(管理者用グラフシート!B95:C96)</f>
        <v>-7</v>
      </c>
      <c r="D104" s="20" t="s">
        <v>423</v>
      </c>
      <c r="E104" s="34"/>
      <c r="G104" s="205">
        <f>SUM(管理者用グラフシート!H101:I102)-SUM(管理者用グラフシート!B97:C98)</f>
        <v>4</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v>
      </c>
      <c r="H137" s="207" t="s">
        <v>60</v>
      </c>
    </row>
    <row r="138" spans="1:8" ht="22.5" customHeight="1" x14ac:dyDescent="0.15">
      <c r="A138" s="35" t="s">
        <v>387</v>
      </c>
      <c r="C138" s="205">
        <f>SUM(管理者用グラフシート!H147:I148)-SUM(管理者用グラフシート!B95:C96)</f>
        <v>-3</v>
      </c>
      <c r="D138" s="20" t="s">
        <v>423</v>
      </c>
      <c r="E138" s="34"/>
      <c r="G138" s="205">
        <f>SUM(管理者用グラフシート!H149:I150)-SUM(管理者用グラフシート!B97:C98)</f>
        <v>-5</v>
      </c>
      <c r="H138" s="20" t="s">
        <v>60</v>
      </c>
    </row>
    <row r="139" spans="1:8" ht="22.5" customHeight="1" x14ac:dyDescent="0.15">
      <c r="A139" s="20" t="s">
        <v>389</v>
      </c>
      <c r="C139" s="205">
        <f>SUM(管理者用グラフシート!H151:I152)-SUM(管理者用グラフシート!B99:C100)</f>
        <v>-1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不土野公民館区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99</v>
      </c>
      <c r="I36" s="266"/>
    </row>
    <row r="37" spans="1:9" s="130" customFormat="1" ht="17.25" customHeight="1" x14ac:dyDescent="0.15">
      <c r="A37" s="165"/>
      <c r="B37" s="225" t="s">
        <v>5</v>
      </c>
      <c r="C37" s="226">
        <f>管理者用人口入力シート!DX1</f>
        <v>1</v>
      </c>
      <c r="D37" s="227">
        <f>C37</f>
        <v>1</v>
      </c>
      <c r="F37" s="162"/>
      <c r="G37" s="237">
        <f>管理者入力シート!B9</f>
        <v>2030</v>
      </c>
      <c r="H37" s="265">
        <f>管理者用人口入力シート!EU25</f>
        <v>101</v>
      </c>
      <c r="I37" s="266"/>
    </row>
    <row r="38" spans="1:9" s="132" customFormat="1" ht="17.25" customHeight="1" x14ac:dyDescent="0.15">
      <c r="A38" s="160"/>
      <c r="B38" s="225" t="s">
        <v>6</v>
      </c>
      <c r="C38" s="226">
        <f>C37</f>
        <v>1</v>
      </c>
      <c r="D38" s="227">
        <f>C37</f>
        <v>1</v>
      </c>
      <c r="F38" s="162"/>
      <c r="G38" s="237">
        <f>管理者入力シート!B10</f>
        <v>2035</v>
      </c>
      <c r="H38" s="265">
        <f>管理者用人口入力シート!EU28</f>
        <v>109</v>
      </c>
      <c r="I38" s="266"/>
    </row>
    <row r="39" spans="1:9" ht="17.25" customHeight="1" thickBot="1" x14ac:dyDescent="0.2">
      <c r="A39" s="166"/>
      <c r="B39" s="228" t="s">
        <v>7</v>
      </c>
      <c r="C39" s="229">
        <f>C37</f>
        <v>1</v>
      </c>
      <c r="D39" s="230">
        <f>C37</f>
        <v>1</v>
      </c>
      <c r="F39" s="162"/>
      <c r="G39" s="238">
        <f>管理者入力シート!B11</f>
        <v>2040</v>
      </c>
      <c r="H39" s="267">
        <f>管理者用人口入力シート!EU31</f>
        <v>117</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107</v>
      </c>
      <c r="E43" s="249"/>
      <c r="F43" s="20" t="s">
        <v>231</v>
      </c>
      <c r="H43" s="34"/>
      <c r="I43" s="34"/>
    </row>
    <row r="44" spans="1:9" ht="22.5" customHeight="1" x14ac:dyDescent="0.15">
      <c r="A44" s="248">
        <f>管理者入力シート!B11</f>
        <v>2040</v>
      </c>
      <c r="B44" s="248"/>
      <c r="C44" s="20" t="s">
        <v>417</v>
      </c>
      <c r="D44" s="249">
        <f>管理者用グラフシート!U10</f>
        <v>134</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21</v>
      </c>
      <c r="E46" s="256"/>
      <c r="F46" s="20" t="s">
        <v>122</v>
      </c>
    </row>
    <row r="47" spans="1:9" ht="22.5" customHeight="1" x14ac:dyDescent="0.15">
      <c r="A47" s="248">
        <f>管理者入力シート!B11</f>
        <v>2040</v>
      </c>
      <c r="B47" s="248"/>
      <c r="C47" s="20" t="s">
        <v>418</v>
      </c>
      <c r="D47" s="256">
        <f>D44-将来予測シート①!D10</f>
        <v>52</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12</v>
      </c>
      <c r="G78" s="249"/>
      <c r="H78" s="82" t="s">
        <v>264</v>
      </c>
      <c r="I78" s="34"/>
    </row>
    <row r="79" spans="1:9" ht="22.5" customHeight="1" x14ac:dyDescent="0.15">
      <c r="A79" s="20" t="s">
        <v>234</v>
      </c>
      <c r="F79" s="249">
        <f>管理者用グラフシート!Q28</f>
        <v>4</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8</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29</v>
      </c>
      <c r="D112" s="249"/>
      <c r="E112" s="20" t="s">
        <v>270</v>
      </c>
      <c r="F112" s="36"/>
      <c r="G112" s="111">
        <f>管理者用グラフシート!Q56</f>
        <v>0.22</v>
      </c>
      <c r="H112" s="82" t="s">
        <v>271</v>
      </c>
      <c r="I112" s="34"/>
    </row>
    <row r="113" spans="1:9" ht="22.5" customHeight="1" x14ac:dyDescent="0.15">
      <c r="A113" s="20" t="s">
        <v>268</v>
      </c>
      <c r="C113" s="249">
        <f>管理者用グラフシート!Q46</f>
        <v>22</v>
      </c>
      <c r="D113" s="249"/>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11ポイント低下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不土野公民館区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0.62222222222222223</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不土野公民館区</v>
      </c>
      <c r="B11" s="251"/>
      <c r="C11" s="256">
        <f>管理者用地域特徴シート!D5</f>
        <v>45</v>
      </c>
      <c r="D11" s="251"/>
      <c r="E11" s="20" t="s">
        <v>413</v>
      </c>
    </row>
    <row r="12" spans="1:8" ht="22.5" customHeight="1" x14ac:dyDescent="0.15">
      <c r="A12" s="251" t="str">
        <f>A8</f>
        <v>椎葉村</v>
      </c>
      <c r="B12" s="251"/>
      <c r="C12" s="256">
        <f>管理者用地域特徴シート!D4</f>
        <v>1054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0.18095238095238095</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13</v>
      </c>
      <c r="F70" s="281"/>
      <c r="G70" s="20" t="s">
        <v>290</v>
      </c>
    </row>
    <row r="71" spans="1:8" ht="22.5" customHeight="1" x14ac:dyDescent="0.15">
      <c r="A71" s="20" t="s">
        <v>295</v>
      </c>
      <c r="F71" s="279">
        <f>管理者用地域特徴シート!AK5</f>
        <v>0.53846153846153844</v>
      </c>
      <c r="G71" s="279"/>
      <c r="H71" s="20" t="s">
        <v>271</v>
      </c>
    </row>
    <row r="72" spans="1:8" ht="22.5" customHeight="1" x14ac:dyDescent="0.15">
      <c r="A72" s="20" t="s">
        <v>296</v>
      </c>
      <c r="F72" s="279">
        <f>管理者用地域特徴シート!AL5</f>
        <v>0</v>
      </c>
      <c r="G72" s="279"/>
      <c r="H72" s="20" t="s">
        <v>297</v>
      </c>
    </row>
    <row r="73" spans="1:8" ht="22.5" customHeight="1" x14ac:dyDescent="0.15">
      <c r="A73" s="20" t="s">
        <v>298</v>
      </c>
      <c r="E73" s="279"/>
      <c r="F73" s="279"/>
    </row>
    <row r="74" spans="1:8" ht="22.5" customHeight="1" x14ac:dyDescent="0.15">
      <c r="A74" s="20" t="s">
        <v>339</v>
      </c>
      <c r="C74" s="177">
        <f>管理者用地域特徴シート!AN5</f>
        <v>0.61538461538461542</v>
      </c>
      <c r="D74" s="156" t="s">
        <v>299</v>
      </c>
      <c r="E74" s="177">
        <f>管理者用地域特徴シート!AO5</f>
        <v>0.38461538461538464</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0.96825396825396826</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0</v>
      </c>
      <c r="D141" s="279"/>
      <c r="E141" s="20" t="s">
        <v>316</v>
      </c>
      <c r="F141" s="157" t="str">
        <f>管理者入力シート!B3</f>
        <v>椎葉村</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不土野公民館区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45430_6</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451</v>
      </c>
      <c r="DW1" s="288"/>
      <c r="DX1" s="283">
        <f>DW17</f>
        <v>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v>
      </c>
      <c r="E3" s="9">
        <v>1.75</v>
      </c>
      <c r="F3" s="9">
        <v>4.5</v>
      </c>
      <c r="G3" s="9">
        <v>0.2</v>
      </c>
      <c r="H3" s="9">
        <v>4.7058823529411766</v>
      </c>
      <c r="I3" s="9">
        <v>4.0476190476190474</v>
      </c>
      <c r="J3" s="9">
        <v>0</v>
      </c>
      <c r="K3" s="9">
        <v>1</v>
      </c>
      <c r="L3" s="9">
        <v>7.125</v>
      </c>
      <c r="M3" s="9">
        <v>7.6923076923076925</v>
      </c>
      <c r="N3" s="9">
        <v>6.2000000000000011</v>
      </c>
      <c r="O3" s="9">
        <v>3.1500000000000004</v>
      </c>
      <c r="P3" s="9">
        <v>2.2000000000000002</v>
      </c>
      <c r="Q3" s="9">
        <v>5</v>
      </c>
      <c r="R3" s="9">
        <v>6.6206896551724137</v>
      </c>
      <c r="S3" s="9">
        <v>11.368421052631579</v>
      </c>
      <c r="T3" s="9">
        <v>2.1666666666666665</v>
      </c>
      <c r="U3" s="9">
        <v>2.5</v>
      </c>
      <c r="V3" s="9">
        <v>0.5</v>
      </c>
      <c r="W3" s="9">
        <v>1</v>
      </c>
      <c r="X3" s="9">
        <v>0</v>
      </c>
      <c r="Y3" s="9">
        <f>SUM(D3:X3)</f>
        <v>72.726586467338578</v>
      </c>
      <c r="Z3" s="9">
        <f>E3*3/5+F3*3/5</f>
        <v>3.75</v>
      </c>
      <c r="AA3" s="9">
        <f>F3*2/5+G3*1/5</f>
        <v>1.84</v>
      </c>
      <c r="AB3" s="9">
        <f t="shared" ref="AB3:AB20" si="0">SUM(Q3:X3)</f>
        <v>29.155777374470659</v>
      </c>
      <c r="AC3" s="9">
        <f>SUM(S3:X3)</f>
        <v>17.535087719298247</v>
      </c>
      <c r="AD3" s="13">
        <f>AB3/Y3</f>
        <v>0.40089572178070648</v>
      </c>
      <c r="AE3" s="13">
        <f>AC3/Y3</f>
        <v>0.24110973126964008</v>
      </c>
      <c r="AF3" s="9">
        <f>SUM(H3:K3)</f>
        <v>9.753501400560225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0.7142857142857143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0.4</v>
      </c>
      <c r="AO3" s="6">
        <f t="shared" si="1"/>
        <v>1</v>
      </c>
      <c r="AP3" s="6">
        <f t="shared" si="1"/>
        <v>1</v>
      </c>
      <c r="AQ3" s="6">
        <f t="shared" si="1"/>
        <v>1</v>
      </c>
      <c r="AR3" s="6">
        <f t="shared" si="1"/>
        <v>1.5</v>
      </c>
      <c r="AS3" s="6">
        <f t="shared" si="1"/>
        <v>1.5</v>
      </c>
      <c r="AT3" s="6">
        <f t="shared" si="1"/>
        <v>0.83333333333333337</v>
      </c>
      <c r="AU3" s="6">
        <f t="shared" si="1"/>
        <v>1</v>
      </c>
      <c r="AV3" s="6">
        <f t="shared" si="1"/>
        <v>1</v>
      </c>
      <c r="AW3" s="6">
        <f t="shared" si="1"/>
        <v>1</v>
      </c>
      <c r="AX3" s="6">
        <f t="shared" si="1"/>
        <v>0.875</v>
      </c>
      <c r="AY3" s="6">
        <f t="shared" si="1"/>
        <v>0.83333333333333337</v>
      </c>
      <c r="AZ3" s="6">
        <f t="shared" si="1"/>
        <v>1</v>
      </c>
      <c r="BA3" s="6">
        <f t="shared" si="1"/>
        <v>1</v>
      </c>
      <c r="BB3" s="6">
        <f t="shared" si="1"/>
        <v>0.66666666666666663</v>
      </c>
      <c r="BC3" s="6">
        <f t="shared" si="1"/>
        <v>1</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1.0910894511799618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3.1622776601683795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0.7745966692414834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4.0249223594996213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2.7386127875258306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7.0710678118654755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5.6124860801609122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6.3900965042269382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2.3237900077244502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1.4907119849998598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1.7320508075688772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2.8867513459481287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49.800453470109922</v>
      </c>
      <c r="CG3" s="9">
        <f>BL3*3/5+BM3*3/5</f>
        <v>2.5520202668090048</v>
      </c>
      <c r="CH3" s="9">
        <f>BM3*2/5+BN3*1/5</f>
        <v>1.6649110640673519</v>
      </c>
      <c r="CI3" s="9">
        <f t="shared" ref="CI3:CI14" si="3">SUM(BX3:CE3)</f>
        <v>19.825400650468254</v>
      </c>
      <c r="CJ3" s="9">
        <f>SUM(BZ3:CE3)</f>
        <v>8.4353041462413163</v>
      </c>
      <c r="CK3" s="13">
        <f>CI3/CF3</f>
        <v>0.39809678966813822</v>
      </c>
      <c r="CL3" s="13">
        <f>CJ3/CF3</f>
        <v>0.16938207503078581</v>
      </c>
      <c r="CM3" s="9">
        <f>SUM(BO3:BR3)</f>
        <v>5.7995190287411047</v>
      </c>
      <c r="CO3" s="7" t="str">
        <f>CP3&amp;"_"&amp;IF(CQ3="男性",1,IF(CQ3="女性",2,IF(CQ3="合計",3)))</f>
        <v>2025_1</v>
      </c>
      <c r="CP3" s="28">
        <f>管理者入力シート!B8</f>
        <v>2025</v>
      </c>
      <c r="CQ3" s="3" t="s">
        <v>21</v>
      </c>
      <c r="CR3" s="9">
        <f>BK3+将来予測シート②!$G17</f>
        <v>1.5</v>
      </c>
      <c r="CS3" s="9">
        <f>BL3+将来予測シート②!$G18</f>
        <v>1.0910894511799618</v>
      </c>
      <c r="CT3" s="9">
        <f>BM3+将来予測シート②!$G19</f>
        <v>4.16227766016838</v>
      </c>
      <c r="CU3" s="9">
        <f>BN3+将来予測シート②!$G20</f>
        <v>2</v>
      </c>
      <c r="CV3" s="9">
        <f>BO3+将来予測シート②!$G21</f>
        <v>1</v>
      </c>
      <c r="CW3" s="9">
        <f>BP3+将来予測シート②!$G22</f>
        <v>2</v>
      </c>
      <c r="CX3" s="9">
        <f>BQ3+将来予測シート②!$G23</f>
        <v>0.7745966692414834</v>
      </c>
      <c r="CY3" s="9">
        <f>BR3+将来予測シート②!$G24</f>
        <v>4.0249223594996213</v>
      </c>
      <c r="CZ3" s="9">
        <f>BS3+将来予測シート②!$G25</f>
        <v>2.7386127875258306</v>
      </c>
      <c r="DA3" s="9">
        <f>BT3+将来予測シート②!$G26</f>
        <v>7.0710678118654755</v>
      </c>
      <c r="DB3" s="9">
        <f>BU3+将来予測シート②!$G27</f>
        <v>0</v>
      </c>
      <c r="DC3" s="9">
        <f>BV3+将来予測シート②!$G28</f>
        <v>2</v>
      </c>
      <c r="DD3" s="9">
        <f>BW3+将来予測シート②!$G29</f>
        <v>5.6124860801609122</v>
      </c>
      <c r="DE3" s="9">
        <f>BX3</f>
        <v>6.3900965042269382</v>
      </c>
      <c r="DF3" s="9">
        <f t="shared" ref="DF3:DL3" si="4">BY3</f>
        <v>5</v>
      </c>
      <c r="DG3" s="9">
        <f t="shared" si="4"/>
        <v>2.3237900077244502</v>
      </c>
      <c r="DH3" s="9">
        <f t="shared" si="4"/>
        <v>1.4907119849998598</v>
      </c>
      <c r="DI3" s="9">
        <f t="shared" si="4"/>
        <v>1.7320508075688772</v>
      </c>
      <c r="DJ3" s="9">
        <f t="shared" si="4"/>
        <v>2.8867513459481287</v>
      </c>
      <c r="DK3" s="9">
        <f t="shared" si="4"/>
        <v>2E-3</v>
      </c>
      <c r="DL3" s="9">
        <f t="shared" si="4"/>
        <v>0</v>
      </c>
      <c r="DM3" s="9">
        <f>SUM(CR3:DL3)</f>
        <v>53.800453470109922</v>
      </c>
      <c r="DN3" s="9">
        <f>CS3*3/5+CT3*3/5</f>
        <v>3.1520202668090054</v>
      </c>
      <c r="DO3" s="9">
        <f>CT3*2/5+CU3*1/5</f>
        <v>2.0649110640673518</v>
      </c>
      <c r="DP3" s="9">
        <f t="shared" ref="DP3:DP14" si="5">SUM(DE3:DL3)</f>
        <v>19.825400650468254</v>
      </c>
      <c r="DQ3" s="9">
        <f>SUM(DG3:DL3)</f>
        <v>8.4353041462413163</v>
      </c>
      <c r="DR3" s="13">
        <f>DP3/DM3</f>
        <v>0.36849876481957</v>
      </c>
      <c r="DS3" s="13">
        <f>DQ3/DM3</f>
        <v>0.1567887183502597</v>
      </c>
      <c r="DT3" s="9">
        <f>SUM(CV3:CY3)</f>
        <v>7.7995190287411047</v>
      </c>
      <c r="DV3" s="287"/>
      <c r="DW3" s="288"/>
      <c r="DX3" s="28">
        <f>管理者入力シート!B8</f>
        <v>2025</v>
      </c>
      <c r="DY3" s="3" t="s">
        <v>21</v>
      </c>
      <c r="DZ3" s="9">
        <f>BK$3</f>
        <v>0.5</v>
      </c>
      <c r="EA3" s="9">
        <f>BL$3</f>
        <v>1.0910894511799618</v>
      </c>
      <c r="EB3" s="9">
        <f>BM$3</f>
        <v>3.1622776601683795</v>
      </c>
      <c r="EC3" s="9">
        <f>BN$3</f>
        <v>2</v>
      </c>
      <c r="ED3" s="9">
        <f>BO$3</f>
        <v>1</v>
      </c>
      <c r="EE3" s="9">
        <f>BP$3+DX1</f>
        <v>1</v>
      </c>
      <c r="EF3" s="9">
        <f>BQ$3+DX1</f>
        <v>1.7745966692414834</v>
      </c>
      <c r="EG3" s="9">
        <f>BR$3+DX1</f>
        <v>5.0249223594996213</v>
      </c>
      <c r="EH3" s="9">
        <f t="shared" ref="EH3:ET3" si="6">BS$3</f>
        <v>2.7386127875258306</v>
      </c>
      <c r="EI3" s="9">
        <f t="shared" si="6"/>
        <v>7.0710678118654755</v>
      </c>
      <c r="EJ3" s="9">
        <f t="shared" si="6"/>
        <v>0</v>
      </c>
      <c r="EK3" s="9">
        <f t="shared" si="6"/>
        <v>2</v>
      </c>
      <c r="EL3" s="9">
        <f t="shared" si="6"/>
        <v>5.6124860801609122</v>
      </c>
      <c r="EM3" s="9">
        <f t="shared" si="6"/>
        <v>6.3900965042269382</v>
      </c>
      <c r="EN3" s="9">
        <f t="shared" si="6"/>
        <v>5</v>
      </c>
      <c r="EO3" s="9">
        <f t="shared" si="6"/>
        <v>2.3237900077244502</v>
      </c>
      <c r="EP3" s="9">
        <f t="shared" si="6"/>
        <v>1.4907119849998598</v>
      </c>
      <c r="EQ3" s="9">
        <f t="shared" si="6"/>
        <v>1.7320508075688772</v>
      </c>
      <c r="ER3" s="9">
        <f t="shared" si="6"/>
        <v>2.8867513459481287</v>
      </c>
      <c r="ES3" s="9">
        <f t="shared" si="6"/>
        <v>2E-3</v>
      </c>
      <c r="ET3" s="9">
        <f t="shared" si="6"/>
        <v>0</v>
      </c>
      <c r="EU3" s="9">
        <f>SUM(DZ3:ET3)</f>
        <v>52.800453470109915</v>
      </c>
      <c r="EV3" s="9">
        <f>EA3*3/5+EB3*3/5</f>
        <v>2.5520202668090048</v>
      </c>
      <c r="EW3" s="9">
        <f>EB3*2/5+EC3*1/5</f>
        <v>1.6649110640673519</v>
      </c>
      <c r="EX3" s="9">
        <f t="shared" ref="EX3:EX14" si="7">SUM(EM3:ET3)</f>
        <v>19.825400650468254</v>
      </c>
      <c r="EY3" s="9">
        <f>SUM(EO3:ET3)</f>
        <v>8.4353041462413163</v>
      </c>
      <c r="EZ3" s="13">
        <f>EX3/EU3</f>
        <v>0.37547784815316632</v>
      </c>
      <c r="FA3" s="13">
        <f>EY3/EU3</f>
        <v>0.15975817614931095</v>
      </c>
      <c r="FB3" s="9">
        <f>SUM(ED3:EG3)</f>
        <v>8.7995190287411056</v>
      </c>
    </row>
    <row r="4" spans="1:158" x14ac:dyDescent="0.15">
      <c r="A4" s="7" t="str">
        <f t="shared" ref="A4:A14" si="8">B4&amp;"_"&amp;IF(C4="男性",1,IF(C4="女性",2,IF(C4="合計",3)))</f>
        <v>2005_2</v>
      </c>
      <c r="B4" s="29">
        <v>2005</v>
      </c>
      <c r="C4" s="4" t="s">
        <v>22</v>
      </c>
      <c r="D4" s="10">
        <v>1.5</v>
      </c>
      <c r="E4" s="10">
        <v>0</v>
      </c>
      <c r="F4" s="10">
        <v>15</v>
      </c>
      <c r="G4" s="10">
        <v>0.33333333333333331</v>
      </c>
      <c r="H4" s="10">
        <v>2.5714285714285716</v>
      </c>
      <c r="I4" s="10">
        <v>1</v>
      </c>
      <c r="J4" s="10">
        <v>0.66666666666666663</v>
      </c>
      <c r="K4" s="10">
        <v>3.2307692307692308</v>
      </c>
      <c r="L4" s="10">
        <v>3.2</v>
      </c>
      <c r="M4" s="10">
        <v>6.6666666666666661</v>
      </c>
      <c r="N4" s="10">
        <v>0.91304347826086951</v>
      </c>
      <c r="O4" s="10">
        <v>4.4210526315789478</v>
      </c>
      <c r="P4" s="10">
        <v>1.05</v>
      </c>
      <c r="Q4" s="10">
        <v>10.4</v>
      </c>
      <c r="R4" s="10">
        <v>10.676470588235293</v>
      </c>
      <c r="S4" s="10">
        <v>7.6363636363636358</v>
      </c>
      <c r="T4" s="10">
        <v>4.666666666666667</v>
      </c>
      <c r="U4" s="10">
        <v>1.375</v>
      </c>
      <c r="V4" s="10">
        <v>0</v>
      </c>
      <c r="W4" s="10">
        <v>0</v>
      </c>
      <c r="X4" s="10">
        <v>0</v>
      </c>
      <c r="Y4" s="10">
        <f>SUM(D4:X4)</f>
        <v>75.30746146996988</v>
      </c>
      <c r="Z4" s="10">
        <f t="shared" ref="Z4:Z11" si="9">E4*3/5+F4*3/5</f>
        <v>9</v>
      </c>
      <c r="AA4" s="10">
        <f t="shared" ref="AA4:AA11" si="10">F4*2/5+G4*1/5</f>
        <v>6.0666666666666664</v>
      </c>
      <c r="AB4" s="10">
        <f t="shared" si="0"/>
        <v>34.7545008912656</v>
      </c>
      <c r="AC4" s="10">
        <f t="shared" ref="AC4:AC11" si="11">SUM(S4:X4)</f>
        <v>13.678030303030303</v>
      </c>
      <c r="AD4" s="14">
        <f t="shared" ref="AD4:AD11" si="12">AB4/Y4</f>
        <v>0.46150142645725145</v>
      </c>
      <c r="AE4" s="14">
        <f t="shared" ref="AE4:AE11" si="13">AC4/Y4</f>
        <v>0.1816291511629913</v>
      </c>
      <c r="AF4" s="10">
        <f t="shared" ref="AF4:AF20" si="14">SUM(H4:K4)</f>
        <v>7.468864468864469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2</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v>
      </c>
      <c r="AO4" s="193">
        <f t="shared" si="15"/>
        <v>1</v>
      </c>
      <c r="AP4" s="193">
        <f t="shared" si="15"/>
        <v>1</v>
      </c>
      <c r="AQ4" s="193">
        <f t="shared" si="15"/>
        <v>1</v>
      </c>
      <c r="AR4" s="193">
        <f t="shared" si="15"/>
        <v>1</v>
      </c>
      <c r="AS4" s="193">
        <f t="shared" si="15"/>
        <v>1</v>
      </c>
      <c r="AT4" s="193">
        <f t="shared" si="15"/>
        <v>1</v>
      </c>
      <c r="AU4" s="193">
        <f t="shared" si="15"/>
        <v>1</v>
      </c>
      <c r="AV4" s="193">
        <f t="shared" si="15"/>
        <v>1</v>
      </c>
      <c r="AW4" s="193">
        <f t="shared" si="15"/>
        <v>1</v>
      </c>
      <c r="AX4" s="193">
        <f t="shared" si="15"/>
        <v>1</v>
      </c>
      <c r="AY4" s="193">
        <f t="shared" si="15"/>
        <v>1</v>
      </c>
      <c r="AZ4" s="193">
        <f t="shared" si="15"/>
        <v>1</v>
      </c>
      <c r="BA4" s="193">
        <f t="shared" si="15"/>
        <v>1</v>
      </c>
      <c r="BB4" s="193">
        <f t="shared" si="15"/>
        <v>0.88888888888888884</v>
      </c>
      <c r="BC4" s="193">
        <f t="shared" si="15"/>
        <v>0.5</v>
      </c>
      <c r="BD4" s="193">
        <f t="shared" si="15"/>
        <v>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3.1622776601683795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1.0954451150103321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2.3094010767585029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3.7947331922020551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0.89893314995098939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4.7809144373375743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1.5811388300841898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42.624843461512029</v>
      </c>
      <c r="CG4" s="10">
        <f t="shared" ref="CG4:CG14" si="17">BL4*3/5+BM4*3/5</f>
        <v>2.554633665107227</v>
      </c>
      <c r="CH4" s="10">
        <f t="shared" ref="CH4:CH14" si="18">BM4*2/5+BN4*1/5</f>
        <v>1.0381780460041328</v>
      </c>
      <c r="CI4" s="10">
        <f t="shared" si="3"/>
        <v>19.057719609574807</v>
      </c>
      <c r="CJ4" s="10">
        <f t="shared" ref="CJ4:CJ14" si="19">SUM(BZ4:CE4)</f>
        <v>11.057719609574809</v>
      </c>
      <c r="CK4" s="14">
        <f t="shared" ref="CK4:CK14" si="20">CI4/CF4</f>
        <v>0.44710356829305231</v>
      </c>
      <c r="CL4" s="14">
        <f t="shared" ref="CL4:CL14" si="21">CJ4/CF4</f>
        <v>0.25941959457421454</v>
      </c>
      <c r="CM4" s="10">
        <f t="shared" ref="CM4:CM14" si="22">SUM(BO4:BR4)</f>
        <v>3</v>
      </c>
      <c r="CO4" s="7" t="str">
        <f t="shared" ref="CO4:CO20" si="23">CP4&amp;"_"&amp;IF(CQ4="男性",1,IF(CQ4="女性",2,IF(CQ4="合計",3)))</f>
        <v>2025_2</v>
      </c>
      <c r="CP4" s="29">
        <f>CP3</f>
        <v>2025</v>
      </c>
      <c r="CQ4" s="4" t="s">
        <v>22</v>
      </c>
      <c r="CR4" s="10">
        <f>BK4+将来予測シート②!$H17</f>
        <v>2</v>
      </c>
      <c r="CS4" s="10">
        <f>BL4+将来予測シート②!$H18</f>
        <v>3.1622776601683795</v>
      </c>
      <c r="CT4" s="10">
        <f>BM4+将来予測シート②!$H19</f>
        <v>2.0954451150103321</v>
      </c>
      <c r="CU4" s="10">
        <f>BN4+将来予測シート②!$H20</f>
        <v>3</v>
      </c>
      <c r="CV4" s="10">
        <f>BO4+将来予測シート②!$H21</f>
        <v>0</v>
      </c>
      <c r="CW4" s="10">
        <f>BP4+将来予測シート②!$H22</f>
        <v>2</v>
      </c>
      <c r="CX4" s="10">
        <f>BQ4+将来予測シート②!$H23</f>
        <v>2</v>
      </c>
      <c r="CY4" s="10">
        <f>BR4+将来予測シート②!$H24</f>
        <v>1</v>
      </c>
      <c r="CZ4" s="10">
        <f>BS4+将来予測シート②!$H25</f>
        <v>4</v>
      </c>
      <c r="DA4" s="10">
        <f>BT4+将来予測シート②!$H26</f>
        <v>2.3094010767585029</v>
      </c>
      <c r="DB4" s="10">
        <f>BU4+将来予測シート②!$H27</f>
        <v>1</v>
      </c>
      <c r="DC4" s="10">
        <f>BV4+将来予測シート②!$H28</f>
        <v>4</v>
      </c>
      <c r="DD4" s="10">
        <f>BW4+将来予測シート②!$H29</f>
        <v>2</v>
      </c>
      <c r="DE4" s="10">
        <f>BX4</f>
        <v>7</v>
      </c>
      <c r="DF4" s="10">
        <f t="shared" ref="DF4:DL4" si="24">BY4</f>
        <v>1</v>
      </c>
      <c r="DG4" s="10">
        <f t="shared" si="24"/>
        <v>3.7947331922020551</v>
      </c>
      <c r="DH4" s="10">
        <f t="shared" si="24"/>
        <v>0.89893314995098939</v>
      </c>
      <c r="DI4" s="10">
        <f t="shared" si="24"/>
        <v>4.7809144373375743</v>
      </c>
      <c r="DJ4" s="10">
        <f t="shared" si="24"/>
        <v>1.5811388300841898</v>
      </c>
      <c r="DK4" s="10">
        <f t="shared" si="24"/>
        <v>2E-3</v>
      </c>
      <c r="DL4" s="10">
        <f t="shared" si="24"/>
        <v>0</v>
      </c>
      <c r="DM4" s="10">
        <f>SUM(CR4:DL4)</f>
        <v>47.624843461512029</v>
      </c>
      <c r="DN4" s="10">
        <f t="shared" ref="DN4:DN14" si="25">CS4*3/5+CT4*3/5</f>
        <v>3.1546336651072266</v>
      </c>
      <c r="DO4" s="10">
        <f t="shared" ref="DO4:DO14" si="26">CT4*2/5+CU4*1/5</f>
        <v>1.4381780460041327</v>
      </c>
      <c r="DP4" s="10">
        <f t="shared" si="5"/>
        <v>19.057719609574807</v>
      </c>
      <c r="DQ4" s="10">
        <f t="shared" ref="DQ4:DQ14" si="27">SUM(DG4:DL4)</f>
        <v>11.057719609574809</v>
      </c>
      <c r="DR4" s="14">
        <f t="shared" ref="DR4:DR14" si="28">DP4/DM4</f>
        <v>0.40016340683568408</v>
      </c>
      <c r="DS4" s="14">
        <f t="shared" ref="DS4:DS14" si="29">DQ4/DM4</f>
        <v>0.23218385207945291</v>
      </c>
      <c r="DT4" s="10">
        <f>SUM(CV4:CY4)</f>
        <v>5</v>
      </c>
      <c r="DV4" s="287"/>
      <c r="DW4" s="288"/>
      <c r="DX4" s="29">
        <f>DX3</f>
        <v>2025</v>
      </c>
      <c r="DY4" s="4" t="s">
        <v>22</v>
      </c>
      <c r="DZ4" s="10">
        <f>BK$4</f>
        <v>1</v>
      </c>
      <c r="EA4" s="10">
        <f>BL$4</f>
        <v>3.1622776601683795</v>
      </c>
      <c r="EB4" s="10">
        <f>BM$4</f>
        <v>1.0954451150103321</v>
      </c>
      <c r="EC4" s="10">
        <f>BN$4</f>
        <v>3</v>
      </c>
      <c r="ED4" s="10">
        <f>BO$4</f>
        <v>0</v>
      </c>
      <c r="EE4" s="10">
        <f>BP$4+DX1</f>
        <v>1</v>
      </c>
      <c r="EF4" s="10">
        <f>BQ$4+DX1</f>
        <v>3</v>
      </c>
      <c r="EG4" s="10">
        <f>BR$4+DX1</f>
        <v>2</v>
      </c>
      <c r="EH4" s="10">
        <f t="shared" ref="EH4:ET4" si="30">BS$4</f>
        <v>3</v>
      </c>
      <c r="EI4" s="10">
        <f t="shared" si="30"/>
        <v>2.3094010767585029</v>
      </c>
      <c r="EJ4" s="10">
        <f t="shared" si="30"/>
        <v>1</v>
      </c>
      <c r="EK4" s="10">
        <f t="shared" si="30"/>
        <v>4</v>
      </c>
      <c r="EL4" s="10">
        <f t="shared" si="30"/>
        <v>2</v>
      </c>
      <c r="EM4" s="10">
        <f t="shared" si="30"/>
        <v>7</v>
      </c>
      <c r="EN4" s="10">
        <f t="shared" si="30"/>
        <v>1</v>
      </c>
      <c r="EO4" s="10">
        <f t="shared" si="30"/>
        <v>3.7947331922020551</v>
      </c>
      <c r="EP4" s="10">
        <f t="shared" si="30"/>
        <v>0.89893314995098939</v>
      </c>
      <c r="EQ4" s="10">
        <f t="shared" si="30"/>
        <v>4.7809144373375743</v>
      </c>
      <c r="ER4" s="10">
        <f t="shared" si="30"/>
        <v>1.5811388300841898</v>
      </c>
      <c r="ES4" s="10">
        <f t="shared" si="30"/>
        <v>2E-3</v>
      </c>
      <c r="ET4" s="10">
        <f t="shared" si="30"/>
        <v>0</v>
      </c>
      <c r="EU4" s="10">
        <f>SUM(DZ4:ET4)</f>
        <v>45.624843461512029</v>
      </c>
      <c r="EV4" s="10">
        <f t="shared" ref="EV4:EV14" si="31">EA4*3/5+EB4*3/5</f>
        <v>2.554633665107227</v>
      </c>
      <c r="EW4" s="10">
        <f t="shared" ref="EW4:EW14" si="32">EB4*2/5+EC4*1/5</f>
        <v>1.0381780460041328</v>
      </c>
      <c r="EX4" s="10">
        <f t="shared" si="7"/>
        <v>19.057719609574807</v>
      </c>
      <c r="EY4" s="10">
        <f t="shared" ref="EY4:EY14" si="33">SUM(EO4:ET4)</f>
        <v>11.057719609574809</v>
      </c>
      <c r="EZ4" s="14">
        <f t="shared" ref="EZ4:EZ14" si="34">EX4/EU4</f>
        <v>0.41770487663484085</v>
      </c>
      <c r="FA4" s="14">
        <f t="shared" ref="FA4:FA14" si="35">EY4/EU4</f>
        <v>0.24236180928276113</v>
      </c>
      <c r="FB4" s="10">
        <f>SUM(ED4:EG4)</f>
        <v>6</v>
      </c>
    </row>
    <row r="5" spans="1:158" x14ac:dyDescent="0.15">
      <c r="A5" s="7" t="str">
        <f t="shared" si="8"/>
        <v>2005_3</v>
      </c>
      <c r="B5" s="30">
        <v>2005</v>
      </c>
      <c r="C5" s="5" t="s">
        <v>23</v>
      </c>
      <c r="D5" s="11">
        <v>2.5</v>
      </c>
      <c r="E5" s="11">
        <v>1.75</v>
      </c>
      <c r="F5" s="11">
        <v>19.5</v>
      </c>
      <c r="G5" s="11">
        <v>0.53333333333333333</v>
      </c>
      <c r="H5" s="11">
        <v>7.2773109243697487</v>
      </c>
      <c r="I5" s="11">
        <v>5.0476190476190474</v>
      </c>
      <c r="J5" s="11">
        <v>0.66666666666666663</v>
      </c>
      <c r="K5" s="11">
        <v>4.2307692307692308</v>
      </c>
      <c r="L5" s="11">
        <v>10.324999999999999</v>
      </c>
      <c r="M5" s="11">
        <v>14.358974358974358</v>
      </c>
      <c r="N5" s="11">
        <v>7.1130434782608702</v>
      </c>
      <c r="O5" s="11">
        <v>7.5710526315789481</v>
      </c>
      <c r="P5" s="11">
        <v>3.25</v>
      </c>
      <c r="Q5" s="11">
        <v>15.4</v>
      </c>
      <c r="R5" s="11">
        <v>17.297160243407706</v>
      </c>
      <c r="S5" s="11">
        <v>19.004784688995215</v>
      </c>
      <c r="T5" s="11">
        <v>6.8333333333333339</v>
      </c>
      <c r="U5" s="11">
        <v>3.875</v>
      </c>
      <c r="V5" s="11">
        <v>0.5</v>
      </c>
      <c r="W5" s="11">
        <v>1</v>
      </c>
      <c r="X5" s="11">
        <v>0</v>
      </c>
      <c r="Y5" s="11">
        <f>SUM(D5:X5)</f>
        <v>148.03404793730846</v>
      </c>
      <c r="Z5" s="11">
        <f t="shared" si="9"/>
        <v>12.75</v>
      </c>
      <c r="AA5" s="11">
        <f t="shared" si="10"/>
        <v>7.9066666666666663</v>
      </c>
      <c r="AB5" s="11">
        <f t="shared" si="0"/>
        <v>63.91027826573626</v>
      </c>
      <c r="AC5" s="11">
        <f t="shared" si="11"/>
        <v>31.213118022328551</v>
      </c>
      <c r="AD5" s="15">
        <f t="shared" si="12"/>
        <v>0.43172688416114841</v>
      </c>
      <c r="AE5" s="15">
        <f t="shared" si="13"/>
        <v>0.2108509390727944</v>
      </c>
      <c r="AF5" s="11">
        <f t="shared" si="14"/>
        <v>17.222365869424692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1.6666666666666667</v>
      </c>
      <c r="AN5" s="6">
        <f t="shared" si="1"/>
        <v>1</v>
      </c>
      <c r="AO5" s="6">
        <f t="shared" si="1"/>
        <v>1</v>
      </c>
      <c r="AP5" s="6">
        <f t="shared" si="1"/>
        <v>1</v>
      </c>
      <c r="AQ5" s="6">
        <f t="shared" si="1"/>
        <v>2</v>
      </c>
      <c r="AR5" s="6">
        <f t="shared" si="1"/>
        <v>0.4</v>
      </c>
      <c r="AS5" s="6">
        <f t="shared" si="1"/>
        <v>1.2</v>
      </c>
      <c r="AT5" s="6">
        <f t="shared" si="1"/>
        <v>1</v>
      </c>
      <c r="AU5" s="6">
        <f t="shared" si="1"/>
        <v>2</v>
      </c>
      <c r="AV5" s="6">
        <f t="shared" si="1"/>
        <v>1</v>
      </c>
      <c r="AW5" s="6">
        <f t="shared" si="1"/>
        <v>1</v>
      </c>
      <c r="AX5" s="6">
        <f t="shared" si="1"/>
        <v>1</v>
      </c>
      <c r="AY5" s="6">
        <f t="shared" si="1"/>
        <v>1</v>
      </c>
      <c r="AZ5" s="6">
        <f t="shared" si="1"/>
        <v>1</v>
      </c>
      <c r="BA5" s="6">
        <f t="shared" si="1"/>
        <v>0.6</v>
      </c>
      <c r="BB5" s="6">
        <f t="shared" si="1"/>
        <v>0.83333333333333337</v>
      </c>
      <c r="BC5" s="6">
        <f t="shared" si="1"/>
        <v>0.75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1.5</v>
      </c>
      <c r="BL5" s="16">
        <f t="shared" ref="BL5:CE5" si="36">BL3+BL4</f>
        <v>4.2533671113483411</v>
      </c>
      <c r="BM5" s="16">
        <f t="shared" si="36"/>
        <v>4.2577227751787117</v>
      </c>
      <c r="BN5" s="16">
        <f t="shared" si="36"/>
        <v>5</v>
      </c>
      <c r="BO5" s="16">
        <f t="shared" si="36"/>
        <v>1</v>
      </c>
      <c r="BP5" s="16">
        <f t="shared" si="36"/>
        <v>0</v>
      </c>
      <c r="BQ5" s="16">
        <f t="shared" si="36"/>
        <v>2.7745966692414834</v>
      </c>
      <c r="BR5" s="16">
        <f t="shared" si="36"/>
        <v>5.0249223594996213</v>
      </c>
      <c r="BS5" s="16">
        <f t="shared" si="36"/>
        <v>5.738612787525831</v>
      </c>
      <c r="BT5" s="16">
        <f t="shared" si="36"/>
        <v>9.3804688886239784</v>
      </c>
      <c r="BU5" s="16">
        <f t="shared" si="36"/>
        <v>1</v>
      </c>
      <c r="BV5" s="16">
        <f t="shared" si="36"/>
        <v>6</v>
      </c>
      <c r="BW5" s="16">
        <f t="shared" si="36"/>
        <v>7.6124860801609122</v>
      </c>
      <c r="BX5" s="16">
        <f t="shared" si="36"/>
        <v>13.390096504226939</v>
      </c>
      <c r="BY5" s="16">
        <f t="shared" si="36"/>
        <v>6</v>
      </c>
      <c r="BZ5" s="16">
        <f t="shared" si="36"/>
        <v>6.1185231999265053</v>
      </c>
      <c r="CA5" s="16">
        <f t="shared" si="36"/>
        <v>2.3896451349508494</v>
      </c>
      <c r="CB5" s="16">
        <f t="shared" si="36"/>
        <v>6.5129652449064519</v>
      </c>
      <c r="CC5" s="16">
        <f t="shared" si="36"/>
        <v>4.4678901760323182</v>
      </c>
      <c r="CD5" s="16">
        <f t="shared" si="36"/>
        <v>4.0000000000000001E-3</v>
      </c>
      <c r="CE5" s="16">
        <f t="shared" si="36"/>
        <v>0</v>
      </c>
      <c r="CF5" s="11">
        <f>SUM(BK5:CE5)</f>
        <v>92.425296931621943</v>
      </c>
      <c r="CG5" s="11">
        <f t="shared" si="17"/>
        <v>5.1066539319162318</v>
      </c>
      <c r="CH5" s="11">
        <f t="shared" si="18"/>
        <v>2.7030891100714847</v>
      </c>
      <c r="CI5" s="11">
        <f t="shared" si="3"/>
        <v>38.883120260043064</v>
      </c>
      <c r="CJ5" s="11">
        <f t="shared" si="19"/>
        <v>19.493023755816125</v>
      </c>
      <c r="CK5" s="15">
        <f t="shared" si="20"/>
        <v>0.42069781272988027</v>
      </c>
      <c r="CL5" s="15">
        <f t="shared" si="21"/>
        <v>0.2109057195697997</v>
      </c>
      <c r="CM5" s="11">
        <f t="shared" si="22"/>
        <v>8.7995190287411056</v>
      </c>
      <c r="CO5" s="7" t="str">
        <f t="shared" si="23"/>
        <v>2025_3</v>
      </c>
      <c r="CP5" s="30">
        <f>CP4</f>
        <v>2025</v>
      </c>
      <c r="CQ5" s="5" t="s">
        <v>23</v>
      </c>
      <c r="CR5" s="16">
        <f t="shared" ref="CR5:DL5" si="37">CR3+CR4</f>
        <v>3.5</v>
      </c>
      <c r="CS5" s="16">
        <f t="shared" si="37"/>
        <v>4.2533671113483411</v>
      </c>
      <c r="CT5" s="16">
        <f t="shared" si="37"/>
        <v>6.2577227751787117</v>
      </c>
      <c r="CU5" s="16">
        <f t="shared" si="37"/>
        <v>5</v>
      </c>
      <c r="CV5" s="16">
        <f t="shared" si="37"/>
        <v>1</v>
      </c>
      <c r="CW5" s="16">
        <f t="shared" si="37"/>
        <v>4</v>
      </c>
      <c r="CX5" s="16">
        <f t="shared" si="37"/>
        <v>2.7745966692414834</v>
      </c>
      <c r="CY5" s="16">
        <f t="shared" si="37"/>
        <v>5.0249223594996213</v>
      </c>
      <c r="CZ5" s="16">
        <f t="shared" si="37"/>
        <v>6.738612787525831</v>
      </c>
      <c r="DA5" s="16">
        <f t="shared" si="37"/>
        <v>9.3804688886239784</v>
      </c>
      <c r="DB5" s="16">
        <f t="shared" si="37"/>
        <v>1</v>
      </c>
      <c r="DC5" s="16">
        <f t="shared" si="37"/>
        <v>6</v>
      </c>
      <c r="DD5" s="16">
        <f t="shared" si="37"/>
        <v>7.6124860801609122</v>
      </c>
      <c r="DE5" s="16">
        <f t="shared" si="37"/>
        <v>13.390096504226939</v>
      </c>
      <c r="DF5" s="16">
        <f t="shared" si="37"/>
        <v>6</v>
      </c>
      <c r="DG5" s="16">
        <f t="shared" si="37"/>
        <v>6.1185231999265053</v>
      </c>
      <c r="DH5" s="16">
        <f t="shared" si="37"/>
        <v>2.3896451349508494</v>
      </c>
      <c r="DI5" s="16">
        <f t="shared" si="37"/>
        <v>6.5129652449064519</v>
      </c>
      <c r="DJ5" s="16">
        <f t="shared" si="37"/>
        <v>4.4678901760323182</v>
      </c>
      <c r="DK5" s="16">
        <f t="shared" si="37"/>
        <v>4.0000000000000001E-3</v>
      </c>
      <c r="DL5" s="16">
        <f t="shared" si="37"/>
        <v>0</v>
      </c>
      <c r="DM5" s="11">
        <f>SUM(CR5:DL5)</f>
        <v>101.42529693162194</v>
      </c>
      <c r="DN5" s="11">
        <f t="shared" si="25"/>
        <v>6.306653931916232</v>
      </c>
      <c r="DO5" s="11">
        <f t="shared" si="26"/>
        <v>3.5030891100714845</v>
      </c>
      <c r="DP5" s="11">
        <f t="shared" si="5"/>
        <v>38.883120260043064</v>
      </c>
      <c r="DQ5" s="11">
        <f t="shared" si="27"/>
        <v>19.493023755816125</v>
      </c>
      <c r="DR5" s="15">
        <f t="shared" si="28"/>
        <v>0.38336708332495156</v>
      </c>
      <c r="DS5" s="15">
        <f t="shared" si="29"/>
        <v>0.19219094590334568</v>
      </c>
      <c r="DT5" s="11">
        <f>SUM(CV5:CY5)</f>
        <v>12.799519028741106</v>
      </c>
      <c r="DV5" s="287"/>
      <c r="DW5" s="288"/>
      <c r="DX5" s="30">
        <f>DX4</f>
        <v>2025</v>
      </c>
      <c r="DY5" s="5" t="s">
        <v>23</v>
      </c>
      <c r="DZ5" s="16">
        <f>DZ3+DZ4</f>
        <v>1.5</v>
      </c>
      <c r="EA5" s="16">
        <f t="shared" ref="EA5:ET5" si="38">EA3+EA4</f>
        <v>4.2533671113483411</v>
      </c>
      <c r="EB5" s="16">
        <f t="shared" si="38"/>
        <v>4.2577227751787117</v>
      </c>
      <c r="EC5" s="16">
        <f t="shared" si="38"/>
        <v>5</v>
      </c>
      <c r="ED5" s="16">
        <f t="shared" si="38"/>
        <v>1</v>
      </c>
      <c r="EE5" s="16">
        <f t="shared" si="38"/>
        <v>2</v>
      </c>
      <c r="EF5" s="16">
        <f t="shared" si="38"/>
        <v>4.7745966692414834</v>
      </c>
      <c r="EG5" s="16">
        <f t="shared" si="38"/>
        <v>7.0249223594996213</v>
      </c>
      <c r="EH5" s="16">
        <f t="shared" si="38"/>
        <v>5.738612787525831</v>
      </c>
      <c r="EI5" s="16">
        <f t="shared" si="38"/>
        <v>9.3804688886239784</v>
      </c>
      <c r="EJ5" s="16">
        <f t="shared" si="38"/>
        <v>1</v>
      </c>
      <c r="EK5" s="16">
        <f t="shared" si="38"/>
        <v>6</v>
      </c>
      <c r="EL5" s="16">
        <f t="shared" si="38"/>
        <v>7.6124860801609122</v>
      </c>
      <c r="EM5" s="16">
        <f t="shared" si="38"/>
        <v>13.390096504226939</v>
      </c>
      <c r="EN5" s="16">
        <f t="shared" si="38"/>
        <v>6</v>
      </c>
      <c r="EO5" s="16">
        <f t="shared" si="38"/>
        <v>6.1185231999265053</v>
      </c>
      <c r="EP5" s="16">
        <f t="shared" si="38"/>
        <v>2.3896451349508494</v>
      </c>
      <c r="EQ5" s="16">
        <f t="shared" si="38"/>
        <v>6.5129652449064519</v>
      </c>
      <c r="ER5" s="16">
        <f t="shared" si="38"/>
        <v>4.4678901760323182</v>
      </c>
      <c r="ES5" s="16">
        <f t="shared" si="38"/>
        <v>4.0000000000000001E-3</v>
      </c>
      <c r="ET5" s="16">
        <f t="shared" si="38"/>
        <v>0</v>
      </c>
      <c r="EU5" s="11">
        <f>SUM(DZ5:ET5)</f>
        <v>98.425296931621943</v>
      </c>
      <c r="EV5" s="11">
        <f t="shared" si="31"/>
        <v>5.1066539319162318</v>
      </c>
      <c r="EW5" s="11">
        <f t="shared" si="32"/>
        <v>2.7030891100714847</v>
      </c>
      <c r="EX5" s="11">
        <f t="shared" si="7"/>
        <v>38.883120260043064</v>
      </c>
      <c r="EY5" s="11">
        <f t="shared" si="33"/>
        <v>19.493023755816125</v>
      </c>
      <c r="EZ5" s="15">
        <f t="shared" si="34"/>
        <v>0.39505210014307562</v>
      </c>
      <c r="FA5" s="15">
        <f t="shared" si="35"/>
        <v>0.19804891997794352</v>
      </c>
      <c r="FB5" s="11">
        <f>SUM(ED5:EG5)</f>
        <v>14.799519028741106</v>
      </c>
    </row>
    <row r="6" spans="1:158" x14ac:dyDescent="0.15">
      <c r="A6" s="7" t="str">
        <f t="shared" si="8"/>
        <v>2010_1</v>
      </c>
      <c r="B6" s="28">
        <v>2010</v>
      </c>
      <c r="C6" s="3" t="s">
        <v>21</v>
      </c>
      <c r="D6" s="9">
        <v>3</v>
      </c>
      <c r="E6" s="9">
        <v>1</v>
      </c>
      <c r="F6" s="9">
        <v>1</v>
      </c>
      <c r="G6" s="9">
        <v>1</v>
      </c>
      <c r="H6" s="9">
        <v>1</v>
      </c>
      <c r="I6" s="9">
        <v>5</v>
      </c>
      <c r="J6" s="9">
        <v>5</v>
      </c>
      <c r="K6" s="9">
        <v>0</v>
      </c>
      <c r="L6" s="9">
        <v>1</v>
      </c>
      <c r="M6" s="9">
        <v>6</v>
      </c>
      <c r="N6" s="9">
        <v>8</v>
      </c>
      <c r="O6" s="9">
        <v>6</v>
      </c>
      <c r="P6" s="9">
        <v>3</v>
      </c>
      <c r="Q6" s="9">
        <v>2</v>
      </c>
      <c r="R6" s="9">
        <v>5</v>
      </c>
      <c r="S6" s="9">
        <v>6</v>
      </c>
      <c r="T6" s="9">
        <v>8</v>
      </c>
      <c r="U6" s="9">
        <v>1</v>
      </c>
      <c r="V6" s="9">
        <v>2</v>
      </c>
      <c r="W6" s="9">
        <v>0</v>
      </c>
      <c r="X6" s="9">
        <v>0</v>
      </c>
      <c r="Y6" s="9">
        <f t="shared" ref="Y6:Y11" si="39">SUM(D6:X6)</f>
        <v>65</v>
      </c>
      <c r="Z6" s="9">
        <f t="shared" si="9"/>
        <v>1.2</v>
      </c>
      <c r="AA6" s="9">
        <f t="shared" si="10"/>
        <v>0.60000000000000009</v>
      </c>
      <c r="AB6" s="9">
        <f t="shared" si="0"/>
        <v>24</v>
      </c>
      <c r="AC6" s="9">
        <f t="shared" si="11"/>
        <v>17</v>
      </c>
      <c r="AD6" s="13">
        <f t="shared" si="12"/>
        <v>0.36923076923076925</v>
      </c>
      <c r="AE6" s="13">
        <f t="shared" si="13"/>
        <v>0.26153846153846155</v>
      </c>
      <c r="AF6" s="9">
        <f t="shared" si="14"/>
        <v>11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1.25</v>
      </c>
      <c r="AN6" s="193">
        <f t="shared" si="15"/>
        <v>0.5</v>
      </c>
      <c r="AO6" s="193">
        <f t="shared" si="15"/>
        <v>1</v>
      </c>
      <c r="AP6" s="193">
        <f t="shared" si="15"/>
        <v>2</v>
      </c>
      <c r="AQ6" s="193">
        <f t="shared" si="15"/>
        <v>1</v>
      </c>
      <c r="AR6" s="193">
        <f t="shared" si="15"/>
        <v>1</v>
      </c>
      <c r="AS6" s="193">
        <f t="shared" si="15"/>
        <v>1</v>
      </c>
      <c r="AT6" s="193">
        <f t="shared" si="15"/>
        <v>1</v>
      </c>
      <c r="AU6" s="193">
        <f t="shared" si="15"/>
        <v>1.3333333333333333</v>
      </c>
      <c r="AV6" s="193">
        <f t="shared" si="15"/>
        <v>1</v>
      </c>
      <c r="AW6" s="193">
        <f t="shared" si="15"/>
        <v>1</v>
      </c>
      <c r="AX6" s="193">
        <f t="shared" si="15"/>
        <v>1</v>
      </c>
      <c r="AY6" s="193">
        <f t="shared" si="15"/>
        <v>1</v>
      </c>
      <c r="AZ6" s="193">
        <f t="shared" si="15"/>
        <v>1</v>
      </c>
      <c r="BA6" s="193">
        <f t="shared" si="15"/>
        <v>0.9</v>
      </c>
      <c r="BB6" s="193">
        <f t="shared" si="15"/>
        <v>0.90909090909090906</v>
      </c>
      <c r="BC6" s="193">
        <f t="shared" si="15"/>
        <v>0.7142857142857143</v>
      </c>
      <c r="BD6" s="193">
        <f t="shared" si="15"/>
        <v>0.25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1.0404401145198809</v>
      </c>
      <c r="BL6" s="9">
        <f>IF(管理者入力シート!$B$14=1,BK3*管理者用人口入力シート!AM$3,IF(管理者入力シート!$B$14=2,BK3*管理者用人口入力シート!AM$7))</f>
        <v>0.54554472558998091</v>
      </c>
      <c r="BM6" s="9">
        <f>IF(管理者入力シート!$B$14=1,BL3*管理者用人口入力シート!AN$3,IF(管理者入力シート!$B$14=2,BL3*管理者用人口入力シート!AN$7))</f>
        <v>0.69006555934235414</v>
      </c>
      <c r="BN6" s="9">
        <f>IF(管理者入力シート!$B$14=1,BM3*管理者用人口入力シート!AO$3,IF(管理者入力シート!$B$14=2,BM3*管理者用人口入力シート!AO$7))</f>
        <v>3.1622776601683795</v>
      </c>
      <c r="BO6" s="9">
        <f>IF(管理者入力シート!$B$14=1,BN3*管理者用人口入力シート!AP$3,IF(管理者入力シート!$B$14=2,BN3*管理者用人口入力シート!AP$7))</f>
        <v>2</v>
      </c>
      <c r="BP6" s="9">
        <f>IF(管理者入力シート!$B$14=1,BO3*管理者用人口入力シート!AQ$3,IF(管理者入力シート!$B$14=2,BO3*管理者用人口入力シート!AQ$7))</f>
        <v>1.4142135623730951</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1.0392304845413265</v>
      </c>
      <c r="BS6" s="9">
        <f>IF(管理者入力シート!$B$14=1,BR3*管理者用人口入力シート!AT$3,IF(管理者入力シート!$B$14=2,BR3*管理者用人口入力シート!AT$7))</f>
        <v>3.6742346141747673</v>
      </c>
      <c r="BT6" s="9">
        <f>IF(管理者入力シート!$B$14=1,BS3*管理者用人口入力シート!AU$3,IF(管理者入力シート!$B$14=2,BS3*管理者用人口入力シート!AU$7))</f>
        <v>3.872983346207417</v>
      </c>
      <c r="BU6" s="9">
        <f>IF(管理者入力シート!$B$14=1,BT3*管理者用人口入力シート!AV$3,IF(管理者入力シート!$B$14=2,BT3*管理者用人口入力シート!AV$7))</f>
        <v>7.0710678118654755</v>
      </c>
      <c r="BV6" s="9">
        <f>IF(管理者入力シート!$B$14=1,BU3*管理者用人口入力シート!AW$3,IF(管理者入力シート!$B$14=2,BU3*管理者用人口入力シート!AW$7))</f>
        <v>0</v>
      </c>
      <c r="BW6" s="9">
        <f>IF(管理者入力シート!$B$14=1,BV3*管理者用人口入力シート!AX$3,IF(管理者入力シート!$B$14=2,BV3*管理者用人口入力シート!AX$7))</f>
        <v>1.8708286933869707</v>
      </c>
      <c r="BX6" s="9">
        <f>IF(管理者入力シート!$B$14=1,BW3*管理者用人口入力シート!AY$3,IF(管理者入力シート!$B$14=2,BW3*管理者用人口入力シート!AY$7))</f>
        <v>5.1234753829797999</v>
      </c>
      <c r="BY6" s="9">
        <f>IF(管理者入力シート!$B$14=1,BX3*管理者用人口入力シート!AZ$3,IF(管理者入力シート!$B$14=2,BX3*管理者用人口入力シート!AZ$7))</f>
        <v>6.3900965042269382</v>
      </c>
      <c r="BZ6" s="9">
        <f>IF(管理者入力シート!$B$14=1,BY3*管理者用人口入力シート!BA$3,IF(管理者入力シート!$B$14=2,BY3*管理者用人口入力シート!BA$7))</f>
        <v>3.872983346207417</v>
      </c>
      <c r="CA6" s="9">
        <f>IF(管理者入力シート!$B$14=1,BZ3*管理者用人口入力シート!BB$3,IF(管理者入力シート!$B$14=2,BZ3*管理者用人口入力シート!BB$7))</f>
        <v>1.7320508075688774</v>
      </c>
      <c r="CB6" s="9">
        <f>IF(管理者入力シート!$B$14=1,CA3*管理者用人口入力シート!BC$3,IF(管理者入力シート!$B$14=2,CA3*管理者用人口入力シート!BC$7))</f>
        <v>1.2909944487358056</v>
      </c>
      <c r="CC6" s="9">
        <f>IF(管理者入力シート!$B$14=1,CB3*管理者用人口入力シート!BD$3,IF(管理者入力シート!$B$14=2,CB3*管理者用人口入力シート!BD$7))</f>
        <v>0.99999999999999989</v>
      </c>
      <c r="CD6" s="9">
        <f>IF(管理者入力シート!$B$14=1,CC3*管理者用人口入力シート!BE$3,IF(管理者入力シート!$B$14=2,CC3*管理者用人口入力シート!BE$7))</f>
        <v>2.8867513459481286E-3</v>
      </c>
      <c r="CE6" s="9">
        <f>IF(管理者入力シート!$B$14=1,CD3*管理者用人口入力シート!BF$3,IF(管理者入力シート!$B$14=2,CD3*管理者用人口入力シート!BF$7))</f>
        <v>1.9999999999999999E-6</v>
      </c>
      <c r="CF6" s="9">
        <f t="shared" si="2"/>
        <v>45.793375813234441</v>
      </c>
      <c r="CG6" s="9">
        <f t="shared" si="17"/>
        <v>0.74136617095940105</v>
      </c>
      <c r="CH6" s="9">
        <f t="shared" si="18"/>
        <v>0.90848175577061752</v>
      </c>
      <c r="CI6" s="9">
        <f t="shared" si="3"/>
        <v>19.412489241064783</v>
      </c>
      <c r="CJ6" s="9">
        <f t="shared" si="19"/>
        <v>7.8989173538580486</v>
      </c>
      <c r="CK6" s="13">
        <f t="shared" si="20"/>
        <v>0.42391478890391193</v>
      </c>
      <c r="CL6" s="13">
        <f t="shared" si="21"/>
        <v>0.17249039219282092</v>
      </c>
      <c r="CM6" s="9">
        <f t="shared" si="22"/>
        <v>4.4534440469144219</v>
      </c>
      <c r="CO6" s="7" t="str">
        <f t="shared" si="23"/>
        <v>2030_1</v>
      </c>
      <c r="CP6" s="28">
        <f>管理者入力シート!B9</f>
        <v>2030</v>
      </c>
      <c r="CQ6" s="3" t="s">
        <v>21</v>
      </c>
      <c r="CR6" s="9">
        <f>DT7*$AK$13+将来予測シート②!$G17</f>
        <v>2.7071067811865475</v>
      </c>
      <c r="CS6" s="9">
        <f>IF(管理者入力シート!$B$14=1,CR3*管理者用人口入力シート!AM$3,IF(管理者入力シート!$B$14=2,CR3*管理者用人口入力シート!AM$7))+将来予測シート②!$G18</f>
        <v>1.6366341767699426</v>
      </c>
      <c r="CT6" s="9">
        <f>IF(管理者入力シート!$B$14=1,CS3*管理者用人口入力シート!AN$3,IF(管理者入力シート!$B$14=2,CS3*管理者用人口入力シート!AN$7))+将来予測シート②!$G19</f>
        <v>1.6900655593423541</v>
      </c>
      <c r="CU6" s="9">
        <f>IF(管理者入力シート!$B$14=1,CT3*管理者用人口入力シート!AO$3,IF(管理者入力シート!$B$14=2,CT3*管理者用人口入力シート!AO$7))+将来予測シート②!$G20</f>
        <v>4.16227766016838</v>
      </c>
      <c r="CV6" s="9">
        <f>IF(管理者入力シート!$B$14=1,CU3*管理者用人口入力シート!AP$3,IF(管理者入力シート!$B$14=2,CU3*管理者用人口入力シート!AP$7))+将来予測シート②!$G21</f>
        <v>2</v>
      </c>
      <c r="CW6" s="9">
        <f>IF(管理者入力シート!$B$14=1,CV3*管理者用人口入力シート!AQ$3,IF(管理者入力シート!$B$14=2,CV3*管理者用人口入力シート!AQ$7))+将来予測シート②!$G22</f>
        <v>3.4142135623730949</v>
      </c>
      <c r="CX6" s="9">
        <f>IF(管理者入力シート!$B$14=1,CW3*管理者用人口入力シート!AR$3,IF(管理者入力シート!$B$14=2,CW3*管理者用人口入力シート!AR$7))+将来予測シート②!$G23</f>
        <v>1.5491933384829668</v>
      </c>
      <c r="CY6" s="9">
        <f>IF(管理者入力シート!$B$14=1,CX3*管理者用人口入力シート!AS$3,IF(管理者入力シート!$B$14=2,CX3*管理者用人口入力シート!AS$7))+将来予測シート②!$G24</f>
        <v>1.0392304845413265</v>
      </c>
      <c r="CZ6" s="9">
        <f>IF(管理者入力シート!$B$14=1,CY3*管理者用人口入力シート!AT$3,IF(管理者入力シート!$B$14=2,CY3*管理者用人口入力シート!AT$7))+将来予測シート②!$G25</f>
        <v>3.6742346141747673</v>
      </c>
      <c r="DA6" s="9">
        <f>IF(管理者入力シート!$B$14=1,CZ3*管理者用人口入力シート!AU$3,IF(管理者入力シート!$B$14=2,CZ3*管理者用人口入力シート!AU$7))+将来予測シート②!$G26</f>
        <v>3.872983346207417</v>
      </c>
      <c r="DB6" s="9">
        <f>IF(管理者入力シート!$B$14=1,DA3*管理者用人口入力シート!AV$3,IF(管理者入力シート!$B$14=2,DA3*管理者用人口入力シート!AV$7))+将来予測シート②!$G27</f>
        <v>7.0710678118654755</v>
      </c>
      <c r="DC6" s="9">
        <f>IF(管理者入力シート!$B$14=1,DB3*管理者用人口入力シート!AW$3,IF(管理者入力シート!$B$14=2,DB3*管理者用人口入力シート!AW$7))+将来予測シート②!$G28</f>
        <v>0</v>
      </c>
      <c r="DD6" s="9">
        <f>IF(管理者入力シート!$B$14=1,DC3*管理者用人口入力シート!AX$3,IF(管理者入力シート!$B$14=2,DC3*管理者用人口入力シート!AX$7))+将来予測シート②!$G29</f>
        <v>1.8708286933869707</v>
      </c>
      <c r="DE6" s="9">
        <f>IF(管理者入力シート!$B$14=1,DD3*管理者用人口入力シート!AY$3,IF(管理者入力シート!$B$14=2,DD3*管理者用人口入力シート!AY$7))</f>
        <v>5.1234753829797999</v>
      </c>
      <c r="DF6" s="9">
        <f>IF(管理者入力シート!$B$14=1,DE3*管理者用人口入力シート!AZ$3,IF(管理者入力シート!$B$14=2,DE3*管理者用人口入力シート!AZ$7))</f>
        <v>6.3900965042269382</v>
      </c>
      <c r="DG6" s="9">
        <f>IF(管理者入力シート!$B$14=1,DF3*管理者用人口入力シート!BA$3,IF(管理者入力シート!$B$14=2,DF3*管理者用人口入力シート!BA$7))</f>
        <v>3.872983346207417</v>
      </c>
      <c r="DH6" s="9">
        <f>IF(管理者入力シート!$B$14=1,DG3*管理者用人口入力シート!BB$3,IF(管理者入力シート!$B$14=2,DG3*管理者用人口入力シート!BB$7))</f>
        <v>1.7320508075688774</v>
      </c>
      <c r="DI6" s="9">
        <f>IF(管理者入力シート!$B$14=1,DH3*管理者用人口入力シート!BC$3,IF(管理者入力シート!$B$14=2,DH3*管理者用人口入力シート!BC$7))</f>
        <v>1.2909944487358056</v>
      </c>
      <c r="DJ6" s="9">
        <f>IF(管理者入力シート!$B$14=1,DI3*管理者用人口入力シート!BD$3,IF(管理者入力シート!$B$14=2,DI3*管理者用人口入力シート!BD$7))</f>
        <v>0.99999999999999989</v>
      </c>
      <c r="DK6" s="9">
        <f>IF(管理者入力シート!$B$14=1,DJ3*管理者用人口入力シート!BE$3,IF(管理者入力シート!$B$14=2,DJ3*管理者用人口入力シート!BE$7))</f>
        <v>2.8867513459481286E-3</v>
      </c>
      <c r="DL6" s="9">
        <f>IF(管理者入力シート!$B$14=1,DK3*管理者用人口入力シート!BF$3,IF(管理者入力シート!$B$14=2,DK3*管理者用人口入力シート!BF$7))</f>
        <v>1.9999999999999999E-6</v>
      </c>
      <c r="DM6" s="9">
        <f t="shared" ref="DM6:DM14" si="40">SUM(CR6:DL6)</f>
        <v>54.100325269564031</v>
      </c>
      <c r="DN6" s="9">
        <f t="shared" si="25"/>
        <v>1.996019841667378</v>
      </c>
      <c r="DO6" s="9">
        <f t="shared" si="26"/>
        <v>1.5084817557706176</v>
      </c>
      <c r="DP6" s="9">
        <f t="shared" si="5"/>
        <v>19.412489241064783</v>
      </c>
      <c r="DQ6" s="9">
        <f t="shared" si="27"/>
        <v>7.8989173538580486</v>
      </c>
      <c r="DR6" s="13">
        <f t="shared" si="28"/>
        <v>0.35882389143390114</v>
      </c>
      <c r="DS6" s="13">
        <f t="shared" si="29"/>
        <v>0.1460049882232751</v>
      </c>
      <c r="DT6" s="9">
        <f t="shared" ref="DT6:DT14" si="41">SUM(CV6:CY6)</f>
        <v>8.0026373853973887</v>
      </c>
      <c r="DV6" s="7" t="s">
        <v>400</v>
      </c>
      <c r="DX6" s="28">
        <f>管理者入力シート!B9</f>
        <v>2030</v>
      </c>
      <c r="DY6" s="3" t="s">
        <v>21</v>
      </c>
      <c r="DZ6" s="9">
        <f>FB7*$AK$13</f>
        <v>1.8737734478532142</v>
      </c>
      <c r="EA6" s="129">
        <f>IF(管理者入力シート!$B$14=1,DZ3*管理者用人口入力シート!AM$3,IF(管理者入力シート!$B$14=2,DZ3*管理者用人口入力シート!AM$7))</f>
        <v>0.54554472558998091</v>
      </c>
      <c r="EB6" s="9">
        <f>IF(管理者入力シート!$B$14=1,EA3*管理者用人口入力シート!AN$3,IF(管理者入力シート!$B$14=2,EA3*管理者用人口入力シート!AN$7))</f>
        <v>0.69006555934235414</v>
      </c>
      <c r="EC6" s="9">
        <f>IF(管理者入力シート!$B$14=1,EB3*管理者用人口入力シート!AO$3,IF(管理者入力シート!$B$14=2,EB3*管理者用人口入力シート!AO$7))</f>
        <v>3.1622776601683795</v>
      </c>
      <c r="ED6" s="9">
        <f>IF(管理者入力シート!$B$14=1,EC3*管理者用人口入力シート!AP$3,IF(管理者入力シート!$B$14=2,EC3*管理者用人口入力シート!AP$7))</f>
        <v>2</v>
      </c>
      <c r="EE6" s="9">
        <f>IF(管理者入力シート!$B$14=1,ED3*管理者用人口入力シート!AQ$3,IF(管理者入力シート!$B$14=2,ED3*管理者用人口入力シート!AQ$7))+DX1</f>
        <v>2.4142135623730949</v>
      </c>
      <c r="EF6" s="9">
        <f>IF(管理者入力シート!$B$14=1,EE3*管理者用人口入力シート!AR$3,IF(管理者入力シート!$B$14=2,EE3*管理者用人口入力シート!AR$7))+DX1</f>
        <v>1.7745966692414834</v>
      </c>
      <c r="EG6" s="9">
        <f>IF(管理者入力シート!$B$14=1,EF3*管理者用人口入力シート!AS$3,IF(管理者入力シート!$B$14=2,EF3*管理者用人口入力シート!AS$7))+DX1</f>
        <v>3.3808712710412001</v>
      </c>
      <c r="EH6" s="9">
        <f>IF(管理者入力シート!$B$14=1,EG3*管理者用人口入力シート!AT$3,IF(管理者入力シート!$B$14=2,EG3*管理者用人口入力シート!AT$7))</f>
        <v>4.5871055433500443</v>
      </c>
      <c r="EI6" s="9">
        <f>IF(管理者入力シート!$B$14=1,EH3*管理者用人口入力シート!AU$3,IF(管理者入力シート!$B$14=2,EH3*管理者用人口入力シート!AU$7))</f>
        <v>3.872983346207417</v>
      </c>
      <c r="EJ6" s="9">
        <f>IF(管理者入力シート!$B$14=1,EI3*管理者用人口入力シート!AV$3,IF(管理者入力シート!$B$14=2,EI3*管理者用人口入力シート!AV$7))</f>
        <v>7.0710678118654755</v>
      </c>
      <c r="EK6" s="9">
        <f>IF(管理者入力シート!$B$14=1,EJ3*管理者用人口入力シート!AW$3,IF(管理者入力シート!$B$14=2,EJ3*管理者用人口入力シート!AW$7))</f>
        <v>0</v>
      </c>
      <c r="EL6" s="9">
        <f>IF(管理者入力シート!$B$14=1,EK3*管理者用人口入力シート!AX$3,IF(管理者入力シート!$B$14=2,EK3*管理者用人口入力シート!AX$7))</f>
        <v>1.8708286933869707</v>
      </c>
      <c r="EM6" s="9">
        <f>IF(管理者入力シート!$B$14=1,EL3*管理者用人口入力シート!AY$3,IF(管理者入力シート!$B$14=2,EL3*管理者用人口入力シート!AY$7))</f>
        <v>5.1234753829797999</v>
      </c>
      <c r="EN6" s="9">
        <f>IF(管理者入力シート!$B$14=1,EM3*管理者用人口入力シート!AZ$3,IF(管理者入力シート!$B$14=2,EM3*管理者用人口入力シート!AZ$7))</f>
        <v>6.3900965042269382</v>
      </c>
      <c r="EO6" s="9">
        <f>IF(管理者入力シート!$B$14=1,EN3*管理者用人口入力シート!BA$3,IF(管理者入力シート!$B$14=2,EN3*管理者用人口入力シート!BA$7))</f>
        <v>3.872983346207417</v>
      </c>
      <c r="EP6" s="9">
        <f>IF(管理者入力シート!$B$14=1,EO3*管理者用人口入力シート!BB$3,IF(管理者入力シート!$B$14=2,EO3*管理者用人口入力シート!BB$7))</f>
        <v>1.7320508075688774</v>
      </c>
      <c r="EQ6" s="9">
        <f>IF(管理者入力シート!$B$14=1,EP3*管理者用人口入力シート!BC$3,IF(管理者入力シート!$B$14=2,EP3*管理者用人口入力シート!BC$7))</f>
        <v>1.2909944487358056</v>
      </c>
      <c r="ER6" s="9">
        <f>IF(管理者入力シート!$B$14=1,EQ3*管理者用人口入力シート!BD$3,IF(管理者入力シート!$B$14=2,EQ3*管理者用人口入力シート!BD$7))</f>
        <v>0.99999999999999989</v>
      </c>
      <c r="ES6" s="9">
        <f>IF(管理者入力シート!$B$14=1,ER3*管理者用人口入力シート!BE$3,IF(管理者入力シート!$B$14=2,ER3*管理者用人口入力シート!BE$7))</f>
        <v>2.8867513459481286E-3</v>
      </c>
      <c r="ET6" s="9">
        <f>IF(管理者入力シート!$B$14=1,ES3*管理者用人口入力シート!BF$3,IF(管理者入力シート!$B$14=2,ES3*管理者用人口入力シート!BF$7))</f>
        <v>1.9999999999999999E-6</v>
      </c>
      <c r="EU6" s="9">
        <f t="shared" ref="EU6:EU14" si="42">SUM(DZ6:ET6)</f>
        <v>52.655817531484402</v>
      </c>
      <c r="EV6" s="9">
        <f t="shared" si="31"/>
        <v>0.74136617095940105</v>
      </c>
      <c r="EW6" s="9">
        <f t="shared" si="32"/>
        <v>0.90848175577061752</v>
      </c>
      <c r="EX6" s="9">
        <f t="shared" si="7"/>
        <v>19.412489241064783</v>
      </c>
      <c r="EY6" s="9">
        <f t="shared" si="33"/>
        <v>7.8989173538580486</v>
      </c>
      <c r="EZ6" s="13">
        <f t="shared" si="34"/>
        <v>0.36866751198872766</v>
      </c>
      <c r="FA6" s="13">
        <f t="shared" si="35"/>
        <v>0.15001034499436008</v>
      </c>
      <c r="FB6" s="9">
        <f t="shared" ref="FB6:FB14" si="43">SUM(ED6:EG6)</f>
        <v>9.5696815026557793</v>
      </c>
    </row>
    <row r="7" spans="1:158" x14ac:dyDescent="0.15">
      <c r="A7" s="7" t="str">
        <f t="shared" si="8"/>
        <v>2010_2</v>
      </c>
      <c r="B7" s="29">
        <v>2010</v>
      </c>
      <c r="C7" s="4" t="s">
        <v>22</v>
      </c>
      <c r="D7" s="10">
        <v>4</v>
      </c>
      <c r="E7" s="10">
        <v>2</v>
      </c>
      <c r="F7" s="10">
        <v>0</v>
      </c>
      <c r="G7" s="10">
        <v>1</v>
      </c>
      <c r="H7" s="10">
        <v>1</v>
      </c>
      <c r="I7" s="10">
        <v>3</v>
      </c>
      <c r="J7" s="10">
        <v>2</v>
      </c>
      <c r="K7" s="10">
        <v>1</v>
      </c>
      <c r="L7" s="10">
        <v>3</v>
      </c>
      <c r="M7" s="10">
        <v>2</v>
      </c>
      <c r="N7" s="10">
        <v>7</v>
      </c>
      <c r="O7" s="10">
        <v>1</v>
      </c>
      <c r="P7" s="10">
        <v>4</v>
      </c>
      <c r="Q7" s="10">
        <v>1</v>
      </c>
      <c r="R7" s="10">
        <v>10</v>
      </c>
      <c r="S7" s="10">
        <v>11</v>
      </c>
      <c r="T7" s="10">
        <v>7</v>
      </c>
      <c r="U7" s="10">
        <v>4</v>
      </c>
      <c r="V7" s="10">
        <v>1</v>
      </c>
      <c r="W7" s="10">
        <v>0</v>
      </c>
      <c r="X7" s="10">
        <v>0</v>
      </c>
      <c r="Y7" s="10">
        <f t="shared" si="39"/>
        <v>65</v>
      </c>
      <c r="Z7" s="10">
        <f t="shared" si="9"/>
        <v>1.2</v>
      </c>
      <c r="AA7" s="10">
        <f t="shared" si="10"/>
        <v>0.2</v>
      </c>
      <c r="AB7" s="10">
        <f t="shared" si="0"/>
        <v>34</v>
      </c>
      <c r="AC7" s="10">
        <f t="shared" si="11"/>
        <v>23</v>
      </c>
      <c r="AD7" s="14">
        <f t="shared" si="12"/>
        <v>0.52307692307692311</v>
      </c>
      <c r="AE7" s="14">
        <f t="shared" si="13"/>
        <v>0.35384615384615387</v>
      </c>
      <c r="AF7" s="10">
        <f t="shared" si="14"/>
        <v>7</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1.0910894511799618</v>
      </c>
      <c r="AN7" s="48">
        <f t="shared" si="44"/>
        <v>0.63245553203367588</v>
      </c>
      <c r="AO7" s="48">
        <f t="shared" si="44"/>
        <v>1</v>
      </c>
      <c r="AP7" s="48">
        <f t="shared" si="44"/>
        <v>1</v>
      </c>
      <c r="AQ7" s="48">
        <f t="shared" si="44"/>
        <v>1.4142135623730951</v>
      </c>
      <c r="AR7" s="48">
        <f t="shared" si="44"/>
        <v>0.7745966692414834</v>
      </c>
      <c r="AS7" s="48">
        <f t="shared" si="44"/>
        <v>1.3416407864998738</v>
      </c>
      <c r="AT7" s="48">
        <f t="shared" si="44"/>
        <v>0.9128709291752769</v>
      </c>
      <c r="AU7" s="48">
        <f t="shared" si="44"/>
        <v>1.4142135623730951</v>
      </c>
      <c r="AV7" s="48">
        <f t="shared" si="44"/>
        <v>1</v>
      </c>
      <c r="AW7" s="48">
        <f t="shared" si="44"/>
        <v>1</v>
      </c>
      <c r="AX7" s="48">
        <f t="shared" si="44"/>
        <v>0.93541434669348533</v>
      </c>
      <c r="AY7" s="48">
        <f t="shared" si="44"/>
        <v>0.9128709291752769</v>
      </c>
      <c r="AZ7" s="48">
        <f t="shared" si="44"/>
        <v>1</v>
      </c>
      <c r="BA7" s="48">
        <f t="shared" si="44"/>
        <v>0.7745966692414834</v>
      </c>
      <c r="BB7" s="48">
        <f t="shared" si="44"/>
        <v>0.7453559924999299</v>
      </c>
      <c r="BC7" s="48">
        <f t="shared" si="44"/>
        <v>0.8660254037844386</v>
      </c>
      <c r="BD7" s="48">
        <f t="shared" si="44"/>
        <v>0.57735026918962573</v>
      </c>
      <c r="BE7" s="48">
        <f t="shared" si="44"/>
        <v>1E-3</v>
      </c>
      <c r="BF7" s="48">
        <f t="shared" si="44"/>
        <v>1E-3</v>
      </c>
      <c r="BH7" s="7" t="str">
        <f t="shared" si="16"/>
        <v>2030_2</v>
      </c>
      <c r="BI7" s="29">
        <f>BI6</f>
        <v>2030</v>
      </c>
      <c r="BJ7" s="4" t="s">
        <v>22</v>
      </c>
      <c r="BK7" s="10">
        <f>CM7*$AK$14</f>
        <v>2.0808802290397619</v>
      </c>
      <c r="BL7" s="10">
        <f>IF(管理者入力シート!$B$14=1,BK4*管理者用人口入力シート!AM$4,IF(管理者入力シート!$B$14=2,BK4*管理者用人口入力シート!AM$8))</f>
        <v>1.5811388300841898</v>
      </c>
      <c r="BM7" s="10">
        <f>IF(管理者入力シート!$B$14=1,BL4*管理者用人口入力シート!AN$4,IF(管理者入力シート!$B$14=2,BL4*管理者用人口入力シート!AN$8))</f>
        <v>1.7320508075688772</v>
      </c>
      <c r="BN7" s="10">
        <f>IF(管理者入力シート!$B$14=1,BM4*管理者用人口入力シート!AO$4,IF(管理者入力シート!$B$14=2,BM4*管理者用人口入力シート!AO$8))</f>
        <v>1.0954451150103321</v>
      </c>
      <c r="BO7" s="10">
        <f>IF(管理者入力シート!$B$14=1,BN4*管理者用人口入力シート!AP$4,IF(管理者入力シート!$B$14=2,BN4*管理者用人口入力シート!AP$8))</f>
        <v>4.2426406871192857</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2</v>
      </c>
      <c r="BS7" s="10">
        <f>IF(管理者入力シート!$B$14=1,BR4*管理者用人口入力シート!AT$4,IF(管理者入力シート!$B$14=2,BR4*管理者用人口入力シート!AT$8))</f>
        <v>1</v>
      </c>
      <c r="BT7" s="10">
        <f>IF(管理者入力シート!$B$14=1,BS4*管理者用人口入力シート!AU$4,IF(管理者入力シート!$B$14=2,BS4*管理者用人口入力シート!AU$8))</f>
        <v>3.4641016151377544</v>
      </c>
      <c r="BU7" s="10">
        <f>IF(管理者入力シート!$B$14=1,BT4*管理者用人口入力シート!AV$4,IF(管理者入力シート!$B$14=2,BT4*管理者用人口入力シート!AV$8))</f>
        <v>2.3094010767585029</v>
      </c>
      <c r="BV7" s="10">
        <f>IF(管理者入力シート!$B$14=1,BU4*管理者用人口入力シート!AW$4,IF(管理者入力シート!$B$14=2,BU4*管理者用人口入力シート!AW$8))</f>
        <v>1</v>
      </c>
      <c r="BW7" s="10">
        <f>IF(管理者入力シート!$B$14=1,BV4*管理者用人口入力シート!AX$4,IF(管理者入力シート!$B$14=2,BV4*管理者用人口入力シート!AX$8))</f>
        <v>4</v>
      </c>
      <c r="BX7" s="10">
        <f>IF(管理者入力シート!$B$14=1,BW4*管理者用人口入力シート!AY$4,IF(管理者入力シート!$B$14=2,BW4*管理者用人口入力シート!AY$8))</f>
        <v>2</v>
      </c>
      <c r="BY7" s="10">
        <f>IF(管理者入力シート!$B$14=1,BX4*管理者用人口入力シート!AZ$4,IF(管理者入力シート!$B$14=2,BX4*管理者用人口入力シート!AZ$8))</f>
        <v>7</v>
      </c>
      <c r="BZ7" s="10">
        <f>IF(管理者入力シート!$B$14=1,BY4*管理者用人口入力シート!BA$4,IF(管理者入力シート!$B$14=2,BY4*管理者用人口入力シート!BA$8))</f>
        <v>0.94868329805051377</v>
      </c>
      <c r="CA7" s="10">
        <f>IF(管理者入力シート!$B$14=1,BZ4*管理者用人口入力シート!BB$4,IF(管理者入力シート!$B$14=2,BZ4*管理者用人口入力シート!BB$8))</f>
        <v>3.4112114616897666</v>
      </c>
      <c r="CB7" s="10">
        <f>IF(管理者入力シート!$B$14=1,CA4*管理者用人口入力シート!BC$4,IF(管理者入力シート!$B$14=2,CA4*管理者用人口入力シート!BC$8))</f>
        <v>0.53721530935025341</v>
      </c>
      <c r="CC7" s="10">
        <f>IF(管理者入力シート!$B$14=1,CB4*管理者用人口入力シート!BD$4,IF(管理者入力シート!$B$14=2,CB4*管理者用人口入力シート!BD$8))</f>
        <v>1.5118578920369088</v>
      </c>
      <c r="CD7" s="10">
        <f>IF(管理者入力シート!$B$14=1,CC4*管理者用人口入力シート!BE$4,IF(管理者入力シート!$B$14=2,CC4*管理者用人口入力シート!BE$8))</f>
        <v>1.5811388300841897E-3</v>
      </c>
      <c r="CE7" s="10">
        <f>IF(管理者入力シート!$B$14=1,CD4*管理者用人口入力シート!BF$4,IF(管理者入力シート!$B$14=2,CD4*管理者用人口入力シート!BF$8))</f>
        <v>1.9999999999999999E-6</v>
      </c>
      <c r="CF7" s="10">
        <f t="shared" si="2"/>
        <v>39.916209460676228</v>
      </c>
      <c r="CG7" s="10">
        <f t="shared" si="17"/>
        <v>1.9879137825918403</v>
      </c>
      <c r="CH7" s="10">
        <f t="shared" si="18"/>
        <v>0.91190934602961737</v>
      </c>
      <c r="CI7" s="10">
        <f t="shared" si="3"/>
        <v>15.410551099957528</v>
      </c>
      <c r="CJ7" s="10">
        <f t="shared" si="19"/>
        <v>6.4105510999575275</v>
      </c>
      <c r="CK7" s="14">
        <f t="shared" si="20"/>
        <v>0.38607250809071325</v>
      </c>
      <c r="CL7" s="14">
        <f t="shared" si="21"/>
        <v>0.16060019692683827</v>
      </c>
      <c r="CM7" s="10">
        <f t="shared" si="22"/>
        <v>6.2426406871192857</v>
      </c>
      <c r="CO7" s="7" t="str">
        <f t="shared" si="23"/>
        <v>2030_2</v>
      </c>
      <c r="CP7" s="29">
        <f>CP6</f>
        <v>2030</v>
      </c>
      <c r="CQ7" s="4" t="s">
        <v>22</v>
      </c>
      <c r="CR7" s="10">
        <f>DT7*$AK$14+将来予測シート②!$H17</f>
        <v>4.4142135623730949</v>
      </c>
      <c r="CS7" s="10">
        <f>IF(管理者入力シート!$B$14=1,CR4*管理者用人口入力シート!AM$4,IF(管理者入力シート!$B$14=2,CR4*管理者用人口入力シート!AM$8))+将来予測シート②!$H18</f>
        <v>3.1622776601683795</v>
      </c>
      <c r="CT7" s="10">
        <f>IF(管理者入力シート!$B$14=1,CS4*管理者用人口入力シート!AN$4,IF(管理者入力シート!$B$14=2,CS4*管理者用人口入力シート!AN$8))+将来予測シート②!$H19</f>
        <v>2.7320508075688772</v>
      </c>
      <c r="CU7" s="10">
        <f>IF(管理者入力シート!$B$14=1,CT4*管理者用人口入力シート!AO$4,IF(管理者入力シート!$B$14=2,CT4*管理者用人口入力シート!AO$8))+将来予測シート②!$H20</f>
        <v>2.0954451150103321</v>
      </c>
      <c r="CV7" s="10">
        <f>IF(管理者入力シート!$B$14=1,CU4*管理者用人口入力シート!AP$4,IF(管理者入力シート!$B$14=2,CU4*管理者用人口入力シート!AP$8))+将来予測シート②!$H21</f>
        <v>4.2426406871192857</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2</v>
      </c>
      <c r="CZ7" s="10">
        <f>IF(管理者入力シート!$B$14=1,CY4*管理者用人口入力シート!AT$4,IF(管理者入力シート!$B$14=2,CY4*管理者用人口入力シート!AT$8))+将来予測シート②!$H25</f>
        <v>2</v>
      </c>
      <c r="DA7" s="10">
        <f>IF(管理者入力シート!$B$14=1,CZ4*管理者用人口入力シート!AU$4,IF(管理者入力シート!$B$14=2,CZ4*管理者用人口入力シート!AU$8))+将来予測シート②!$H26</f>
        <v>4.6188021535170058</v>
      </c>
      <c r="DB7" s="10">
        <f>IF(管理者入力シート!$B$14=1,DA4*管理者用人口入力シート!AV$4,IF(管理者入力シート!$B$14=2,DA4*管理者用人口入力シート!AV$8))+将来予測シート②!$H27</f>
        <v>2.3094010767585029</v>
      </c>
      <c r="DC7" s="10">
        <f>IF(管理者入力シート!$B$14=1,DB4*管理者用人口入力シート!AW$4,IF(管理者入力シート!$B$14=2,DB4*管理者用人口入力シート!AW$8))+将来予測シート②!$H28</f>
        <v>1</v>
      </c>
      <c r="DD7" s="10">
        <f>IF(管理者入力シート!$B$14=1,DC4*管理者用人口入力シート!AX$4,IF(管理者入力シート!$B$14=2,DC4*管理者用人口入力シート!AX$8))+将来予測シート②!$H29</f>
        <v>4</v>
      </c>
      <c r="DE7" s="10">
        <f>IF(管理者入力シート!$B$14=1,DD4*管理者用人口入力シート!AY$4,IF(管理者入力シート!$B$14=2,DD4*管理者用人口入力シート!AY$8))</f>
        <v>2</v>
      </c>
      <c r="DF7" s="10">
        <f>IF(管理者入力シート!$B$14=1,DE4*管理者用人口入力シート!AZ$4,IF(管理者入力シート!$B$14=2,DE4*管理者用人口入力シート!AZ$8))</f>
        <v>7</v>
      </c>
      <c r="DG7" s="10">
        <f>IF(管理者入力シート!$B$14=1,DF4*管理者用人口入力シート!BA$4,IF(管理者入力シート!$B$14=2,DF4*管理者用人口入力シート!BA$8))</f>
        <v>0.94868329805051377</v>
      </c>
      <c r="DH7" s="10">
        <f>IF(管理者入力シート!$B$14=1,DG4*管理者用人口入力シート!BB$4,IF(管理者入力シート!$B$14=2,DG4*管理者用人口入力シート!BB$8))</f>
        <v>3.4112114616897666</v>
      </c>
      <c r="DI7" s="10">
        <f>IF(管理者入力シート!$B$14=1,DH4*管理者用人口入力シート!BC$4,IF(管理者入力シート!$B$14=2,DH4*管理者用人口入力シート!BC$8))</f>
        <v>0.53721530935025341</v>
      </c>
      <c r="DJ7" s="10">
        <f>IF(管理者入力シート!$B$14=1,DI4*管理者用人口入力シート!BD$4,IF(管理者入力シート!$B$14=2,DI4*管理者用人口入力シート!BD$8))</f>
        <v>1.5118578920369088</v>
      </c>
      <c r="DK7" s="10">
        <f>IF(管理者入力シート!$B$14=1,DJ4*管理者用人口入力シート!BE$4,IF(管理者入力シート!$B$14=2,DJ4*管理者用人口入力シート!BE$8))</f>
        <v>1.5811388300841897E-3</v>
      </c>
      <c r="DL7" s="10">
        <f>IF(管理者入力シート!$B$14=1,DK4*管理者用人口入力シート!BF$4,IF(管理者入力シート!$B$14=2,DK4*管理者用人口入力シート!BF$8))</f>
        <v>1.9999999999999999E-6</v>
      </c>
      <c r="DM7" s="10">
        <f t="shared" si="40"/>
        <v>51.985382162473002</v>
      </c>
      <c r="DN7" s="10">
        <f t="shared" si="25"/>
        <v>3.5365970806423537</v>
      </c>
      <c r="DO7" s="10">
        <f t="shared" si="26"/>
        <v>1.5119093460296171</v>
      </c>
      <c r="DP7" s="10">
        <f t="shared" si="5"/>
        <v>15.410551099957528</v>
      </c>
      <c r="DQ7" s="10">
        <f t="shared" si="27"/>
        <v>6.4105510999575275</v>
      </c>
      <c r="DR7" s="14">
        <f t="shared" si="28"/>
        <v>0.2964400848645109</v>
      </c>
      <c r="DS7" s="14">
        <f t="shared" si="29"/>
        <v>0.12331449406147003</v>
      </c>
      <c r="DT7" s="10">
        <f t="shared" si="41"/>
        <v>10.242640687119286</v>
      </c>
      <c r="DV7" s="7" t="s">
        <v>401</v>
      </c>
      <c r="DW7" s="209">
        <f>(SUM(BK12:BW12)-SUM(D12:P12))/4</f>
        <v>-1.6655665278787488</v>
      </c>
      <c r="DX7" s="29">
        <f>DX6</f>
        <v>2030</v>
      </c>
      <c r="DY7" s="4" t="s">
        <v>22</v>
      </c>
      <c r="DZ7" s="10">
        <f>FB7*$AK$14</f>
        <v>3.7475468957064284</v>
      </c>
      <c r="EA7" s="10">
        <f>IF(管理者入力シート!$B$14=1,DZ4*管理者用人口入力シート!AM$4,IF(管理者入力シート!$B$14=2,DZ4*管理者用人口入力シート!AM$8))</f>
        <v>1.5811388300841898</v>
      </c>
      <c r="EB7" s="10">
        <f>IF(管理者入力シート!$B$14=1,EA4*管理者用人口入力シート!AN$4,IF(管理者入力シート!$B$14=2,EA4*管理者用人口入力シート!AN$8))</f>
        <v>1.7320508075688772</v>
      </c>
      <c r="EC7" s="10">
        <f>IF(管理者入力シート!$B$14=1,EB4*管理者用人口入力シート!AO$4,IF(管理者入力シート!$B$14=2,EB4*管理者用人口入力シート!AO$8))</f>
        <v>1.0954451150103321</v>
      </c>
      <c r="ED7" s="10">
        <f>IF(管理者入力シート!$B$14=1,EC4*管理者用人口入力シート!AP$4,IF(管理者入力シート!$B$14=2,EC4*管理者用人口入力シート!AP$8))</f>
        <v>4.2426406871192857</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4</v>
      </c>
      <c r="EH7" s="10">
        <f>IF(管理者入力シート!$B$14=1,EG4*管理者用人口入力シート!AT$4,IF(管理者入力シート!$B$14=2,EG4*管理者用人口入力シート!AT$8))</f>
        <v>2</v>
      </c>
      <c r="EI7" s="10">
        <f>IF(管理者入力シート!$B$14=1,EH4*管理者用人口入力シート!AU$4,IF(管理者入力シート!$B$14=2,EH4*管理者用人口入力シート!AU$8))</f>
        <v>3.4641016151377544</v>
      </c>
      <c r="EJ7" s="10">
        <f>IF(管理者入力シート!$B$14=1,EI4*管理者用人口入力シート!AV$4,IF(管理者入力シート!$B$14=2,EI4*管理者用人口入力シート!AV$8))</f>
        <v>2.3094010767585029</v>
      </c>
      <c r="EK7" s="10">
        <f>IF(管理者入力シート!$B$14=1,EJ4*管理者用人口入力シート!AW$4,IF(管理者入力シート!$B$14=2,EJ4*管理者用人口入力シート!AW$8))</f>
        <v>1</v>
      </c>
      <c r="EL7" s="10">
        <f>IF(管理者入力シート!$B$14=1,EK4*管理者用人口入力シート!AX$4,IF(管理者入力シート!$B$14=2,EK4*管理者用人口入力シート!AX$8))</f>
        <v>4</v>
      </c>
      <c r="EM7" s="10">
        <f>IF(管理者入力シート!$B$14=1,EL4*管理者用人口入力シート!AY$4,IF(管理者入力シート!$B$14=2,EL4*管理者用人口入力シート!AY$8))</f>
        <v>2</v>
      </c>
      <c r="EN7" s="10">
        <f>IF(管理者入力シート!$B$14=1,EM4*管理者用人口入力シート!AZ$4,IF(管理者入力シート!$B$14=2,EM4*管理者用人口入力シート!AZ$8))</f>
        <v>7</v>
      </c>
      <c r="EO7" s="10">
        <f>IF(管理者入力シート!$B$14=1,EN4*管理者用人口入力シート!BA$4,IF(管理者入力シート!$B$14=2,EN4*管理者用人口入力シート!BA$8))</f>
        <v>0.94868329805051377</v>
      </c>
      <c r="EP7" s="10">
        <f>IF(管理者入力シート!$B$14=1,EO4*管理者用人口入力シート!BB$4,IF(管理者入力シート!$B$14=2,EO4*管理者用人口入力シート!BB$8))</f>
        <v>3.4112114616897666</v>
      </c>
      <c r="EQ7" s="10">
        <f>IF(管理者入力シート!$B$14=1,EP4*管理者用人口入力シート!BC$4,IF(管理者入力シート!$B$14=2,EP4*管理者用人口入力シート!BC$8))</f>
        <v>0.53721530935025341</v>
      </c>
      <c r="ER7" s="10">
        <f>IF(管理者入力シート!$B$14=1,EQ4*管理者用人口入力シート!BD$4,IF(管理者入力シート!$B$14=2,EQ4*管理者用人口入力シート!BD$8))</f>
        <v>1.5118578920369088</v>
      </c>
      <c r="ES7" s="10">
        <f>IF(管理者入力シート!$B$14=1,ER4*管理者用人口入力シート!BE$4,IF(管理者入力シート!$B$14=2,ER4*管理者用人口入力シート!BE$8))</f>
        <v>1.5811388300841897E-3</v>
      </c>
      <c r="ET7" s="10">
        <f>IF(管理者入力シート!$B$14=1,ES4*管理者用人口入力シート!BF$4,IF(管理者入力シート!$B$14=2,ES4*管理者用人口入力シート!BF$8))</f>
        <v>1.9999999999999999E-6</v>
      </c>
      <c r="EU7" s="10">
        <f t="shared" si="42"/>
        <v>47.582876127342892</v>
      </c>
      <c r="EV7" s="10">
        <f t="shared" si="31"/>
        <v>1.9879137825918403</v>
      </c>
      <c r="EW7" s="10">
        <f t="shared" si="32"/>
        <v>0.91190934602961737</v>
      </c>
      <c r="EX7" s="10">
        <f t="shared" si="7"/>
        <v>15.410551099957528</v>
      </c>
      <c r="EY7" s="10">
        <f t="shared" si="33"/>
        <v>6.4105510999575275</v>
      </c>
      <c r="EZ7" s="14">
        <f t="shared" si="34"/>
        <v>0.3238675833448002</v>
      </c>
      <c r="FA7" s="14">
        <f t="shared" si="35"/>
        <v>0.13472390955942629</v>
      </c>
      <c r="FB7" s="10">
        <f t="shared" si="43"/>
        <v>11.242640687119286</v>
      </c>
    </row>
    <row r="8" spans="1:158" x14ac:dyDescent="0.15">
      <c r="A8" s="7" t="str">
        <f t="shared" si="8"/>
        <v>2010_3</v>
      </c>
      <c r="B8" s="30">
        <v>2010</v>
      </c>
      <c r="C8" s="5" t="s">
        <v>23</v>
      </c>
      <c r="D8" s="11">
        <v>7</v>
      </c>
      <c r="E8" s="11">
        <v>3</v>
      </c>
      <c r="F8" s="11">
        <v>1</v>
      </c>
      <c r="G8" s="11">
        <v>2</v>
      </c>
      <c r="H8" s="11">
        <v>2</v>
      </c>
      <c r="I8" s="11">
        <v>8</v>
      </c>
      <c r="J8" s="11">
        <v>7</v>
      </c>
      <c r="K8" s="11">
        <v>1</v>
      </c>
      <c r="L8" s="11">
        <v>4</v>
      </c>
      <c r="M8" s="11">
        <v>8</v>
      </c>
      <c r="N8" s="11">
        <v>15</v>
      </c>
      <c r="O8" s="11">
        <v>7</v>
      </c>
      <c r="P8" s="11">
        <v>7</v>
      </c>
      <c r="Q8" s="11">
        <v>3</v>
      </c>
      <c r="R8" s="11">
        <v>15</v>
      </c>
      <c r="S8" s="11">
        <v>17</v>
      </c>
      <c r="T8" s="11">
        <v>15</v>
      </c>
      <c r="U8" s="11">
        <v>5</v>
      </c>
      <c r="V8" s="11">
        <v>3</v>
      </c>
      <c r="W8" s="11">
        <v>0</v>
      </c>
      <c r="X8" s="11">
        <v>0</v>
      </c>
      <c r="Y8" s="11">
        <f t="shared" si="39"/>
        <v>130</v>
      </c>
      <c r="Z8" s="11">
        <f t="shared" si="9"/>
        <v>2.4</v>
      </c>
      <c r="AA8" s="11">
        <f t="shared" si="10"/>
        <v>0.8</v>
      </c>
      <c r="AB8" s="11">
        <f t="shared" si="0"/>
        <v>58</v>
      </c>
      <c r="AC8" s="11">
        <f t="shared" si="11"/>
        <v>40</v>
      </c>
      <c r="AD8" s="15">
        <f t="shared" si="12"/>
        <v>0.44615384615384618</v>
      </c>
      <c r="AE8" s="15">
        <f t="shared" si="13"/>
        <v>0.30769230769230771</v>
      </c>
      <c r="AF8" s="11">
        <f t="shared" si="14"/>
        <v>18</v>
      </c>
      <c r="AH8" s="7"/>
      <c r="AI8" s="30" t="s">
        <v>88</v>
      </c>
      <c r="AJ8" s="5">
        <f>AJ7</f>
        <v>2010</v>
      </c>
      <c r="AK8" s="5">
        <f>AK7</f>
        <v>2020</v>
      </c>
      <c r="AL8" s="33" t="s">
        <v>22</v>
      </c>
      <c r="AM8" s="47">
        <f t="shared" si="44"/>
        <v>1.5811388300841898</v>
      </c>
      <c r="AN8" s="47">
        <f t="shared" si="44"/>
        <v>0.54772255750516607</v>
      </c>
      <c r="AO8" s="47">
        <f t="shared" si="44"/>
        <v>1</v>
      </c>
      <c r="AP8" s="47">
        <f t="shared" si="44"/>
        <v>1.4142135623730951</v>
      </c>
      <c r="AQ8" s="47">
        <f t="shared" si="44"/>
        <v>1</v>
      </c>
      <c r="AR8" s="47">
        <f t="shared" si="44"/>
        <v>1</v>
      </c>
      <c r="AS8" s="47">
        <f t="shared" si="44"/>
        <v>1</v>
      </c>
      <c r="AT8" s="47">
        <f t="shared" si="44"/>
        <v>1</v>
      </c>
      <c r="AU8" s="47">
        <f t="shared" si="44"/>
        <v>1.1547005383792515</v>
      </c>
      <c r="AV8" s="47">
        <f t="shared" si="44"/>
        <v>1</v>
      </c>
      <c r="AW8" s="47">
        <f t="shared" si="44"/>
        <v>1</v>
      </c>
      <c r="AX8" s="47">
        <f t="shared" si="44"/>
        <v>1</v>
      </c>
      <c r="AY8" s="47">
        <f t="shared" si="44"/>
        <v>1</v>
      </c>
      <c r="AZ8" s="47">
        <f t="shared" si="44"/>
        <v>1</v>
      </c>
      <c r="BA8" s="47">
        <f t="shared" si="44"/>
        <v>0.94868329805051377</v>
      </c>
      <c r="BB8" s="47">
        <f t="shared" si="44"/>
        <v>0.89893314995098939</v>
      </c>
      <c r="BC8" s="47">
        <f t="shared" si="44"/>
        <v>0.59761430466719678</v>
      </c>
      <c r="BD8" s="47">
        <f t="shared" si="44"/>
        <v>0.31622776601683794</v>
      </c>
      <c r="BE8" s="47">
        <f t="shared" si="44"/>
        <v>1E-3</v>
      </c>
      <c r="BF8" s="47">
        <f t="shared" si="44"/>
        <v>1E-3</v>
      </c>
      <c r="BH8" s="7" t="str">
        <f t="shared" si="16"/>
        <v>2030_3</v>
      </c>
      <c r="BI8" s="30">
        <f>BI7</f>
        <v>2030</v>
      </c>
      <c r="BJ8" s="5" t="s">
        <v>23</v>
      </c>
      <c r="BK8" s="16">
        <f t="shared" ref="BK8:CE8" si="45">BK6+BK7</f>
        <v>3.1213203435596428</v>
      </c>
      <c r="BL8" s="16">
        <f t="shared" si="45"/>
        <v>2.1266835556741706</v>
      </c>
      <c r="BM8" s="16">
        <f t="shared" si="45"/>
        <v>2.4221163669112311</v>
      </c>
      <c r="BN8" s="16">
        <f t="shared" si="45"/>
        <v>4.2577227751787117</v>
      </c>
      <c r="BO8" s="16">
        <f t="shared" si="45"/>
        <v>6.2426406871192857</v>
      </c>
      <c r="BP8" s="16">
        <f t="shared" si="45"/>
        <v>1.4142135623730951</v>
      </c>
      <c r="BQ8" s="16">
        <f t="shared" si="45"/>
        <v>0</v>
      </c>
      <c r="BR8" s="16">
        <f t="shared" si="45"/>
        <v>3.0392304845413265</v>
      </c>
      <c r="BS8" s="16">
        <f t="shared" si="45"/>
        <v>4.6742346141747673</v>
      </c>
      <c r="BT8" s="16">
        <f t="shared" si="45"/>
        <v>7.3370849613451714</v>
      </c>
      <c r="BU8" s="16">
        <f t="shared" si="45"/>
        <v>9.3804688886239784</v>
      </c>
      <c r="BV8" s="16">
        <f t="shared" si="45"/>
        <v>1</v>
      </c>
      <c r="BW8" s="16">
        <f t="shared" si="45"/>
        <v>5.8708286933869704</v>
      </c>
      <c r="BX8" s="16">
        <f t="shared" si="45"/>
        <v>7.1234753829797999</v>
      </c>
      <c r="BY8" s="16">
        <f t="shared" si="45"/>
        <v>13.390096504226939</v>
      </c>
      <c r="BZ8" s="16">
        <f t="shared" si="45"/>
        <v>4.821666644257931</v>
      </c>
      <c r="CA8" s="16">
        <f t="shared" si="45"/>
        <v>5.1432622692586438</v>
      </c>
      <c r="CB8" s="16">
        <f t="shared" si="45"/>
        <v>1.828209758086059</v>
      </c>
      <c r="CC8" s="16">
        <f t="shared" si="45"/>
        <v>2.5118578920369088</v>
      </c>
      <c r="CD8" s="16">
        <f t="shared" si="45"/>
        <v>4.4678901760323185E-3</v>
      </c>
      <c r="CE8" s="16">
        <f t="shared" si="45"/>
        <v>3.9999999999999998E-6</v>
      </c>
      <c r="CF8" s="11">
        <f t="shared" si="2"/>
        <v>85.709585273910676</v>
      </c>
      <c r="CG8" s="11">
        <f t="shared" si="17"/>
        <v>2.7292799535512411</v>
      </c>
      <c r="CH8" s="11">
        <f t="shared" si="18"/>
        <v>1.8203911018002348</v>
      </c>
      <c r="CI8" s="11">
        <f t="shared" si="3"/>
        <v>34.823040341022306</v>
      </c>
      <c r="CJ8" s="11">
        <f t="shared" si="19"/>
        <v>14.309468453815576</v>
      </c>
      <c r="CK8" s="15">
        <f t="shared" si="20"/>
        <v>0.40629108436045797</v>
      </c>
      <c r="CL8" s="15">
        <f t="shared" si="21"/>
        <v>0.1669529540725857</v>
      </c>
      <c r="CM8" s="11">
        <f t="shared" si="22"/>
        <v>10.696084734033708</v>
      </c>
      <c r="CO8" s="7" t="str">
        <f t="shared" si="23"/>
        <v>2030_3</v>
      </c>
      <c r="CP8" s="30">
        <f>CP7</f>
        <v>2030</v>
      </c>
      <c r="CQ8" s="5" t="s">
        <v>23</v>
      </c>
      <c r="CR8" s="16">
        <f t="shared" ref="CR8:DL8" si="46">CR6+CR7</f>
        <v>7.1213203435596419</v>
      </c>
      <c r="CS8" s="16">
        <f t="shared" si="46"/>
        <v>4.7989118369383217</v>
      </c>
      <c r="CT8" s="16">
        <f t="shared" si="46"/>
        <v>4.4221163669112311</v>
      </c>
      <c r="CU8" s="16">
        <f t="shared" si="46"/>
        <v>6.2577227751787117</v>
      </c>
      <c r="CV8" s="16">
        <f t="shared" si="46"/>
        <v>6.2426406871192857</v>
      </c>
      <c r="CW8" s="16">
        <f t="shared" si="46"/>
        <v>5.4142135623730949</v>
      </c>
      <c r="CX8" s="16">
        <f t="shared" si="46"/>
        <v>3.5491933384829668</v>
      </c>
      <c r="CY8" s="16">
        <f t="shared" si="46"/>
        <v>3.0392304845413265</v>
      </c>
      <c r="CZ8" s="16">
        <f t="shared" si="46"/>
        <v>5.6742346141747673</v>
      </c>
      <c r="DA8" s="16">
        <f t="shared" si="46"/>
        <v>8.491785499724422</v>
      </c>
      <c r="DB8" s="16">
        <f t="shared" si="46"/>
        <v>9.3804688886239784</v>
      </c>
      <c r="DC8" s="16">
        <f t="shared" si="46"/>
        <v>1</v>
      </c>
      <c r="DD8" s="16">
        <f t="shared" si="46"/>
        <v>5.8708286933869704</v>
      </c>
      <c r="DE8" s="16">
        <f t="shared" si="46"/>
        <v>7.1234753829797999</v>
      </c>
      <c r="DF8" s="16">
        <f t="shared" si="46"/>
        <v>13.390096504226939</v>
      </c>
      <c r="DG8" s="16">
        <f t="shared" si="46"/>
        <v>4.821666644257931</v>
      </c>
      <c r="DH8" s="16">
        <f t="shared" si="46"/>
        <v>5.1432622692586438</v>
      </c>
      <c r="DI8" s="16">
        <f t="shared" si="46"/>
        <v>1.828209758086059</v>
      </c>
      <c r="DJ8" s="16">
        <f t="shared" si="46"/>
        <v>2.5118578920369088</v>
      </c>
      <c r="DK8" s="16">
        <f t="shared" si="46"/>
        <v>4.4678901760323185E-3</v>
      </c>
      <c r="DL8" s="16">
        <f t="shared" si="46"/>
        <v>3.9999999999999998E-6</v>
      </c>
      <c r="DM8" s="11">
        <f t="shared" si="40"/>
        <v>106.08570743203703</v>
      </c>
      <c r="DN8" s="11">
        <f t="shared" si="25"/>
        <v>5.5326169223097317</v>
      </c>
      <c r="DO8" s="11">
        <f t="shared" si="26"/>
        <v>3.020391101800235</v>
      </c>
      <c r="DP8" s="11">
        <f t="shared" si="5"/>
        <v>34.823040341022306</v>
      </c>
      <c r="DQ8" s="11">
        <f t="shared" si="27"/>
        <v>14.309468453815576</v>
      </c>
      <c r="DR8" s="15">
        <f t="shared" si="28"/>
        <v>0.32825383535601543</v>
      </c>
      <c r="DS8" s="15">
        <f t="shared" si="29"/>
        <v>0.13488592196062626</v>
      </c>
      <c r="DT8" s="11">
        <f t="shared" si="41"/>
        <v>18.245278072516673</v>
      </c>
      <c r="DV8" s="7" t="s">
        <v>402</v>
      </c>
      <c r="DW8" s="209">
        <f>(SUM(BK13:BW13)-SUM(D13:P13))/4</f>
        <v>-0.76331972474806165</v>
      </c>
      <c r="DX8" s="30">
        <f>DX7</f>
        <v>2030</v>
      </c>
      <c r="DY8" s="5" t="s">
        <v>23</v>
      </c>
      <c r="DZ8" s="16">
        <f>DZ6+DZ7</f>
        <v>5.6213203435596428</v>
      </c>
      <c r="EA8" s="16">
        <f t="shared" ref="EA8:ET8" si="47">EA6+EA7</f>
        <v>2.1266835556741706</v>
      </c>
      <c r="EB8" s="16">
        <f t="shared" si="47"/>
        <v>2.4221163669112311</v>
      </c>
      <c r="EC8" s="16">
        <f t="shared" si="47"/>
        <v>4.2577227751787117</v>
      </c>
      <c r="ED8" s="16">
        <f t="shared" si="47"/>
        <v>6.2426406871192857</v>
      </c>
      <c r="EE8" s="16">
        <f t="shared" si="47"/>
        <v>3.4142135623730949</v>
      </c>
      <c r="EF8" s="16">
        <f t="shared" si="47"/>
        <v>3.7745966692414834</v>
      </c>
      <c r="EG8" s="16">
        <f t="shared" si="47"/>
        <v>7.3808712710412001</v>
      </c>
      <c r="EH8" s="16">
        <f t="shared" si="47"/>
        <v>6.5871055433500443</v>
      </c>
      <c r="EI8" s="16">
        <f t="shared" si="47"/>
        <v>7.3370849613451714</v>
      </c>
      <c r="EJ8" s="16">
        <f t="shared" si="47"/>
        <v>9.3804688886239784</v>
      </c>
      <c r="EK8" s="16">
        <f t="shared" si="47"/>
        <v>1</v>
      </c>
      <c r="EL8" s="16">
        <f t="shared" si="47"/>
        <v>5.8708286933869704</v>
      </c>
      <c r="EM8" s="16">
        <f t="shared" si="47"/>
        <v>7.1234753829797999</v>
      </c>
      <c r="EN8" s="16">
        <f t="shared" si="47"/>
        <v>13.390096504226939</v>
      </c>
      <c r="EO8" s="16">
        <f t="shared" si="47"/>
        <v>4.821666644257931</v>
      </c>
      <c r="EP8" s="16">
        <f t="shared" si="47"/>
        <v>5.1432622692586438</v>
      </c>
      <c r="EQ8" s="16">
        <f t="shared" si="47"/>
        <v>1.828209758086059</v>
      </c>
      <c r="ER8" s="16">
        <f t="shared" si="47"/>
        <v>2.5118578920369088</v>
      </c>
      <c r="ES8" s="16">
        <f t="shared" si="47"/>
        <v>4.4678901760323185E-3</v>
      </c>
      <c r="ET8" s="16">
        <f t="shared" si="47"/>
        <v>3.9999999999999998E-6</v>
      </c>
      <c r="EU8" s="11">
        <f t="shared" si="42"/>
        <v>100.23869365882732</v>
      </c>
      <c r="EV8" s="11">
        <f t="shared" si="31"/>
        <v>2.7292799535512411</v>
      </c>
      <c r="EW8" s="11">
        <f t="shared" si="32"/>
        <v>1.8203911018002348</v>
      </c>
      <c r="EX8" s="11">
        <f t="shared" si="7"/>
        <v>34.823040341022306</v>
      </c>
      <c r="EY8" s="11">
        <f t="shared" si="33"/>
        <v>14.309468453815576</v>
      </c>
      <c r="EZ8" s="15">
        <f t="shared" si="34"/>
        <v>0.34740117882567484</v>
      </c>
      <c r="FA8" s="15">
        <f t="shared" si="35"/>
        <v>0.14275393993580285</v>
      </c>
      <c r="FB8" s="11">
        <f t="shared" si="43"/>
        <v>20.812322189775063</v>
      </c>
    </row>
    <row r="9" spans="1:158" x14ac:dyDescent="0.15">
      <c r="A9" s="7" t="str">
        <f t="shared" si="8"/>
        <v>2015_1</v>
      </c>
      <c r="B9" s="28">
        <v>2015</v>
      </c>
      <c r="C9" s="3" t="s">
        <v>21</v>
      </c>
      <c r="D9" s="9">
        <v>7</v>
      </c>
      <c r="E9" s="9">
        <v>5</v>
      </c>
      <c r="F9" s="9">
        <v>1</v>
      </c>
      <c r="G9" s="9">
        <v>0</v>
      </c>
      <c r="H9" s="9">
        <v>1</v>
      </c>
      <c r="I9" s="9">
        <v>2</v>
      </c>
      <c r="J9" s="9">
        <v>2</v>
      </c>
      <c r="K9" s="9">
        <v>6</v>
      </c>
      <c r="L9" s="9">
        <v>0</v>
      </c>
      <c r="M9" s="9">
        <v>2</v>
      </c>
      <c r="N9" s="9">
        <v>6</v>
      </c>
      <c r="O9" s="9">
        <v>8</v>
      </c>
      <c r="P9" s="9">
        <v>6</v>
      </c>
      <c r="Q9" s="9">
        <v>3</v>
      </c>
      <c r="R9" s="9">
        <v>2</v>
      </c>
      <c r="S9" s="9">
        <v>3</v>
      </c>
      <c r="T9" s="9">
        <v>5</v>
      </c>
      <c r="U9" s="9">
        <v>6</v>
      </c>
      <c r="V9" s="9">
        <v>0</v>
      </c>
      <c r="W9" s="9">
        <v>0</v>
      </c>
      <c r="X9" s="9">
        <v>0</v>
      </c>
      <c r="Y9" s="9">
        <f t="shared" si="39"/>
        <v>65</v>
      </c>
      <c r="Z9" s="9">
        <f t="shared" si="9"/>
        <v>3.6</v>
      </c>
      <c r="AA9" s="9">
        <f t="shared" si="10"/>
        <v>0.4</v>
      </c>
      <c r="AB9" s="9">
        <f t="shared" si="0"/>
        <v>19</v>
      </c>
      <c r="AC9" s="9">
        <f t="shared" si="11"/>
        <v>14</v>
      </c>
      <c r="AD9" s="13">
        <f t="shared" si="12"/>
        <v>0.29230769230769232</v>
      </c>
      <c r="AE9" s="13">
        <f t="shared" si="13"/>
        <v>0.2153846153846154</v>
      </c>
      <c r="AF9" s="9">
        <f t="shared" si="14"/>
        <v>11</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0.96530567093370867</v>
      </c>
      <c r="BL9" s="9">
        <f>IF(管理者入力シート!$B$14=1,BK6*管理者用人口入力シート!AM$3,IF(管理者入力シート!$B$14=2,BK6*管理者用人口入力シート!AM$7))</f>
        <v>1.1352132335371135</v>
      </c>
      <c r="BM9" s="9">
        <f>IF(管理者入力シート!$B$14=1,BL6*管理者用人口入力シート!AN$3,IF(管理者入力シート!$B$14=2,BL6*管理者用人口入力シート!AN$7))</f>
        <v>0.34503277967117707</v>
      </c>
      <c r="BN9" s="9">
        <f>IF(管理者入力シート!$B$14=1,BM6*管理者用人口入力シート!AO$3,IF(管理者入力シート!$B$14=2,BM6*管理者用人口入力シート!AO$7))</f>
        <v>0.69006555934235414</v>
      </c>
      <c r="BO9" s="9">
        <f>IF(管理者入力シート!$B$14=1,BN6*管理者用人口入力シート!AP$3,IF(管理者入力シート!$B$14=2,BN6*管理者用人口入力シート!AP$7))</f>
        <v>3.1622776601683795</v>
      </c>
      <c r="BP9" s="9">
        <f>IF(管理者入力シート!$B$14=1,BO6*管理者用人口入力シート!AQ$3,IF(管理者入力シート!$B$14=2,BO6*管理者用人口入力シート!AQ$7))</f>
        <v>2.8284271247461903</v>
      </c>
      <c r="BQ9" s="9">
        <f>IF(管理者入力シート!$B$14=1,BP6*管理者用人口入力シート!AR$3,IF(管理者入力シート!$B$14=2,BP6*管理者用人口入力シート!AR$7))</f>
        <v>1.0954451150103324</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0.94868329805051399</v>
      </c>
      <c r="BT9" s="9">
        <f>IF(管理者入力シート!$B$14=1,BS6*管理者用人口入力シート!AU$3,IF(管理者入力シート!$B$14=2,BS6*管理者用人口入力シート!AU$7))</f>
        <v>5.196152422706632</v>
      </c>
      <c r="BU9" s="9">
        <f>IF(管理者入力シート!$B$14=1,BT6*管理者用人口入力シート!AV$3,IF(管理者入力シート!$B$14=2,BT6*管理者用人口入力シート!AV$7))</f>
        <v>3.872983346207417</v>
      </c>
      <c r="BV9" s="9">
        <f>IF(管理者入力シート!$B$14=1,BU6*管理者用人口入力シート!AW$3,IF(管理者入力シート!$B$14=2,BU6*管理者用人口入力シート!AW$7))</f>
        <v>7.0710678118654755</v>
      </c>
      <c r="BW9" s="9">
        <f>IF(管理者入力シート!$B$14=1,BV6*管理者用人口入力シート!AX$3,IF(管理者入力シート!$B$14=2,BV6*管理者用人口入力シート!AX$7))</f>
        <v>0</v>
      </c>
      <c r="BX9" s="9">
        <f>IF(管理者入力シート!$B$14=1,BW6*管理者用人口入力シート!AY$3,IF(管理者入力シート!$B$14=2,BW6*管理者用人口入力シート!AY$7))</f>
        <v>1.7078251276599332</v>
      </c>
      <c r="BY9" s="9">
        <f>IF(管理者入力シート!$B$14=1,BX6*管理者用人口入力シート!AZ$3,IF(管理者入力シート!$B$14=2,BX6*管理者用人口入力シート!AZ$7))</f>
        <v>5.1234753829797999</v>
      </c>
      <c r="BZ9" s="9">
        <f>IF(管理者入力シート!$B$14=1,BY6*管理者用人口入力シート!BA$3,IF(管理者入力シート!$B$14=2,BY6*管理者用人口入力シート!BA$7))</f>
        <v>4.9497474683058327</v>
      </c>
      <c r="CA9" s="9">
        <f>IF(管理者入力シート!$B$14=1,BZ6*管理者用人口入力シート!BB$3,IF(管理者入力シート!$B$14=2,BZ6*管理者用人口入力シート!BB$7))</f>
        <v>2.8867513459481291</v>
      </c>
      <c r="CB9" s="9">
        <f>IF(管理者入力シート!$B$14=1,CA6*管理者用人口入力シート!BC$3,IF(管理者入力シート!$B$14=2,CA6*管理者用人口入力シート!BC$7))</f>
        <v>1.5</v>
      </c>
      <c r="CC9" s="9">
        <f>IF(管理者入力シート!$B$14=1,CB6*管理者用人口入力シート!BD$3,IF(管理者入力シート!$B$14=2,CB6*管理者用人口入力シート!BD$7))</f>
        <v>0.74535599249992979</v>
      </c>
      <c r="CD9" s="9">
        <f>IF(管理者入力シート!$B$14=1,CC6*管理者用人口入力シート!BE$3,IF(管理者入力シート!$B$14=2,CC6*管理者用人口入力シート!BE$7))</f>
        <v>9.999999999999998E-4</v>
      </c>
      <c r="CE9" s="9">
        <f>IF(管理者入力シート!$B$14=1,CD6*管理者用人口入力シート!BF$3,IF(管理者入力シート!$B$14=2,CD6*管理者用人口入力シート!BF$7))</f>
        <v>2.8867513459481285E-6</v>
      </c>
      <c r="CF9" s="9">
        <f t="shared" si="2"/>
        <v>44.224812226384259</v>
      </c>
      <c r="CG9" s="9">
        <f t="shared" si="17"/>
        <v>0.88814760792497427</v>
      </c>
      <c r="CH9" s="9">
        <f t="shared" si="18"/>
        <v>0.27602622373694163</v>
      </c>
      <c r="CI9" s="9">
        <f t="shared" si="3"/>
        <v>16.914158204144972</v>
      </c>
      <c r="CJ9" s="9">
        <f t="shared" si="19"/>
        <v>10.082857693505236</v>
      </c>
      <c r="CK9" s="13">
        <f t="shared" si="20"/>
        <v>0.38245856460763189</v>
      </c>
      <c r="CL9" s="13">
        <f t="shared" si="21"/>
        <v>0.22799096674264371</v>
      </c>
      <c r="CM9" s="9">
        <f t="shared" si="22"/>
        <v>7.0861498999249024</v>
      </c>
      <c r="CO9" s="7" t="str">
        <f t="shared" si="23"/>
        <v>2035_1</v>
      </c>
      <c r="CP9" s="28">
        <f>管理者入力シート!B10</f>
        <v>2035</v>
      </c>
      <c r="CQ9" s="3" t="s">
        <v>21</v>
      </c>
      <c r="CR9" s="9">
        <f>DT10*$AK$13+将来予測シート②!$G17</f>
        <v>3.2010079313292246</v>
      </c>
      <c r="CS9" s="9">
        <f>IF(管理者入力シート!$B$14=1,CR6*管理者用人口入力シート!AM$3,IF(管理者入力シート!$B$14=2,CR6*管理者用人口入力シート!AM$7))+将来予測シート②!$G18</f>
        <v>2.9536956521703832</v>
      </c>
      <c r="CT9" s="9">
        <f>IF(管理者入力シート!$B$14=1,CS6*管理者用人口入力シート!AN$3,IF(管理者入力シート!$B$14=2,CS6*管理者用人口入力シート!AN$7))+将来予測シート②!$G19</f>
        <v>2.0350983390135311</v>
      </c>
      <c r="CU9" s="9">
        <f>IF(管理者入力シート!$B$14=1,CT6*管理者用人口入力シート!AO$3,IF(管理者入力シート!$B$14=2,CT6*管理者用人口入力シート!AO$7))+将来予測シート②!$G20</f>
        <v>1.6900655593423541</v>
      </c>
      <c r="CV9" s="9">
        <f>IF(管理者入力シート!$B$14=1,CU6*管理者用人口入力シート!AP$3,IF(管理者入力シート!$B$14=2,CU6*管理者用人口入力シート!AP$7))+将来予測シート②!$G21</f>
        <v>4.16227766016838</v>
      </c>
      <c r="CW9" s="9">
        <f>IF(管理者入力シート!$B$14=1,CV6*管理者用人口入力シート!AQ$3,IF(管理者入力シート!$B$14=2,CV6*管理者用人口入力シート!AQ$7))+将来予測シート②!$G22</f>
        <v>4.8284271247461898</v>
      </c>
      <c r="CX9" s="9">
        <f>IF(管理者入力シート!$B$14=1,CW6*管理者用人口入力シート!AR$3,IF(管理者入力シート!$B$14=2,CW6*管理者用人口入力シート!AR$7))+将来予測シート②!$G23</f>
        <v>2.644638453493299</v>
      </c>
      <c r="CY9" s="9">
        <f>IF(管理者入力シート!$B$14=1,CX6*管理者用人口入力シート!AS$3,IF(管理者入力シート!$B$14=2,CX6*管理者用人口入力シート!AS$7))+将来予測シート②!$G24</f>
        <v>2.078460969082653</v>
      </c>
      <c r="CZ9" s="9">
        <f>IF(管理者入力シート!$B$14=1,CY6*管理者用人口入力シート!AT$3,IF(管理者入力シート!$B$14=2,CY6*管理者用人口入力シート!AT$7))+将来予測シート②!$G25</f>
        <v>0.94868329805051399</v>
      </c>
      <c r="DA9" s="9">
        <f>IF(管理者入力シート!$B$14=1,CZ6*管理者用人口入力シート!AU$3,IF(管理者入力シート!$B$14=2,CZ6*管理者用人口入力シート!AU$7))+将来予測シート②!$G26</f>
        <v>5.196152422706632</v>
      </c>
      <c r="DB9" s="9">
        <f>IF(管理者入力シート!$B$14=1,DA6*管理者用人口入力シート!AV$3,IF(管理者入力シート!$B$14=2,DA6*管理者用人口入力シート!AV$7))+将来予測シート②!$G27</f>
        <v>3.872983346207417</v>
      </c>
      <c r="DC9" s="9">
        <f>IF(管理者入力シート!$B$14=1,DB6*管理者用人口入力シート!AW$3,IF(管理者入力シート!$B$14=2,DB6*管理者用人口入力シート!AW$7))+将来予測シート②!$G28</f>
        <v>7.0710678118654755</v>
      </c>
      <c r="DD9" s="9">
        <f>IF(管理者入力シート!$B$14=1,DC6*管理者用人口入力シート!AX$3,IF(管理者入力シート!$B$14=2,DC6*管理者用人口入力シート!AX$7))+将来予測シート②!$G29</f>
        <v>0</v>
      </c>
      <c r="DE9" s="9">
        <f>IF(管理者入力シート!$B$14=1,DD6*管理者用人口入力シート!AY$3,IF(管理者入力シート!$B$14=2,DD6*管理者用人口入力シート!AY$7))</f>
        <v>1.7078251276599332</v>
      </c>
      <c r="DF9" s="9">
        <f>IF(管理者入力シート!$B$14=1,DE6*管理者用人口入力シート!AZ$3,IF(管理者入力シート!$B$14=2,DE6*管理者用人口入力シート!AZ$7))</f>
        <v>5.1234753829797999</v>
      </c>
      <c r="DG9" s="9">
        <f>IF(管理者入力シート!$B$14=1,DF6*管理者用人口入力シート!BA$3,IF(管理者入力シート!$B$14=2,DF6*管理者用人口入力シート!BA$7))</f>
        <v>4.9497474683058327</v>
      </c>
      <c r="DH9" s="9">
        <f>IF(管理者入力シート!$B$14=1,DG6*管理者用人口入力シート!BB$3,IF(管理者入力シート!$B$14=2,DG6*管理者用人口入力シート!BB$7))</f>
        <v>2.8867513459481291</v>
      </c>
      <c r="DI9" s="9">
        <f>IF(管理者入力シート!$B$14=1,DH6*管理者用人口入力シート!BC$3,IF(管理者入力シート!$B$14=2,DH6*管理者用人口入力シート!BC$7))</f>
        <v>1.5</v>
      </c>
      <c r="DJ9" s="9">
        <f>IF(管理者入力シート!$B$14=1,DI6*管理者用人口入力シート!BD$3,IF(管理者入力シート!$B$14=2,DI6*管理者用人口入力シート!BD$7))</f>
        <v>0.74535599249992979</v>
      </c>
      <c r="DK9" s="9">
        <f>IF(管理者入力シート!$B$14=1,DJ6*管理者用人口入力シート!BE$3,IF(管理者入力シート!$B$14=2,DJ6*管理者用人口入力シート!BE$7))</f>
        <v>9.999999999999998E-4</v>
      </c>
      <c r="DL9" s="9">
        <f>IF(管理者入力シート!$B$14=1,DK6*管理者用人口入力シート!BF$3,IF(管理者入力シート!$B$14=2,DK6*管理者用人口入力シート!BF$7))</f>
        <v>2.8867513459481285E-6</v>
      </c>
      <c r="DM9" s="9">
        <f t="shared" si="40"/>
        <v>57.596716772321017</v>
      </c>
      <c r="DN9" s="9">
        <f t="shared" si="25"/>
        <v>2.9932763947103487</v>
      </c>
      <c r="DO9" s="9">
        <f t="shared" si="26"/>
        <v>1.1520524474738831</v>
      </c>
      <c r="DP9" s="9">
        <f t="shared" si="5"/>
        <v>16.914158204144972</v>
      </c>
      <c r="DQ9" s="9">
        <f t="shared" si="27"/>
        <v>10.082857693505236</v>
      </c>
      <c r="DR9" s="13">
        <f t="shared" si="28"/>
        <v>0.29366531899737258</v>
      </c>
      <c r="DS9" s="13">
        <f t="shared" si="29"/>
        <v>0.17505959121528794</v>
      </c>
      <c r="DT9" s="9">
        <f t="shared" si="41"/>
        <v>13.713804207490522</v>
      </c>
      <c r="DV9" s="7" t="s">
        <v>403</v>
      </c>
      <c r="DW9" s="209">
        <f>DW7+DW8</f>
        <v>-2.4288862526268105</v>
      </c>
      <c r="DX9" s="28">
        <f>管理者入力シート!B10</f>
        <v>2035</v>
      </c>
      <c r="DY9" s="3" t="s">
        <v>21</v>
      </c>
      <c r="DZ9" s="9">
        <f>FB10*$AK$13</f>
        <v>1.9653056709337087</v>
      </c>
      <c r="EA9" s="129">
        <f>IF(管理者入力シート!$B$14=1,DZ6*管理者用人口入力シート!AM$3,IF(管理者入力シート!$B$14=2,DZ6*管理者用人口入力シート!AM$7))</f>
        <v>2.0444544428537483</v>
      </c>
      <c r="EB9" s="9">
        <f>IF(管理者入力シート!$B$14=1,EA6*管理者用人口入力シート!AN$3,IF(管理者入力シート!$B$14=2,EA6*管理者用人口入力シート!AN$7))</f>
        <v>0.34503277967117707</v>
      </c>
      <c r="EC9" s="9">
        <f>IF(管理者入力シート!$B$14=1,EB6*管理者用人口入力シート!AO$3,IF(管理者入力シート!$B$14=2,EB6*管理者用人口入力シート!AO$7))</f>
        <v>0.69006555934235414</v>
      </c>
      <c r="ED9" s="9">
        <f>IF(管理者入力シート!$B$14=1,EC6*管理者用人口入力シート!AP$3,IF(管理者入力シート!$B$14=2,EC6*管理者用人口入力シート!AP$7))</f>
        <v>3.1622776601683795</v>
      </c>
      <c r="EE9" s="9">
        <f>IF(管理者入力シート!$B$14=1,ED6*管理者用人口入力シート!AQ$3,IF(管理者入力シート!$B$14=2,ED6*管理者用人口入力シート!AQ$7))+DX1</f>
        <v>3.8284271247461903</v>
      </c>
      <c r="EF9" s="9">
        <f>IF(管理者入力シート!$B$14=1,EE6*管理者用人口入力シート!AR$3,IF(管理者入力シート!$B$14=2,EE6*管理者用人口入力シート!AR$7))+DX1</f>
        <v>2.8700417842518156</v>
      </c>
      <c r="EG9" s="9">
        <f>IF(管理者入力シート!$B$14=1,EF6*管理者用人口入力シート!AS$3,IF(管理者入力シート!$B$14=2,EF6*管理者用人口入力シート!AS$7))+DX1</f>
        <v>3.3808712710412001</v>
      </c>
      <c r="EH9" s="9">
        <f>IF(管理者入力シート!$B$14=1,EG6*管理者用人口入力シート!AT$3,IF(管理者入力シート!$B$14=2,EG6*管理者用人口入力シート!AT$7))</f>
        <v>3.0862990986173799</v>
      </c>
      <c r="EI9" s="9">
        <f>IF(管理者入力シート!$B$14=1,EH6*管理者用人口入力シート!AU$3,IF(管理者入力シート!$B$14=2,EH6*管理者用人口入力シート!AU$7))</f>
        <v>6.4871468714424383</v>
      </c>
      <c r="EJ9" s="9">
        <f>IF(管理者入力シート!$B$14=1,EI6*管理者用人口入力シート!AV$3,IF(管理者入力シート!$B$14=2,EI6*管理者用人口入力シート!AV$7))</f>
        <v>3.872983346207417</v>
      </c>
      <c r="EK9" s="9">
        <f>IF(管理者入力シート!$B$14=1,EJ6*管理者用人口入力シート!AW$3,IF(管理者入力シート!$B$14=2,EJ6*管理者用人口入力シート!AW$7))</f>
        <v>7.0710678118654755</v>
      </c>
      <c r="EL9" s="9">
        <f>IF(管理者入力シート!$B$14=1,EK6*管理者用人口入力シート!AX$3,IF(管理者入力シート!$B$14=2,EK6*管理者用人口入力シート!AX$7))</f>
        <v>0</v>
      </c>
      <c r="EM9" s="9">
        <f>IF(管理者入力シート!$B$14=1,EL6*管理者用人口入力シート!AY$3,IF(管理者入力シート!$B$14=2,EL6*管理者用人口入力シート!AY$7))</f>
        <v>1.7078251276599332</v>
      </c>
      <c r="EN9" s="9">
        <f>IF(管理者入力シート!$B$14=1,EM6*管理者用人口入力シート!AZ$3,IF(管理者入力シート!$B$14=2,EM6*管理者用人口入力シート!AZ$7))</f>
        <v>5.1234753829797999</v>
      </c>
      <c r="EO9" s="9">
        <f>IF(管理者入力シート!$B$14=1,EN6*管理者用人口入力シート!BA$3,IF(管理者入力シート!$B$14=2,EN6*管理者用人口入力シート!BA$7))</f>
        <v>4.9497474683058327</v>
      </c>
      <c r="EP9" s="9">
        <f>IF(管理者入力シート!$B$14=1,EO6*管理者用人口入力シート!BB$3,IF(管理者入力シート!$B$14=2,EO6*管理者用人口入力シート!BB$7))</f>
        <v>2.8867513459481291</v>
      </c>
      <c r="EQ9" s="9">
        <f>IF(管理者入力シート!$B$14=1,EP6*管理者用人口入力シート!BC$3,IF(管理者入力シート!$B$14=2,EP6*管理者用人口入力シート!BC$7))</f>
        <v>1.5</v>
      </c>
      <c r="ER9" s="9">
        <f>IF(管理者入力シート!$B$14=1,EQ6*管理者用人口入力シート!BD$3,IF(管理者入力シート!$B$14=2,EQ6*管理者用人口入力シート!BD$7))</f>
        <v>0.74535599249992979</v>
      </c>
      <c r="ES9" s="9">
        <f>IF(管理者入力シート!$B$14=1,ER6*管理者用人口入力シート!BE$3,IF(管理者入力シート!$B$14=2,ER6*管理者用人口入力シート!BE$7))</f>
        <v>9.999999999999998E-4</v>
      </c>
      <c r="ET9" s="9">
        <f>IF(管理者入力シート!$B$14=1,ES6*管理者用人口入力シート!BF$3,IF(管理者入力シート!$B$14=2,ES6*管理者用人口入力シート!BF$7))</f>
        <v>2.8867513459481285E-6</v>
      </c>
      <c r="EU9" s="9">
        <f t="shared" si="42"/>
        <v>55.71813162528624</v>
      </c>
      <c r="EV9" s="9">
        <f t="shared" si="31"/>
        <v>1.4336923335149554</v>
      </c>
      <c r="EW9" s="9">
        <f t="shared" si="32"/>
        <v>0.27602622373694163</v>
      </c>
      <c r="EX9" s="9">
        <f t="shared" si="7"/>
        <v>16.914158204144972</v>
      </c>
      <c r="EY9" s="9">
        <f t="shared" si="33"/>
        <v>10.082857693505236</v>
      </c>
      <c r="EZ9" s="13">
        <f t="shared" si="34"/>
        <v>0.30356650000210911</v>
      </c>
      <c r="FA9" s="13">
        <f t="shared" si="35"/>
        <v>0.18096187720927437</v>
      </c>
      <c r="FB9" s="9">
        <f t="shared" si="43"/>
        <v>13.241617840207585</v>
      </c>
    </row>
    <row r="10" spans="1:158" x14ac:dyDescent="0.15">
      <c r="A10" s="7" t="str">
        <f t="shared" si="8"/>
        <v>2015_2</v>
      </c>
      <c r="B10" s="29">
        <v>2015</v>
      </c>
      <c r="C10" s="4" t="s">
        <v>22</v>
      </c>
      <c r="D10" s="10">
        <v>1</v>
      </c>
      <c r="E10" s="10">
        <v>5</v>
      </c>
      <c r="F10" s="10">
        <v>1</v>
      </c>
      <c r="G10" s="10">
        <v>0</v>
      </c>
      <c r="H10" s="10">
        <v>2</v>
      </c>
      <c r="I10" s="10">
        <v>1</v>
      </c>
      <c r="J10" s="10">
        <v>3</v>
      </c>
      <c r="K10" s="10">
        <v>2</v>
      </c>
      <c r="L10" s="10">
        <v>1</v>
      </c>
      <c r="M10" s="10">
        <v>4</v>
      </c>
      <c r="N10" s="10">
        <v>2</v>
      </c>
      <c r="O10" s="10">
        <v>7</v>
      </c>
      <c r="P10" s="10">
        <v>1</v>
      </c>
      <c r="Q10" s="10">
        <v>4</v>
      </c>
      <c r="R10" s="10">
        <v>0</v>
      </c>
      <c r="S10" s="10">
        <v>9</v>
      </c>
      <c r="T10" s="10">
        <v>10</v>
      </c>
      <c r="U10" s="10">
        <v>5</v>
      </c>
      <c r="V10" s="10">
        <v>1</v>
      </c>
      <c r="W10" s="10">
        <v>0</v>
      </c>
      <c r="X10" s="10">
        <v>0</v>
      </c>
      <c r="Y10" s="10">
        <f t="shared" si="39"/>
        <v>59</v>
      </c>
      <c r="Z10" s="10">
        <f t="shared" si="9"/>
        <v>3.6</v>
      </c>
      <c r="AA10" s="10">
        <f t="shared" si="10"/>
        <v>0.4</v>
      </c>
      <c r="AB10" s="10">
        <f t="shared" si="0"/>
        <v>29</v>
      </c>
      <c r="AC10" s="10">
        <f t="shared" si="11"/>
        <v>25</v>
      </c>
      <c r="AD10" s="14">
        <f t="shared" si="12"/>
        <v>0.49152542372881358</v>
      </c>
      <c r="AE10" s="14">
        <f t="shared" si="13"/>
        <v>0.42372881355932202</v>
      </c>
      <c r="AF10" s="10">
        <f t="shared" si="14"/>
        <v>8</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1.9306113418674173</v>
      </c>
      <c r="BL10" s="10">
        <f>IF(管理者入力シート!$B$14=1,BK7*管理者用人口入力シート!AM$4,IF(管理者入力シート!$B$14=2,BK7*管理者用人口入力シート!AM$8))</f>
        <v>3.2901605308892501</v>
      </c>
      <c r="BM10" s="10">
        <f>IF(管理者入力シート!$B$14=1,BL7*管理者用人口入力シート!AN$4,IF(管理者入力シート!$B$14=2,BL7*管理者用人口入力シート!AN$8))</f>
        <v>0.8660254037844386</v>
      </c>
      <c r="BN10" s="10">
        <f>IF(管理者入力シート!$B$14=1,BM7*管理者用人口入力シート!AO$4,IF(管理者入力シート!$B$14=2,BM7*管理者用人口入力シート!AO$8))</f>
        <v>1.7320508075688772</v>
      </c>
      <c r="BO10" s="10">
        <f>IF(管理者入力シート!$B$14=1,BN7*管理者用人口入力シート!AP$4,IF(管理者入力シート!$B$14=2,BN7*管理者用人口入力シート!AP$8))</f>
        <v>1.5491933384829668</v>
      </c>
      <c r="BP10" s="10">
        <f>IF(管理者入力シート!$B$14=1,BO7*管理者用人口入力シート!AQ$4,IF(管理者入力シート!$B$14=2,BO7*管理者用人口入力シート!AQ$8))</f>
        <v>4.2426406871192857</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2</v>
      </c>
      <c r="BT10" s="10">
        <f>IF(管理者入力シート!$B$14=1,BS7*管理者用人口入力シート!AU$4,IF(管理者入力シート!$B$14=2,BS7*管理者用人口入力シート!AU$8))</f>
        <v>1.1547005383792515</v>
      </c>
      <c r="BU10" s="10">
        <f>IF(管理者入力シート!$B$14=1,BT7*管理者用人口入力シート!AV$4,IF(管理者入力シート!$B$14=2,BT7*管理者用人口入力シート!AV$8))</f>
        <v>3.4641016151377544</v>
      </c>
      <c r="BV10" s="10">
        <f>IF(管理者入力シート!$B$14=1,BU7*管理者用人口入力シート!AW$4,IF(管理者入力シート!$B$14=2,BU7*管理者用人口入力シート!AW$8))</f>
        <v>2.3094010767585029</v>
      </c>
      <c r="BW10" s="10">
        <f>IF(管理者入力シート!$B$14=1,BV7*管理者用人口入力シート!AX$4,IF(管理者入力シート!$B$14=2,BV7*管理者用人口入力シート!AX$8))</f>
        <v>1</v>
      </c>
      <c r="BX10" s="10">
        <f>IF(管理者入力シート!$B$14=1,BW7*管理者用人口入力シート!AY$4,IF(管理者入力シート!$B$14=2,BW7*管理者用人口入力シート!AY$8))</f>
        <v>4</v>
      </c>
      <c r="BY10" s="10">
        <f>IF(管理者入力シート!$B$14=1,BX7*管理者用人口入力シート!AZ$4,IF(管理者入力シート!$B$14=2,BX7*管理者用人口入力シート!AZ$8))</f>
        <v>2</v>
      </c>
      <c r="BZ10" s="10">
        <f>IF(管理者入力シート!$B$14=1,BY7*管理者用人口入力シート!BA$4,IF(管理者入力シート!$B$14=2,BY7*管理者用人口入力シート!BA$8))</f>
        <v>6.6407830863535962</v>
      </c>
      <c r="CA10" s="10">
        <f>IF(管理者入力シート!$B$14=1,BZ7*管理者用人口入力シート!BB$4,IF(管理者入力シート!$B$14=2,BZ7*管理者用人口入力シート!BB$8))</f>
        <v>0.85280286542244166</v>
      </c>
      <c r="CB10" s="10">
        <f>IF(管理者入力シート!$B$14=1,CA7*管理者用人口入力シート!BC$4,IF(管理者入力シート!$B$14=2,CA7*管理者用人口入力シート!BC$8))</f>
        <v>2.038588765750502</v>
      </c>
      <c r="CC10" s="10">
        <f>IF(管理者入力シート!$B$14=1,CB7*管理者用人口入力シート!BD$4,IF(管理者入力シート!$B$14=2,CB7*管理者用人口入力シート!BD$8))</f>
        <v>0.16988239714587514</v>
      </c>
      <c r="CD10" s="10">
        <f>IF(管理者入力シート!$B$14=1,CC7*管理者用人口入力シート!BE$4,IF(管理者入力シート!$B$14=2,CC7*管理者用人口入力シート!BE$8))</f>
        <v>1.5118578920369089E-3</v>
      </c>
      <c r="CE10" s="10">
        <f>IF(管理者入力シート!$B$14=1,CD7*管理者用人口入力シート!BF$4,IF(管理者入力シート!$B$14=2,CD7*管理者用人口入力シート!BF$8))</f>
        <v>1.5811388300841898E-6</v>
      </c>
      <c r="CF10" s="10">
        <f t="shared" si="2"/>
        <v>39.242455893691023</v>
      </c>
      <c r="CG10" s="10">
        <f t="shared" si="17"/>
        <v>2.4937115608042135</v>
      </c>
      <c r="CH10" s="10">
        <f t="shared" si="18"/>
        <v>0.69282032302755092</v>
      </c>
      <c r="CI10" s="10">
        <f t="shared" si="3"/>
        <v>15.703570553703283</v>
      </c>
      <c r="CJ10" s="10">
        <f t="shared" si="19"/>
        <v>9.7035705537032833</v>
      </c>
      <c r="CK10" s="14">
        <f t="shared" si="20"/>
        <v>0.40016788440164708</v>
      </c>
      <c r="CL10" s="14">
        <f t="shared" si="21"/>
        <v>0.24727225482499218</v>
      </c>
      <c r="CM10" s="10">
        <f t="shared" si="22"/>
        <v>5.7918340256022525</v>
      </c>
      <c r="CO10" s="7" t="str">
        <f t="shared" si="23"/>
        <v>2035_2</v>
      </c>
      <c r="CP10" s="29">
        <f>CP9</f>
        <v>2035</v>
      </c>
      <c r="CQ10" s="4" t="s">
        <v>22</v>
      </c>
      <c r="CR10" s="10">
        <f>DT10*$AK$14+将来予測シート②!$H17</f>
        <v>5.4020158626584491</v>
      </c>
      <c r="CS10" s="10">
        <f>IF(管理者入力シート!$B$14=1,CR7*管理者用人口入力シート!AM$4,IF(管理者入力シート!$B$14=2,CR7*管理者用人口入力シート!AM$8))+将来予測シート②!$H18</f>
        <v>6.9794844677523589</v>
      </c>
      <c r="CT10" s="10">
        <f>IF(管理者入力シート!$B$14=1,CS7*管理者用人口入力シート!AN$4,IF(管理者入力シート!$B$14=2,CS7*管理者用人口入力シート!AN$8))+将来予測シート②!$H19</f>
        <v>2.7320508075688772</v>
      </c>
      <c r="CU10" s="10">
        <f>IF(管理者入力シート!$B$14=1,CT7*管理者用人口入力シート!AO$4,IF(管理者入力シート!$B$14=2,CT7*管理者用人口入力シート!AO$8))+将来予測シート②!$H20</f>
        <v>2.7320508075688772</v>
      </c>
      <c r="CV10" s="10">
        <f>IF(管理者入力シート!$B$14=1,CU7*管理者用人口入力シート!AP$4,IF(管理者入力シート!$B$14=2,CU7*管理者用人口入力シート!AP$8))+将来予測シート②!$H21</f>
        <v>2.9634069008560617</v>
      </c>
      <c r="CW10" s="10">
        <f>IF(管理者入力シート!$B$14=1,CV7*管理者用人口入力シート!AQ$4,IF(管理者入力シート!$B$14=2,CV7*管理者用人口入力シート!AQ$8))+将来予測シート②!$H22</f>
        <v>6.2426406871192857</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3</v>
      </c>
      <c r="DA10" s="10">
        <f>IF(管理者入力シート!$B$14=1,CZ7*管理者用人口入力シート!AU$4,IF(管理者入力シート!$B$14=2,CZ7*管理者用人口入力シート!AU$8))+将来予測シート②!$H26</f>
        <v>2.3094010767585029</v>
      </c>
      <c r="DB10" s="10">
        <f>IF(管理者入力シート!$B$14=1,DA7*管理者用人口入力シート!AV$4,IF(管理者入力シート!$B$14=2,DA7*管理者用人口入力シート!AV$8))+将来予測シート②!$H27</f>
        <v>4.6188021535170058</v>
      </c>
      <c r="DC10" s="10">
        <f>IF(管理者入力シート!$B$14=1,DB7*管理者用人口入力シート!AW$4,IF(管理者入力シート!$B$14=2,DB7*管理者用人口入力シート!AW$8))+将来予測シート②!$H28</f>
        <v>2.3094010767585029</v>
      </c>
      <c r="DD10" s="10">
        <f>IF(管理者入力シート!$B$14=1,DC7*管理者用人口入力シート!AX$4,IF(管理者入力シート!$B$14=2,DC7*管理者用人口入力シート!AX$8))+将来予測シート②!$H29</f>
        <v>1</v>
      </c>
      <c r="DE10" s="10">
        <f>IF(管理者入力シート!$B$14=1,DD7*管理者用人口入力シート!AY$4,IF(管理者入力シート!$B$14=2,DD7*管理者用人口入力シート!AY$8))</f>
        <v>4</v>
      </c>
      <c r="DF10" s="10">
        <f>IF(管理者入力シート!$B$14=1,DE7*管理者用人口入力シート!AZ$4,IF(管理者入力シート!$B$14=2,DE7*管理者用人口入力シート!AZ$8))</f>
        <v>2</v>
      </c>
      <c r="DG10" s="10">
        <f>IF(管理者入力シート!$B$14=1,DF7*管理者用人口入力シート!BA$4,IF(管理者入力シート!$B$14=2,DF7*管理者用人口入力シート!BA$8))</f>
        <v>6.6407830863535962</v>
      </c>
      <c r="DH10" s="10">
        <f>IF(管理者入力シート!$B$14=1,DG7*管理者用人口入力シート!BB$4,IF(管理者入力シート!$B$14=2,DG7*管理者用人口入力シート!BB$8))</f>
        <v>0.85280286542244166</v>
      </c>
      <c r="DI10" s="10">
        <f>IF(管理者入力シート!$B$14=1,DH7*管理者用人口入力シート!BC$4,IF(管理者入力シート!$B$14=2,DH7*管理者用人口入力シート!BC$8))</f>
        <v>2.038588765750502</v>
      </c>
      <c r="DJ10" s="10">
        <f>IF(管理者入力シート!$B$14=1,DI7*管理者用人口入力シート!BD$4,IF(管理者入力シート!$B$14=2,DI7*管理者用人口入力シート!BD$8))</f>
        <v>0.16988239714587514</v>
      </c>
      <c r="DK10" s="10">
        <f>IF(管理者入力シート!$B$14=1,DJ7*管理者用人口入力シート!BE$4,IF(管理者入力シート!$B$14=2,DJ7*管理者用人口入力シート!BE$8))</f>
        <v>1.5118578920369089E-3</v>
      </c>
      <c r="DL10" s="10">
        <f>IF(管理者入力シート!$B$14=1,DK7*管理者用人口入力シート!BF$4,IF(管理者入力シート!$B$14=2,DK7*管理者用人口入力シート!BF$8))</f>
        <v>1.5811388300841898E-6</v>
      </c>
      <c r="DM10" s="10">
        <f t="shared" si="40"/>
        <v>59.992824394261199</v>
      </c>
      <c r="DN10" s="10">
        <f t="shared" si="25"/>
        <v>5.8269211651927426</v>
      </c>
      <c r="DO10" s="10">
        <f t="shared" si="26"/>
        <v>1.6392304845413261</v>
      </c>
      <c r="DP10" s="10">
        <f t="shared" si="5"/>
        <v>15.703570553703283</v>
      </c>
      <c r="DQ10" s="10">
        <f t="shared" si="27"/>
        <v>9.7035705537032833</v>
      </c>
      <c r="DR10" s="14">
        <f t="shared" si="28"/>
        <v>0.26175748036969332</v>
      </c>
      <c r="DS10" s="14">
        <f t="shared" si="29"/>
        <v>0.16174551959636541</v>
      </c>
      <c r="DT10" s="10">
        <f t="shared" si="41"/>
        <v>13.206047587975348</v>
      </c>
      <c r="DV10" s="62" t="s">
        <v>405</v>
      </c>
      <c r="DW10" s="209">
        <f>((SUM(BL12:BL13)*3/5+SUM(BM12:BM13)+SUM(BN12:BN13)*1/5)-(SUM(E12:E13)*3/5+SUM(F12:F13)+SUM(G12:G13)*1/5))/4</f>
        <v>-1.0435604243126968</v>
      </c>
      <c r="DX10" s="29">
        <f>DX9</f>
        <v>2035</v>
      </c>
      <c r="DY10" s="4" t="s">
        <v>22</v>
      </c>
      <c r="DZ10" s="10">
        <f>FB10*$AK$14</f>
        <v>3.9306113418674173</v>
      </c>
      <c r="EA10" s="10">
        <f>IF(管理者入力シート!$B$14=1,DZ7*管理者用人口入力シート!AM$4,IF(管理者入力シート!$B$14=2,DZ7*管理者用人口入力シート!AM$8))</f>
        <v>5.9253919143628995</v>
      </c>
      <c r="EB10" s="10">
        <f>IF(管理者入力シート!$B$14=1,EA7*管理者用人口入力シート!AN$4,IF(管理者入力シート!$B$14=2,EA7*管理者用人口入力シート!AN$8))</f>
        <v>0.8660254037844386</v>
      </c>
      <c r="EC10" s="10">
        <f>IF(管理者入力シート!$B$14=1,EB7*管理者用人口入力シート!AO$4,IF(管理者入力シート!$B$14=2,EB7*管理者用人口入力シート!AO$8))</f>
        <v>1.7320508075688772</v>
      </c>
      <c r="ED10" s="10">
        <f>IF(管理者入力シート!$B$14=1,EC7*管理者用人口入力シート!AP$4,IF(管理者入力シート!$B$14=2,EC7*管理者用人口入力シート!AP$8))</f>
        <v>1.5491933384829668</v>
      </c>
      <c r="EE10" s="10">
        <f>IF(管理者入力シート!$B$14=1,ED7*管理者用人口入力シート!AQ$4,IF(管理者入力シート!$B$14=2,ED7*管理者用人口入力シート!AQ$8))+DX1</f>
        <v>5.2426406871192857</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4</v>
      </c>
      <c r="EI10" s="10">
        <f>IF(管理者入力シート!$B$14=1,EH7*管理者用人口入力シート!AU$4,IF(管理者入力シート!$B$14=2,EH7*管理者用人口入力シート!AU$8))</f>
        <v>2.3094010767585029</v>
      </c>
      <c r="EJ10" s="10">
        <f>IF(管理者入力シート!$B$14=1,EI7*管理者用人口入力シート!AV$4,IF(管理者入力シート!$B$14=2,EI7*管理者用人口入力シート!AV$8))</f>
        <v>3.4641016151377544</v>
      </c>
      <c r="EK10" s="10">
        <f>IF(管理者入力シート!$B$14=1,EJ7*管理者用人口入力シート!AW$4,IF(管理者入力シート!$B$14=2,EJ7*管理者用人口入力シート!AW$8))</f>
        <v>2.3094010767585029</v>
      </c>
      <c r="EL10" s="10">
        <f>IF(管理者入力シート!$B$14=1,EK7*管理者用人口入力シート!AX$4,IF(管理者入力シート!$B$14=2,EK7*管理者用人口入力シート!AX$8))</f>
        <v>1</v>
      </c>
      <c r="EM10" s="10">
        <f>IF(管理者入力シート!$B$14=1,EL7*管理者用人口入力シート!AY$4,IF(管理者入力シート!$B$14=2,EL7*管理者用人口入力シート!AY$8))</f>
        <v>4</v>
      </c>
      <c r="EN10" s="10">
        <f>IF(管理者入力シート!$B$14=1,EM7*管理者用人口入力シート!AZ$4,IF(管理者入力シート!$B$14=2,EM7*管理者用人口入力シート!AZ$8))</f>
        <v>2</v>
      </c>
      <c r="EO10" s="10">
        <f>IF(管理者入力シート!$B$14=1,EN7*管理者用人口入力シート!BA$4,IF(管理者入力シート!$B$14=2,EN7*管理者用人口入力シート!BA$8))</f>
        <v>6.6407830863535962</v>
      </c>
      <c r="EP10" s="10">
        <f>IF(管理者入力シート!$B$14=1,EO7*管理者用人口入力シート!BB$4,IF(管理者入力シート!$B$14=2,EO7*管理者用人口入力シート!BB$8))</f>
        <v>0.85280286542244166</v>
      </c>
      <c r="EQ10" s="10">
        <f>IF(管理者入力シート!$B$14=1,EP7*管理者用人口入力シート!BC$4,IF(管理者入力シート!$B$14=2,EP7*管理者用人口入力シート!BC$8))</f>
        <v>2.038588765750502</v>
      </c>
      <c r="ER10" s="10">
        <f>IF(管理者入力シート!$B$14=1,EQ7*管理者用人口入力シート!BD$4,IF(管理者入力シート!$B$14=2,EQ7*管理者用人口入力シート!BD$8))</f>
        <v>0.16988239714587514</v>
      </c>
      <c r="ES10" s="10">
        <f>IF(管理者入力シート!$B$14=1,ER7*管理者用人口入力シート!BE$4,IF(管理者入力シート!$B$14=2,ER7*管理者用人口入力シート!BE$8))</f>
        <v>1.5118578920369089E-3</v>
      </c>
      <c r="ET10" s="10">
        <f>IF(管理者入力シート!$B$14=1,ES7*管理者用人口入力シート!BF$4,IF(管理者入力シート!$B$14=2,ES7*管理者用人口入力シート!BF$8))</f>
        <v>1.5811388300841898E-6</v>
      </c>
      <c r="EU10" s="10">
        <f t="shared" si="42"/>
        <v>53.032387815543927</v>
      </c>
      <c r="EV10" s="10">
        <f t="shared" si="31"/>
        <v>4.0748503908884031</v>
      </c>
      <c r="EW10" s="10">
        <f t="shared" si="32"/>
        <v>0.69282032302755092</v>
      </c>
      <c r="EX10" s="10">
        <f t="shared" si="7"/>
        <v>15.703570553703283</v>
      </c>
      <c r="EY10" s="10">
        <f t="shared" si="33"/>
        <v>9.7035705537032833</v>
      </c>
      <c r="EZ10" s="14">
        <f t="shared" si="34"/>
        <v>0.29611283218706075</v>
      </c>
      <c r="FA10" s="14">
        <f t="shared" si="35"/>
        <v>0.18297442286502405</v>
      </c>
      <c r="FB10" s="10">
        <f t="shared" si="43"/>
        <v>11.791834025602252</v>
      </c>
    </row>
    <row r="11" spans="1:158" x14ac:dyDescent="0.15">
      <c r="A11" s="7" t="str">
        <f t="shared" si="8"/>
        <v>2015_3</v>
      </c>
      <c r="B11" s="30">
        <v>2015</v>
      </c>
      <c r="C11" s="5" t="s">
        <v>23</v>
      </c>
      <c r="D11" s="11">
        <v>8</v>
      </c>
      <c r="E11" s="11">
        <v>10</v>
      </c>
      <c r="F11" s="11">
        <v>2</v>
      </c>
      <c r="G11" s="11">
        <v>0</v>
      </c>
      <c r="H11" s="11">
        <v>3</v>
      </c>
      <c r="I11" s="11">
        <v>3</v>
      </c>
      <c r="J11" s="11">
        <v>5</v>
      </c>
      <c r="K11" s="11">
        <v>8</v>
      </c>
      <c r="L11" s="11">
        <v>1</v>
      </c>
      <c r="M11" s="11">
        <v>6</v>
      </c>
      <c r="N11" s="11">
        <v>8</v>
      </c>
      <c r="O11" s="11">
        <v>15</v>
      </c>
      <c r="P11" s="11">
        <v>7</v>
      </c>
      <c r="Q11" s="11">
        <v>7</v>
      </c>
      <c r="R11" s="11">
        <v>2</v>
      </c>
      <c r="S11" s="11">
        <v>12</v>
      </c>
      <c r="T11" s="11">
        <v>15</v>
      </c>
      <c r="U11" s="11">
        <v>11</v>
      </c>
      <c r="V11" s="11">
        <v>1</v>
      </c>
      <c r="W11" s="11">
        <v>0</v>
      </c>
      <c r="X11" s="11">
        <v>0</v>
      </c>
      <c r="Y11" s="11">
        <f t="shared" si="39"/>
        <v>124</v>
      </c>
      <c r="Z11" s="11">
        <f t="shared" si="9"/>
        <v>7.2</v>
      </c>
      <c r="AA11" s="11">
        <f t="shared" si="10"/>
        <v>0.8</v>
      </c>
      <c r="AB11" s="11">
        <f t="shared" si="0"/>
        <v>48</v>
      </c>
      <c r="AC11" s="11">
        <f t="shared" si="11"/>
        <v>39</v>
      </c>
      <c r="AD11" s="15">
        <f t="shared" si="12"/>
        <v>0.38709677419354838</v>
      </c>
      <c r="AE11" s="15">
        <f t="shared" si="13"/>
        <v>0.31451612903225806</v>
      </c>
      <c r="AF11" s="11">
        <f t="shared" si="14"/>
        <v>19</v>
      </c>
      <c r="BH11" s="7" t="str">
        <f t="shared" si="16"/>
        <v>2035_3</v>
      </c>
      <c r="BI11" s="30">
        <f>BI10</f>
        <v>2035</v>
      </c>
      <c r="BJ11" s="5" t="s">
        <v>23</v>
      </c>
      <c r="BK11" s="16">
        <f t="shared" ref="BK11:CE11" si="50">BK9+BK10</f>
        <v>2.8959170128011262</v>
      </c>
      <c r="BL11" s="16">
        <f t="shared" si="50"/>
        <v>4.4253737644263635</v>
      </c>
      <c r="BM11" s="16">
        <f t="shared" si="50"/>
        <v>1.2110581834556156</v>
      </c>
      <c r="BN11" s="16">
        <f t="shared" si="50"/>
        <v>2.4221163669112311</v>
      </c>
      <c r="BO11" s="16">
        <f t="shared" si="50"/>
        <v>4.7114709986513468</v>
      </c>
      <c r="BP11" s="16">
        <f t="shared" si="50"/>
        <v>7.0710678118654755</v>
      </c>
      <c r="BQ11" s="16">
        <f t="shared" si="50"/>
        <v>1.0954451150103324</v>
      </c>
      <c r="BR11" s="16">
        <f t="shared" si="50"/>
        <v>0</v>
      </c>
      <c r="BS11" s="16">
        <f t="shared" si="50"/>
        <v>2.948683298050514</v>
      </c>
      <c r="BT11" s="16">
        <f t="shared" si="50"/>
        <v>6.3508529610858835</v>
      </c>
      <c r="BU11" s="16">
        <f t="shared" si="50"/>
        <v>7.3370849613451714</v>
      </c>
      <c r="BV11" s="16">
        <f t="shared" si="50"/>
        <v>9.3804688886239784</v>
      </c>
      <c r="BW11" s="16">
        <f t="shared" si="50"/>
        <v>1</v>
      </c>
      <c r="BX11" s="16">
        <f t="shared" si="50"/>
        <v>5.707825127659933</v>
      </c>
      <c r="BY11" s="16">
        <f t="shared" si="50"/>
        <v>7.1234753829797999</v>
      </c>
      <c r="BZ11" s="16">
        <f t="shared" si="50"/>
        <v>11.590530554659429</v>
      </c>
      <c r="CA11" s="16">
        <f t="shared" si="50"/>
        <v>3.7395542113705709</v>
      </c>
      <c r="CB11" s="16">
        <f t="shared" si="50"/>
        <v>3.538588765750502</v>
      </c>
      <c r="CC11" s="16">
        <f t="shared" si="50"/>
        <v>0.91523838964580495</v>
      </c>
      <c r="CD11" s="16">
        <f t="shared" si="50"/>
        <v>2.5118578920369089E-3</v>
      </c>
      <c r="CE11" s="16">
        <f t="shared" si="50"/>
        <v>4.4678901760323185E-6</v>
      </c>
      <c r="CF11" s="11">
        <f t="shared" si="2"/>
        <v>83.467268120075289</v>
      </c>
      <c r="CG11" s="11">
        <f t="shared" si="17"/>
        <v>3.3818591687291875</v>
      </c>
      <c r="CH11" s="11">
        <f t="shared" si="18"/>
        <v>0.96884654676449244</v>
      </c>
      <c r="CI11" s="11">
        <f t="shared" si="3"/>
        <v>32.617728757848255</v>
      </c>
      <c r="CJ11" s="11">
        <f t="shared" si="19"/>
        <v>19.786428247208519</v>
      </c>
      <c r="CK11" s="15">
        <f t="shared" si="20"/>
        <v>0.3907846691582702</v>
      </c>
      <c r="CL11" s="15">
        <f t="shared" si="21"/>
        <v>0.23705613820670318</v>
      </c>
      <c r="CM11" s="11">
        <f t="shared" si="22"/>
        <v>12.877983925527154</v>
      </c>
      <c r="CO11" s="7" t="str">
        <f t="shared" si="23"/>
        <v>2035_3</v>
      </c>
      <c r="CP11" s="30">
        <f>CP10</f>
        <v>2035</v>
      </c>
      <c r="CQ11" s="5" t="s">
        <v>23</v>
      </c>
      <c r="CR11" s="16">
        <f t="shared" ref="CR11:DL11" si="51">CR9+CR10</f>
        <v>8.6030237939876741</v>
      </c>
      <c r="CS11" s="16">
        <f t="shared" si="51"/>
        <v>9.9331801199227421</v>
      </c>
      <c r="CT11" s="16">
        <f t="shared" si="51"/>
        <v>4.7671491465824083</v>
      </c>
      <c r="CU11" s="16">
        <f t="shared" si="51"/>
        <v>4.4221163669112311</v>
      </c>
      <c r="CV11" s="16">
        <f t="shared" si="51"/>
        <v>7.1256845610244417</v>
      </c>
      <c r="CW11" s="16">
        <f t="shared" si="51"/>
        <v>11.071067811865476</v>
      </c>
      <c r="CX11" s="16">
        <f t="shared" si="51"/>
        <v>4.6446384534932985</v>
      </c>
      <c r="CY11" s="16">
        <f t="shared" si="51"/>
        <v>4.078460969082653</v>
      </c>
      <c r="CZ11" s="16">
        <f t="shared" si="51"/>
        <v>3.948683298050514</v>
      </c>
      <c r="DA11" s="16">
        <f t="shared" si="51"/>
        <v>7.5055534994651349</v>
      </c>
      <c r="DB11" s="16">
        <f t="shared" si="51"/>
        <v>8.491785499724422</v>
      </c>
      <c r="DC11" s="16">
        <f t="shared" si="51"/>
        <v>9.3804688886239784</v>
      </c>
      <c r="DD11" s="16">
        <f t="shared" si="51"/>
        <v>1</v>
      </c>
      <c r="DE11" s="16">
        <f t="shared" si="51"/>
        <v>5.707825127659933</v>
      </c>
      <c r="DF11" s="16">
        <f t="shared" si="51"/>
        <v>7.1234753829797999</v>
      </c>
      <c r="DG11" s="16">
        <f t="shared" si="51"/>
        <v>11.590530554659429</v>
      </c>
      <c r="DH11" s="16">
        <f t="shared" si="51"/>
        <v>3.7395542113705709</v>
      </c>
      <c r="DI11" s="16">
        <f t="shared" si="51"/>
        <v>3.538588765750502</v>
      </c>
      <c r="DJ11" s="16">
        <f t="shared" si="51"/>
        <v>0.91523838964580495</v>
      </c>
      <c r="DK11" s="16">
        <f t="shared" si="51"/>
        <v>2.5118578920369089E-3</v>
      </c>
      <c r="DL11" s="16">
        <f t="shared" si="51"/>
        <v>4.4678901760323185E-6</v>
      </c>
      <c r="DM11" s="11">
        <f t="shared" si="40"/>
        <v>117.58954116658224</v>
      </c>
      <c r="DN11" s="11">
        <f t="shared" si="25"/>
        <v>8.8201975599030895</v>
      </c>
      <c r="DO11" s="11">
        <f t="shared" si="26"/>
        <v>2.7912829320152097</v>
      </c>
      <c r="DP11" s="11">
        <f t="shared" si="5"/>
        <v>32.617728757848255</v>
      </c>
      <c r="DQ11" s="11">
        <f t="shared" si="27"/>
        <v>19.786428247208519</v>
      </c>
      <c r="DR11" s="15">
        <f t="shared" si="28"/>
        <v>0.27738630863131464</v>
      </c>
      <c r="DS11" s="15">
        <f t="shared" si="29"/>
        <v>0.16826690580566381</v>
      </c>
      <c r="DT11" s="11">
        <f t="shared" si="41"/>
        <v>26.91985179546587</v>
      </c>
      <c r="DW11" s="210"/>
      <c r="DX11" s="30">
        <f>DX10</f>
        <v>2035</v>
      </c>
      <c r="DY11" s="5" t="s">
        <v>23</v>
      </c>
      <c r="DZ11" s="16">
        <f t="shared" ref="DZ11:ET11" si="52">DZ9+DZ10</f>
        <v>5.8959170128011262</v>
      </c>
      <c r="EA11" s="16">
        <f t="shared" si="52"/>
        <v>7.9698463572166478</v>
      </c>
      <c r="EB11" s="16">
        <f t="shared" si="52"/>
        <v>1.2110581834556156</v>
      </c>
      <c r="EC11" s="16">
        <f t="shared" si="52"/>
        <v>2.4221163669112311</v>
      </c>
      <c r="ED11" s="16">
        <f t="shared" si="52"/>
        <v>4.7114709986513468</v>
      </c>
      <c r="EE11" s="16">
        <f t="shared" si="52"/>
        <v>9.0710678118654755</v>
      </c>
      <c r="EF11" s="16">
        <f t="shared" si="52"/>
        <v>4.870041784251816</v>
      </c>
      <c r="EG11" s="16">
        <f t="shared" si="52"/>
        <v>6.3808712710412001</v>
      </c>
      <c r="EH11" s="16">
        <f t="shared" si="52"/>
        <v>7.0862990986173795</v>
      </c>
      <c r="EI11" s="16">
        <f t="shared" si="52"/>
        <v>8.7965479482009421</v>
      </c>
      <c r="EJ11" s="16">
        <f t="shared" si="52"/>
        <v>7.3370849613451714</v>
      </c>
      <c r="EK11" s="16">
        <f t="shared" si="52"/>
        <v>9.3804688886239784</v>
      </c>
      <c r="EL11" s="16">
        <f t="shared" si="52"/>
        <v>1</v>
      </c>
      <c r="EM11" s="16">
        <f t="shared" si="52"/>
        <v>5.707825127659933</v>
      </c>
      <c r="EN11" s="16">
        <f t="shared" si="52"/>
        <v>7.1234753829797999</v>
      </c>
      <c r="EO11" s="16">
        <f t="shared" si="52"/>
        <v>11.590530554659429</v>
      </c>
      <c r="EP11" s="16">
        <f t="shared" si="52"/>
        <v>3.7395542113705709</v>
      </c>
      <c r="EQ11" s="16">
        <f t="shared" si="52"/>
        <v>3.538588765750502</v>
      </c>
      <c r="ER11" s="16">
        <f t="shared" si="52"/>
        <v>0.91523838964580495</v>
      </c>
      <c r="ES11" s="16">
        <f t="shared" si="52"/>
        <v>2.5118578920369089E-3</v>
      </c>
      <c r="ET11" s="16">
        <f t="shared" si="52"/>
        <v>4.4678901760323185E-6</v>
      </c>
      <c r="EU11" s="11">
        <f t="shared" si="42"/>
        <v>108.75051944083019</v>
      </c>
      <c r="EV11" s="11">
        <f t="shared" si="31"/>
        <v>5.508542724403358</v>
      </c>
      <c r="EW11" s="11">
        <f t="shared" si="32"/>
        <v>0.96884654676449244</v>
      </c>
      <c r="EX11" s="11">
        <f t="shared" si="7"/>
        <v>32.617728757848255</v>
      </c>
      <c r="EY11" s="11">
        <f t="shared" si="33"/>
        <v>19.786428247208519</v>
      </c>
      <c r="EZ11" s="15">
        <f t="shared" si="34"/>
        <v>0.29993170538918812</v>
      </c>
      <c r="FA11" s="15">
        <f t="shared" si="35"/>
        <v>0.18194329874418733</v>
      </c>
      <c r="FB11" s="11">
        <f t="shared" si="43"/>
        <v>25.033451865809837</v>
      </c>
    </row>
    <row r="12" spans="1:158" x14ac:dyDescent="0.15">
      <c r="A12" s="7" t="str">
        <f t="shared" si="8"/>
        <v>2020_1</v>
      </c>
      <c r="B12" s="28">
        <v>2020</v>
      </c>
      <c r="C12" s="3" t="s">
        <v>21</v>
      </c>
      <c r="D12" s="3">
        <v>1</v>
      </c>
      <c r="E12" s="3">
        <v>5</v>
      </c>
      <c r="F12" s="3">
        <v>2</v>
      </c>
      <c r="G12" s="3">
        <v>1</v>
      </c>
      <c r="H12" s="3">
        <v>0</v>
      </c>
      <c r="I12" s="3">
        <v>1</v>
      </c>
      <c r="J12" s="3">
        <v>3</v>
      </c>
      <c r="K12" s="3">
        <v>3</v>
      </c>
      <c r="L12" s="3">
        <v>5</v>
      </c>
      <c r="M12" s="3">
        <v>0</v>
      </c>
      <c r="N12" s="3">
        <v>2</v>
      </c>
      <c r="O12" s="3">
        <v>6</v>
      </c>
      <c r="P12" s="3">
        <v>7</v>
      </c>
      <c r="Q12" s="3">
        <v>5</v>
      </c>
      <c r="R12" s="3">
        <v>3</v>
      </c>
      <c r="S12" s="3">
        <v>2</v>
      </c>
      <c r="T12" s="3">
        <v>2</v>
      </c>
      <c r="U12" s="3">
        <v>5</v>
      </c>
      <c r="V12" s="3">
        <v>2</v>
      </c>
      <c r="W12" s="3">
        <v>0</v>
      </c>
      <c r="X12" s="3">
        <v>0</v>
      </c>
      <c r="Y12" s="9">
        <f t="shared" ref="Y12:Y20" si="53">SUM(D12:X12)</f>
        <v>55</v>
      </c>
      <c r="Z12" s="9">
        <f t="shared" ref="Z12:Z20" si="54">E12*3/5+F12*3/5</f>
        <v>4.2</v>
      </c>
      <c r="AA12" s="9">
        <f t="shared" ref="AA12:AA20" si="55">F12*2/5+G12*1/5</f>
        <v>1</v>
      </c>
      <c r="AB12" s="9">
        <f>SUM(Q12:X12)</f>
        <v>19</v>
      </c>
      <c r="AC12" s="9">
        <f t="shared" ref="AC12:AC20" si="56">SUM(S12:X12)</f>
        <v>11</v>
      </c>
      <c r="AD12" s="13">
        <f t="shared" ref="AD12:AD20" si="57">AB12/Y12</f>
        <v>0.34545454545454546</v>
      </c>
      <c r="AE12" s="13">
        <f t="shared" ref="AE12:AE20" si="58">AC12/Y12</f>
        <v>0.2</v>
      </c>
      <c r="AF12" s="9">
        <f>SUM(H12:K12)</f>
        <v>7</v>
      </c>
      <c r="AK12" s="61">
        <f>管理者入力シート!B5</f>
        <v>2020</v>
      </c>
      <c r="AL12" s="62"/>
      <c r="BH12" s="7" t="str">
        <f t="shared" si="16"/>
        <v>2040_1</v>
      </c>
      <c r="BI12" s="28">
        <f>管理者入力シート!B11</f>
        <v>2040</v>
      </c>
      <c r="BJ12" s="3" t="s">
        <v>21</v>
      </c>
      <c r="BK12" s="9">
        <f>CM13*$AK$13</f>
        <v>1.3735539613975718</v>
      </c>
      <c r="BL12" s="9">
        <f>IF(管理者入力シート!$B$14=1,BK9*管理者用人口入力シート!AM$3,IF(管理者入力シート!$B$14=2,BK9*管理者用人口入力シート!AM$7))</f>
        <v>1.0532348347199649</v>
      </c>
      <c r="BM12" s="9">
        <f>IF(管理者入力シート!$B$14=1,BL9*管理者用人口入力シート!AN$3,IF(管理者入力シート!$B$14=2,BL9*管理者用人口入力シート!AN$7))</f>
        <v>0.71797188958838465</v>
      </c>
      <c r="BN12" s="9">
        <f>IF(管理者入力シート!$B$14=1,BM9*管理者用人口入力シート!AO$3,IF(管理者入力シート!$B$14=2,BM9*管理者用人口入力シート!AO$7))</f>
        <v>0.34503277967117707</v>
      </c>
      <c r="BO12" s="9">
        <f>IF(管理者入力シート!$B$14=1,BN9*管理者用人口入力シート!AP$3,IF(管理者入力シート!$B$14=2,BN9*管理者用人口入力シート!AP$7))</f>
        <v>0.69006555934235414</v>
      </c>
      <c r="BP12" s="9">
        <f>IF(管理者入力シート!$B$14=1,BO9*管理者用人口入力シート!AQ$3,IF(管理者入力シート!$B$14=2,BO9*管理者用人口入力シート!AQ$7))</f>
        <v>4.4721359549995796</v>
      </c>
      <c r="BQ12" s="9">
        <f>IF(管理者入力シート!$B$14=1,BP9*管理者用人口入力シート!AR$3,IF(管理者入力シート!$B$14=2,BP9*管理者用人口入力シート!AR$7))</f>
        <v>2.1908902300206647</v>
      </c>
      <c r="BR12" s="9">
        <f>IF(管理者入力シート!$B$14=1,BQ9*管理者用人口入力シート!AS$3,IF(管理者入力シート!$B$14=2,BQ9*管理者用人口入力シート!AS$7))</f>
        <v>1.4696938456699071</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1.3416407864998743</v>
      </c>
      <c r="BU12" s="9">
        <f>IF(管理者入力シート!$B$14=1,BT9*管理者用人口入力シート!AV$3,IF(管理者入力シート!$B$14=2,BT9*管理者用人口入力シート!AV$7))</f>
        <v>5.196152422706632</v>
      </c>
      <c r="BV12" s="9">
        <f>IF(管理者入力シート!$B$14=1,BU9*管理者用人口入力シート!AW$3,IF(管理者入力シート!$B$14=2,BU9*管理者用人口入力シート!AW$7))</f>
        <v>3.872983346207417</v>
      </c>
      <c r="BW12" s="9">
        <f>IF(管理者入力シート!$B$14=1,BV9*管理者用人口入力シート!AX$3,IF(管理者入力シート!$B$14=2,BV9*管理者用人口入力シート!AX$7))</f>
        <v>6.6143782776614763</v>
      </c>
      <c r="BX12" s="9">
        <f>IF(管理者入力シート!$B$14=1,BW9*管理者用人口入力シート!AY$3,IF(管理者入力シート!$B$14=2,BW9*管理者用人口入力シート!AY$7))</f>
        <v>0</v>
      </c>
      <c r="BY12" s="9">
        <f>IF(管理者入力シート!$B$14=1,BX9*管理者用人口入力シート!AZ$3,IF(管理者入力シート!$B$14=2,BX9*管理者用人口入力シート!AZ$7))</f>
        <v>1.7078251276599332</v>
      </c>
      <c r="BZ12" s="9">
        <f>IF(管理者入力シート!$B$14=1,BY9*管理者用人口入力シート!BA$3,IF(管理者入力シート!$B$14=2,BY9*管理者用人口入力シート!BA$7))</f>
        <v>3.9686269665968865</v>
      </c>
      <c r="CA12" s="9">
        <f>IF(管理者入力シート!$B$14=1,BZ9*管理者用人口入力シート!BB$3,IF(管理者入力シート!$B$14=2,BZ9*管理者用人口入力シート!BB$7))</f>
        <v>3.6893239368631092</v>
      </c>
      <c r="CB12" s="9">
        <f>IF(管理者入力シート!$B$14=1,CA9*管理者用人口入力シート!BC$3,IF(管理者入力シート!$B$14=2,CA9*管理者用人口入力シート!BC$7))</f>
        <v>2.5</v>
      </c>
      <c r="CC12" s="9">
        <f>IF(管理者入力シート!$B$14=1,CB9*管理者用人口入力シート!BD$3,IF(管理者入力シート!$B$14=2,CB9*管理者用人口入力シート!BD$7))</f>
        <v>0.8660254037844386</v>
      </c>
      <c r="CD12" s="9">
        <f>IF(管理者入力シート!$B$14=1,CC9*管理者用人口入力シート!BE$3,IF(管理者入力シート!$B$14=2,CC9*管理者用人口入力シート!BE$7))</f>
        <v>7.4535599249992985E-4</v>
      </c>
      <c r="CE12" s="9">
        <f>IF(管理者入力シート!$B$14=1,CD9*管理者用人口入力シート!BF$3,IF(管理者入力シート!$B$14=2,CD9*管理者用人口入力シート!BF$7))</f>
        <v>9.9999999999999974E-7</v>
      </c>
      <c r="CF12" s="9">
        <f t="shared" si="2"/>
        <v>42.070281679381871</v>
      </c>
      <c r="CG12" s="9">
        <f t="shared" si="17"/>
        <v>1.0627240345850097</v>
      </c>
      <c r="CH12" s="9">
        <f t="shared" si="18"/>
        <v>0.3561953117695893</v>
      </c>
      <c r="CI12" s="9">
        <f t="shared" si="3"/>
        <v>12.732547790896867</v>
      </c>
      <c r="CJ12" s="9">
        <f t="shared" si="19"/>
        <v>11.024722663236934</v>
      </c>
      <c r="CK12" s="13">
        <f t="shared" si="20"/>
        <v>0.30264945426160367</v>
      </c>
      <c r="CL12" s="13">
        <f t="shared" si="21"/>
        <v>0.26205488109769459</v>
      </c>
      <c r="CM12" s="9">
        <f t="shared" si="22"/>
        <v>8.8227855900325061</v>
      </c>
      <c r="CO12" s="7" t="str">
        <f t="shared" si="23"/>
        <v>2040_1</v>
      </c>
      <c r="CP12" s="28">
        <f>管理者入力シート!B11</f>
        <v>2040</v>
      </c>
      <c r="CQ12" s="3" t="s">
        <v>21</v>
      </c>
      <c r="CR12" s="9">
        <f>DT13*$AK$13+将来予測シート②!$G17</f>
        <v>3.8449584821886029</v>
      </c>
      <c r="CS12" s="9">
        <f>IF(管理者入力シート!$B$14=1,CR9*管理者用人口入力シート!AM$3,IF(管理者入力シート!$B$14=2,CR9*管理者用人口入力シート!AM$7))+将来予測シート②!$G18</f>
        <v>3.4925859870167084</v>
      </c>
      <c r="CT12" s="9">
        <f>IF(管理者入力シート!$B$14=1,CS9*管理者用人口入力シート!AN$3,IF(管理者入力シート!$B$14=2,CS9*管理者用人口入力シート!AN$7))+将来予測シート②!$G19</f>
        <v>2.8680811551589747</v>
      </c>
      <c r="CU12" s="9">
        <f>IF(管理者入力シート!$B$14=1,CT9*管理者用人口入力シート!AO$3,IF(管理者入力シート!$B$14=2,CT9*管理者用人口入力シート!AO$7))+将来予測シート②!$G20</f>
        <v>2.0350983390135311</v>
      </c>
      <c r="CV12" s="9">
        <f>IF(管理者入力シート!$B$14=1,CU9*管理者用人口入力シート!AP$3,IF(管理者入力シート!$B$14=2,CU9*管理者用人口入力シート!AP$7))+将来予測シート②!$G21</f>
        <v>1.6900655593423541</v>
      </c>
      <c r="CW12" s="9">
        <f>IF(管理者入力シート!$B$14=1,CV9*管理者用人口入力シート!AQ$3,IF(管理者入力シート!$B$14=2,CV9*管理者用人口入力シート!AQ$7))+将来予測シート②!$G22</f>
        <v>7.8863495173726754</v>
      </c>
      <c r="CX12" s="9">
        <f>IF(管理者入力シート!$B$14=1,CW9*管理者用人口入力シート!AR$3,IF(管理者入力シート!$B$14=2,CW9*管理者用人口入力シート!AR$7))+将来予測シート②!$G23</f>
        <v>3.7400835685036311</v>
      </c>
      <c r="CY12" s="9">
        <f>IF(管理者入力シート!$B$14=1,CX9*管理者用人口入力シート!AS$3,IF(管理者入力シート!$B$14=2,CX9*管理者用人口入力シート!AS$7))+将来予測シート②!$G24</f>
        <v>3.5481548147525594</v>
      </c>
      <c r="CZ12" s="9">
        <f>IF(管理者入力シート!$B$14=1,CY9*管理者用人口入力シート!AT$3,IF(管理者入力シート!$B$14=2,CY9*管理者用人口入力シート!AT$7))+将来予測シート②!$G25</f>
        <v>1.897366596101028</v>
      </c>
      <c r="DA12" s="9">
        <f>IF(管理者入力シート!$B$14=1,CZ9*管理者用人口入力シート!AU$3,IF(管理者入力シート!$B$14=2,CZ9*管理者用人口入力シート!AU$7))+将来予測シート②!$G26</f>
        <v>1.3416407864998743</v>
      </c>
      <c r="DB12" s="9">
        <f>IF(管理者入力シート!$B$14=1,DA9*管理者用人口入力シート!AV$3,IF(管理者入力シート!$B$14=2,DA9*管理者用人口入力シート!AV$7))+将来予測シート②!$G27</f>
        <v>5.196152422706632</v>
      </c>
      <c r="DC12" s="9">
        <f>IF(管理者入力シート!$B$14=1,DB9*管理者用人口入力シート!AW$3,IF(管理者入力シート!$B$14=2,DB9*管理者用人口入力シート!AW$7))+将来予測シート②!$G28</f>
        <v>3.872983346207417</v>
      </c>
      <c r="DD12" s="9">
        <f>IF(管理者入力シート!$B$14=1,DC9*管理者用人口入力シート!AX$3,IF(管理者入力シート!$B$14=2,DC9*管理者用人口入力シート!AX$7))+将来予測シート②!$G29</f>
        <v>6.6143782776614763</v>
      </c>
      <c r="DE12" s="9">
        <f>IF(管理者入力シート!$B$14=1,DD9*管理者用人口入力シート!AY$3,IF(管理者入力シート!$B$14=2,DD9*管理者用人口入力シート!AY$7))</f>
        <v>0</v>
      </c>
      <c r="DF12" s="9">
        <f>IF(管理者入力シート!$B$14=1,DE9*管理者用人口入力シート!AZ$3,IF(管理者入力シート!$B$14=2,DE9*管理者用人口入力シート!AZ$7))</f>
        <v>1.7078251276599332</v>
      </c>
      <c r="DG12" s="9">
        <f>IF(管理者入力シート!$B$14=1,DF9*管理者用人口入力シート!BA$3,IF(管理者入力シート!$B$14=2,DF9*管理者用人口入力シート!BA$7))</f>
        <v>3.9686269665968865</v>
      </c>
      <c r="DH12" s="9">
        <f>IF(管理者入力シート!$B$14=1,DG9*管理者用人口入力シート!BB$3,IF(管理者入力シート!$B$14=2,DG9*管理者用人口入力シート!BB$7))</f>
        <v>3.6893239368631092</v>
      </c>
      <c r="DI12" s="9">
        <f>IF(管理者入力シート!$B$14=1,DH9*管理者用人口入力シート!BC$3,IF(管理者入力シート!$B$14=2,DH9*管理者用人口入力シート!BC$7))</f>
        <v>2.5</v>
      </c>
      <c r="DJ12" s="9">
        <f>IF(管理者入力シート!$B$14=1,DI9*管理者用人口入力シート!BD$3,IF(管理者入力シート!$B$14=2,DI9*管理者用人口入力シート!BD$7))</f>
        <v>0.8660254037844386</v>
      </c>
      <c r="DK12" s="9">
        <f>IF(管理者入力シート!$B$14=1,DJ9*管理者用人口入力シート!BE$3,IF(管理者入力シート!$B$14=2,DJ9*管理者用人口入力シート!BE$7))</f>
        <v>7.4535599249992985E-4</v>
      </c>
      <c r="DL12" s="9">
        <f>IF(管理者入力シート!$B$14=1,DK9*管理者用人口入力シート!BF$3,IF(管理者入力シート!$B$14=2,DK9*管理者用人口入力シート!BF$7))</f>
        <v>9.9999999999999974E-7</v>
      </c>
      <c r="DM12" s="9">
        <f t="shared" si="40"/>
        <v>60.760446643422334</v>
      </c>
      <c r="DN12" s="9">
        <f t="shared" si="25"/>
        <v>3.8164002853054093</v>
      </c>
      <c r="DO12" s="9">
        <f t="shared" si="26"/>
        <v>1.5542521298662961</v>
      </c>
      <c r="DP12" s="9">
        <f t="shared" si="5"/>
        <v>12.732547790896867</v>
      </c>
      <c r="DQ12" s="9">
        <f t="shared" si="27"/>
        <v>11.024722663236934</v>
      </c>
      <c r="DR12" s="13">
        <f t="shared" si="28"/>
        <v>0.20955322902115694</v>
      </c>
      <c r="DS12" s="13">
        <f t="shared" si="29"/>
        <v>0.18144571464288969</v>
      </c>
      <c r="DT12" s="9">
        <f t="shared" si="41"/>
        <v>16.864653459971223</v>
      </c>
      <c r="DV12" s="211"/>
      <c r="DX12" s="28">
        <f>管理者入力シート!B11</f>
        <v>2040</v>
      </c>
      <c r="DY12" s="3" t="s">
        <v>21</v>
      </c>
      <c r="DZ12" s="9">
        <f>FB13*$AK$13</f>
        <v>2.3735539613975716</v>
      </c>
      <c r="EA12" s="129">
        <f>IF(管理者入力シート!$B$14=1,DZ9*管理者用人口入力シート!AM$3,IF(管理者入力シート!$B$14=2,DZ9*管理者用人口入力シート!AM$7))</f>
        <v>2.144324285899927</v>
      </c>
      <c r="EB12" s="9">
        <f>IF(管理者入力シート!$B$14=1,EA9*管理者用人口入力シート!AN$3,IF(管理者入力シート!$B$14=2,EA9*管理者用人口入力シート!AN$7))</f>
        <v>1.2930265223736799</v>
      </c>
      <c r="EC12" s="9">
        <f>IF(管理者入力シート!$B$14=1,EB9*管理者用人口入力シート!AO$3,IF(管理者入力シート!$B$14=2,EB9*管理者用人口入力シート!AO$7))</f>
        <v>0.34503277967117707</v>
      </c>
      <c r="ED12" s="9">
        <f>IF(管理者入力シート!$B$14=1,EC9*管理者用人口入力シート!AP$3,IF(管理者入力シート!$B$14=2,EC9*管理者用人口入力シート!AP$7))</f>
        <v>0.69006555934235414</v>
      </c>
      <c r="EE12" s="9">
        <f>IF(管理者入力シート!$B$14=1,ED9*管理者用人口入力シート!AQ$3,IF(管理者入力シート!$B$14=2,ED9*管理者用人口入力シート!AQ$7))+DX1</f>
        <v>5.4721359549995796</v>
      </c>
      <c r="EF12" s="9">
        <f>IF(管理者入力シート!$B$14=1,EE9*管理者用人口入力シート!AR$3,IF(管理者入力シート!$B$14=2,EE9*管理者用人口入力シート!AR$7))+DX1</f>
        <v>3.9654868992621481</v>
      </c>
      <c r="EG12" s="9">
        <f>IF(管理者入力シート!$B$14=1,EF9*管理者用人口入力シート!AS$3,IF(管理者入力シート!$B$14=2,EF9*管理者用人口入力シート!AS$7))+DX1</f>
        <v>4.850565116711107</v>
      </c>
      <c r="EH12" s="9">
        <f>IF(管理者入力シート!$B$14=1,EG9*管理者用人口入力シート!AT$3,IF(管理者入力シート!$B$14=2,EG9*管理者用人口入力シート!AT$7))</f>
        <v>3.0862990986173799</v>
      </c>
      <c r="EI12" s="9">
        <f>IF(管理者入力シート!$B$14=1,EH9*管理者用人口入力シート!AU$3,IF(管理者入力シート!$B$14=2,EH9*管理者用人口入力シート!AU$7))</f>
        <v>4.3646860428045571</v>
      </c>
      <c r="EJ12" s="9">
        <f>IF(管理者入力シート!$B$14=1,EI9*管理者用人口入力シート!AV$3,IF(管理者入力シート!$B$14=2,EI9*管理者用人口入力シート!AV$7))</f>
        <v>6.4871468714424383</v>
      </c>
      <c r="EK12" s="9">
        <f>IF(管理者入力シート!$B$14=1,EJ9*管理者用人口入力シート!AW$3,IF(管理者入力シート!$B$14=2,EJ9*管理者用人口入力シート!AW$7))</f>
        <v>3.872983346207417</v>
      </c>
      <c r="EL12" s="9">
        <f>IF(管理者入力シート!$B$14=1,EK9*管理者用人口入力シート!AX$3,IF(管理者入力シート!$B$14=2,EK9*管理者用人口入力シート!AX$7))</f>
        <v>6.6143782776614763</v>
      </c>
      <c r="EM12" s="9">
        <f>IF(管理者入力シート!$B$14=1,EL9*管理者用人口入力シート!AY$3,IF(管理者入力シート!$B$14=2,EL9*管理者用人口入力シート!AY$7))</f>
        <v>0</v>
      </c>
      <c r="EN12" s="9">
        <f>IF(管理者入力シート!$B$14=1,EM9*管理者用人口入力シート!AZ$3,IF(管理者入力シート!$B$14=2,EM9*管理者用人口入力シート!AZ$7))</f>
        <v>1.7078251276599332</v>
      </c>
      <c r="EO12" s="9">
        <f>IF(管理者入力シート!$B$14=1,EN9*管理者用人口入力シート!BA$3,IF(管理者入力シート!$B$14=2,EN9*管理者用人口入力シート!BA$7))</f>
        <v>3.9686269665968865</v>
      </c>
      <c r="EP12" s="9">
        <f>IF(管理者入力シート!$B$14=1,EO9*管理者用人口入力シート!BB$3,IF(管理者入力シート!$B$14=2,EO9*管理者用人口入力シート!BB$7))</f>
        <v>3.6893239368631092</v>
      </c>
      <c r="EQ12" s="9">
        <f>IF(管理者入力シート!$B$14=1,EP9*管理者用人口入力シート!BC$3,IF(管理者入力シート!$B$14=2,EP9*管理者用人口入力シート!BC$7))</f>
        <v>2.5</v>
      </c>
      <c r="ER12" s="9">
        <f>IF(管理者入力シート!$B$14=1,EQ9*管理者用人口入力シート!BD$3,IF(管理者入力シート!$B$14=2,EQ9*管理者用人口入力シート!BD$7))</f>
        <v>0.8660254037844386</v>
      </c>
      <c r="ES12" s="9">
        <f>IF(管理者入力シート!$B$14=1,ER9*管理者用人口入力シート!BE$3,IF(管理者入力シート!$B$14=2,ER9*管理者用人口入力シート!BE$7))</f>
        <v>7.4535599249992985E-4</v>
      </c>
      <c r="ET12" s="9">
        <f>IF(管理者入力シート!$B$14=1,ES9*管理者用人口入力シート!BF$3,IF(管理者入力シート!$B$14=2,ES9*管理者用人口入力シート!BF$7))</f>
        <v>9.9999999999999974E-7</v>
      </c>
      <c r="EU12" s="9">
        <f t="shared" si="42"/>
        <v>58.292232507287686</v>
      </c>
      <c r="EV12" s="9">
        <f t="shared" si="31"/>
        <v>2.0624104849641642</v>
      </c>
      <c r="EW12" s="9">
        <f t="shared" si="32"/>
        <v>0.58621716488370734</v>
      </c>
      <c r="EX12" s="9">
        <f t="shared" si="7"/>
        <v>12.732547790896867</v>
      </c>
      <c r="EY12" s="9">
        <f t="shared" si="33"/>
        <v>11.024722663236934</v>
      </c>
      <c r="EZ12" s="13">
        <f t="shared" si="34"/>
        <v>0.21842614775999608</v>
      </c>
      <c r="FA12" s="13">
        <f t="shared" si="35"/>
        <v>0.18912850287315081</v>
      </c>
      <c r="FB12" s="9">
        <f t="shared" si="43"/>
        <v>14.97825353031519</v>
      </c>
    </row>
    <row r="13" spans="1:158" x14ac:dyDescent="0.15">
      <c r="A13" s="7" t="str">
        <f t="shared" si="8"/>
        <v>2020_2</v>
      </c>
      <c r="B13" s="29">
        <v>2020</v>
      </c>
      <c r="C13" s="4" t="s">
        <v>22</v>
      </c>
      <c r="D13" s="4">
        <v>2</v>
      </c>
      <c r="E13" s="4">
        <v>2</v>
      </c>
      <c r="F13" s="4">
        <v>3</v>
      </c>
      <c r="G13" s="4">
        <v>0</v>
      </c>
      <c r="H13" s="4">
        <v>0</v>
      </c>
      <c r="I13" s="4">
        <v>2</v>
      </c>
      <c r="J13" s="4">
        <v>1</v>
      </c>
      <c r="K13" s="4">
        <v>3</v>
      </c>
      <c r="L13" s="4">
        <v>2</v>
      </c>
      <c r="M13" s="4">
        <v>1</v>
      </c>
      <c r="N13" s="4">
        <v>4</v>
      </c>
      <c r="O13" s="4">
        <v>2</v>
      </c>
      <c r="P13" s="4">
        <v>7</v>
      </c>
      <c r="Q13" s="4">
        <v>1</v>
      </c>
      <c r="R13" s="4">
        <v>4</v>
      </c>
      <c r="S13" s="4">
        <v>1</v>
      </c>
      <c r="T13" s="4">
        <v>8</v>
      </c>
      <c r="U13" s="4">
        <v>5</v>
      </c>
      <c r="V13" s="4">
        <v>2</v>
      </c>
      <c r="W13" s="4">
        <v>0</v>
      </c>
      <c r="X13" s="4">
        <v>0</v>
      </c>
      <c r="Y13" s="10">
        <f t="shared" si="53"/>
        <v>50</v>
      </c>
      <c r="Z13" s="10">
        <f t="shared" si="54"/>
        <v>3</v>
      </c>
      <c r="AA13" s="10">
        <f t="shared" si="55"/>
        <v>1.2</v>
      </c>
      <c r="AB13" s="10">
        <f>SUM(Q13:X13)</f>
        <v>21</v>
      </c>
      <c r="AC13" s="10">
        <f t="shared" si="56"/>
        <v>16</v>
      </c>
      <c r="AD13" s="14">
        <f t="shared" si="57"/>
        <v>0.42</v>
      </c>
      <c r="AE13" s="14">
        <f t="shared" si="58"/>
        <v>0.32</v>
      </c>
      <c r="AF13" s="10">
        <f>SUM(H13:K13)</f>
        <v>6</v>
      </c>
      <c r="AI13" s="60" t="s">
        <v>47</v>
      </c>
      <c r="AJ13" s="1" t="s">
        <v>21</v>
      </c>
      <c r="AK13" s="8">
        <f>VLOOKUP(AK12&amp;"_1",A:D,4,FALSE)/VLOOKUP(AK12&amp;"_2",A:AF,32,FALSE)</f>
        <v>0.16666666666666666</v>
      </c>
      <c r="AL13" s="63"/>
      <c r="BH13" s="7" t="str">
        <f t="shared" si="16"/>
        <v>2040_2</v>
      </c>
      <c r="BI13" s="29">
        <f>BI12</f>
        <v>2040</v>
      </c>
      <c r="BJ13" s="4" t="s">
        <v>22</v>
      </c>
      <c r="BK13" s="10">
        <f>CM13*$AK$14</f>
        <v>2.7471079227951436</v>
      </c>
      <c r="BL13" s="10">
        <f>IF(管理者入力シート!$B$14=1,BK10*管理者用人口入力シート!AM$4,IF(管理者入力シート!$B$14=2,BK10*管理者用人口入力シート!AM$8))</f>
        <v>3.0525645584275161</v>
      </c>
      <c r="BM13" s="10">
        <f>IF(管理者入力シート!$B$14=1,BL10*管理者用人口入力シート!AN$4,IF(管理者入力シート!$B$14=2,BL10*管理者用人口入力シート!AN$8))</f>
        <v>1.8020951405812151</v>
      </c>
      <c r="BN13" s="10">
        <f>IF(管理者入力シート!$B$14=1,BM10*管理者用人口入力シート!AO$4,IF(管理者入力シート!$B$14=2,BM10*管理者用人口入力シート!AO$8))</f>
        <v>0.8660254037844386</v>
      </c>
      <c r="BO13" s="10">
        <f>IF(管理者入力シート!$B$14=1,BN10*管理者用人口入力シート!AP$4,IF(管理者入力シート!$B$14=2,BN10*管理者用人口入力シート!AP$8))</f>
        <v>2.4494897427831783</v>
      </c>
      <c r="BP13" s="10">
        <f>IF(管理者入力シート!$B$14=1,BO10*管理者用人口入力シート!AQ$4,IF(管理者入力シート!$B$14=2,BO10*管理者用人口入力シート!AQ$8))</f>
        <v>1.5491933384829668</v>
      </c>
      <c r="BQ13" s="10">
        <f>IF(管理者入力シート!$B$14=1,BP10*管理者用人口入力シート!AR$4,IF(管理者入力シート!$B$14=2,BP10*管理者用人口入力シート!AR$8))</f>
        <v>4.2426406871192857</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2.3094010767585029</v>
      </c>
      <c r="BU13" s="10">
        <f>IF(管理者入力シート!$B$14=1,BT10*管理者用人口入力シート!AV$4,IF(管理者入力シート!$B$14=2,BT10*管理者用人口入力シート!AV$8))</f>
        <v>1.1547005383792515</v>
      </c>
      <c r="BV13" s="10">
        <f>IF(管理者入力シート!$B$14=1,BU10*管理者用人口入力シート!AW$4,IF(管理者入力シート!$B$14=2,BU10*管理者用人口入力シート!AW$8))</f>
        <v>3.4641016151377544</v>
      </c>
      <c r="BW13" s="10">
        <f>IF(管理者入力シート!$B$14=1,BV10*管理者用人口入力シート!AX$4,IF(管理者入力シート!$B$14=2,BV10*管理者用人口入力シート!AX$8))</f>
        <v>2.3094010767585029</v>
      </c>
      <c r="BX13" s="10">
        <f>IF(管理者入力シート!$B$14=1,BW10*管理者用人口入力シート!AY$4,IF(管理者入力シート!$B$14=2,BW10*管理者用人口入力シート!AY$8))</f>
        <v>1</v>
      </c>
      <c r="BY13" s="10">
        <f>IF(管理者入力シート!$B$14=1,BX10*管理者用人口入力シート!AZ$4,IF(管理者入力シート!$B$14=2,BX10*管理者用人口入力シート!AZ$8))</f>
        <v>4</v>
      </c>
      <c r="BZ13" s="10">
        <f>IF(管理者入力シート!$B$14=1,BY10*管理者用人口入力シート!BA$4,IF(管理者入力シート!$B$14=2,BY10*管理者用人口入力シート!BA$8))</f>
        <v>1.8973665961010275</v>
      </c>
      <c r="CA13" s="10">
        <f>IF(管理者入力シート!$B$14=1,BZ10*管理者用人口入力シート!BB$4,IF(管理者入力シート!$B$14=2,BZ10*管理者用人口入力シート!BB$8))</f>
        <v>5.9696200579570915</v>
      </c>
      <c r="CB13" s="10">
        <f>IF(管理者入力シート!$B$14=1,CA10*管理者用人口入力シート!BC$4,IF(管理者入力シート!$B$14=2,CA10*管理者用人口入力シート!BC$8))</f>
        <v>0.50964719143762549</v>
      </c>
      <c r="CC13" s="10">
        <f>IF(管理者入力シート!$B$14=1,CB10*管理者用人口入力シート!BD$4,IF(管理者入力シート!$B$14=2,CB10*管理者用人口入力シート!BD$8))</f>
        <v>0.64465837122030423</v>
      </c>
      <c r="CD13" s="10">
        <f>IF(管理者入力シート!$B$14=1,CC10*管理者用人口入力シート!BE$4,IF(管理者入力シート!$B$14=2,CC10*管理者用人口入力シート!BE$8))</f>
        <v>1.6988239714587513E-4</v>
      </c>
      <c r="CE13" s="10">
        <f>IF(管理者入力シート!$B$14=1,CD10*管理者用人口入力シート!BF$4,IF(管理者入力シート!$B$14=2,CD10*管理者用人口入力シート!BF$8))</f>
        <v>1.5118578920369088E-6</v>
      </c>
      <c r="CF13" s="10">
        <f t="shared" si="2"/>
        <v>39.968184711978836</v>
      </c>
      <c r="CG13" s="10">
        <f t="shared" si="17"/>
        <v>2.9127958194052388</v>
      </c>
      <c r="CH13" s="10">
        <f t="shared" si="18"/>
        <v>0.89404313698937377</v>
      </c>
      <c r="CI13" s="10">
        <f t="shared" si="3"/>
        <v>14.021463610971088</v>
      </c>
      <c r="CJ13" s="10">
        <f t="shared" si="19"/>
        <v>9.021463610971086</v>
      </c>
      <c r="CK13" s="14">
        <f t="shared" si="20"/>
        <v>0.35081562277630102</v>
      </c>
      <c r="CL13" s="14">
        <f t="shared" si="21"/>
        <v>0.22571612085918102</v>
      </c>
      <c r="CM13" s="10">
        <f t="shared" si="22"/>
        <v>8.2413237683854312</v>
      </c>
      <c r="CO13" s="7" t="str">
        <f t="shared" si="23"/>
        <v>2040_2</v>
      </c>
      <c r="CP13" s="29">
        <f>CP12</f>
        <v>2040</v>
      </c>
      <c r="CQ13" s="4" t="s">
        <v>22</v>
      </c>
      <c r="CR13" s="10">
        <f>DT13*$AK$14+将来予測シート②!$H17</f>
        <v>6.6899169643772058</v>
      </c>
      <c r="CS13" s="10">
        <f>IF(管理者入力シート!$B$14=1,CR10*管理者用人口入力シート!AM$4,IF(管理者入力シート!$B$14=2,CR10*管理者用人口入力シート!AM$8))+将来予測シート②!$H18</f>
        <v>8.5413370411800162</v>
      </c>
      <c r="CT13" s="10">
        <f>IF(管理者入力シート!$B$14=1,CS10*管理者用人口入力シート!AN$4,IF(管理者入力シート!$B$14=2,CS10*管理者用人口入力シート!AN$8))+将来予測シート②!$H19</f>
        <v>4.8228210827449054</v>
      </c>
      <c r="CU13" s="10">
        <f>IF(管理者入力シート!$B$14=1,CT10*管理者用人口入力シート!AO$4,IF(管理者入力シート!$B$14=2,CT10*管理者用人口入力シート!AO$8))+将来予測シート②!$H20</f>
        <v>2.7320508075688772</v>
      </c>
      <c r="CV13" s="10">
        <f>IF(管理者入力シート!$B$14=1,CU10*管理者用人口入力シート!AP$4,IF(管理者入力シート!$B$14=2,CU10*管理者用人口入力シート!AP$8))+将来予測シート②!$H21</f>
        <v>3.8637033051562732</v>
      </c>
      <c r="CW13" s="10">
        <f>IF(管理者入力シート!$B$14=1,CV10*管理者用人口入力シート!AQ$4,IF(管理者入力シート!$B$14=2,CV10*管理者用人口入力シート!AQ$8))+将来予測シート②!$H22</f>
        <v>4.9634069008560617</v>
      </c>
      <c r="CX13" s="10">
        <f>IF(管理者入力シート!$B$14=1,CW10*管理者用人口入力シート!AR$4,IF(管理者入力シート!$B$14=2,CW10*管理者用人口入力シート!AR$8))+将来予測シート②!$H23</f>
        <v>6.2426406871192857</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3</v>
      </c>
      <c r="DA13" s="10">
        <f>IF(管理者入力シート!$B$14=1,CZ10*管理者用人口入力シート!AU$4,IF(管理者入力シート!$B$14=2,CZ10*管理者用人口入力シート!AU$8))+将来予測シート②!$H26</f>
        <v>3.4641016151377544</v>
      </c>
      <c r="DB13" s="10">
        <f>IF(管理者入力シート!$B$14=1,DA10*管理者用人口入力シート!AV$4,IF(管理者入力シート!$B$14=2,DA10*管理者用人口入力シート!AV$8))+将来予測シート②!$H27</f>
        <v>2.3094010767585029</v>
      </c>
      <c r="DC13" s="10">
        <f>IF(管理者入力シート!$B$14=1,DB10*管理者用人口入力シート!AW$4,IF(管理者入力シート!$B$14=2,DB10*管理者用人口入力シート!AW$8))+将来予測シート②!$H28</f>
        <v>4.6188021535170058</v>
      </c>
      <c r="DD13" s="10">
        <f>IF(管理者入力シート!$B$14=1,DC10*管理者用人口入力シート!AX$4,IF(管理者入力シート!$B$14=2,DC10*管理者用人口入力シート!AX$8))+将来予測シート②!$H29</f>
        <v>2.3094010767585029</v>
      </c>
      <c r="DE13" s="10">
        <f>IF(管理者入力シート!$B$14=1,DD10*管理者用人口入力シート!AY$4,IF(管理者入力シート!$B$14=2,DD10*管理者用人口入力シート!AY$8))</f>
        <v>1</v>
      </c>
      <c r="DF13" s="10">
        <f>IF(管理者入力シート!$B$14=1,DE10*管理者用人口入力シート!AZ$4,IF(管理者入力シート!$B$14=2,DE10*管理者用人口入力シート!AZ$8))</f>
        <v>4</v>
      </c>
      <c r="DG13" s="10">
        <f>IF(管理者入力シート!$B$14=1,DF10*管理者用人口入力シート!BA$4,IF(管理者入力シート!$B$14=2,DF10*管理者用人口入力シート!BA$8))</f>
        <v>1.8973665961010275</v>
      </c>
      <c r="DH13" s="10">
        <f>IF(管理者入力シート!$B$14=1,DG10*管理者用人口入力シート!BB$4,IF(管理者入力シート!$B$14=2,DG10*管理者用人口入力シート!BB$8))</f>
        <v>5.9696200579570915</v>
      </c>
      <c r="DI13" s="10">
        <f>IF(管理者入力シート!$B$14=1,DH10*管理者用人口入力シート!BC$4,IF(管理者入力シート!$B$14=2,DH10*管理者用人口入力シート!BC$8))</f>
        <v>0.50964719143762549</v>
      </c>
      <c r="DJ13" s="10">
        <f>IF(管理者入力シート!$B$14=1,DI10*管理者用人口入力シート!BD$4,IF(管理者入力シート!$B$14=2,DI10*管理者用人口入力シート!BD$8))</f>
        <v>0.64465837122030423</v>
      </c>
      <c r="DK13" s="10">
        <f>IF(管理者入力シート!$B$14=1,DJ10*管理者用人口入力シート!BE$4,IF(管理者入力シート!$B$14=2,DJ10*管理者用人口入力シート!BE$8))</f>
        <v>1.6988239714587513E-4</v>
      </c>
      <c r="DL13" s="10">
        <f>IF(管理者入力シート!$B$14=1,DK10*管理者用人口入力シート!BF$4,IF(管理者入力シート!$B$14=2,DK10*管理者用人口入力シート!BF$8))</f>
        <v>1.5118578920369088E-6</v>
      </c>
      <c r="DM13" s="10">
        <f t="shared" si="40"/>
        <v>69.579046322145487</v>
      </c>
      <c r="DN13" s="10">
        <f t="shared" si="25"/>
        <v>8.0184948743549533</v>
      </c>
      <c r="DO13" s="10">
        <f t="shared" si="26"/>
        <v>2.4755385946117374</v>
      </c>
      <c r="DP13" s="10">
        <f t="shared" si="5"/>
        <v>14.021463610971088</v>
      </c>
      <c r="DQ13" s="10">
        <f t="shared" si="27"/>
        <v>9.021463610971086</v>
      </c>
      <c r="DR13" s="14">
        <f t="shared" si="28"/>
        <v>0.20151847937168926</v>
      </c>
      <c r="DS13" s="14">
        <f t="shared" si="29"/>
        <v>0.12965776462647133</v>
      </c>
      <c r="DT13" s="10">
        <f t="shared" si="41"/>
        <v>17.069750893131619</v>
      </c>
      <c r="DV13" s="62"/>
      <c r="DX13" s="29">
        <f>DX12</f>
        <v>2040</v>
      </c>
      <c r="DY13" s="4" t="s">
        <v>22</v>
      </c>
      <c r="DZ13" s="10">
        <f>FB13*$AK$14</f>
        <v>4.7471079227951432</v>
      </c>
      <c r="EA13" s="10">
        <f>IF(管理者入力シート!$B$14=1,DZ10*管理者用人口入力シート!AM$4,IF(管理者入力シート!$B$14=2,DZ10*管理者用人口入力シート!AM$8))</f>
        <v>6.2148422185958951</v>
      </c>
      <c r="EB13" s="10">
        <f>IF(管理者入力シート!$B$14=1,EA10*管理者用人口入力シート!AN$4,IF(管理者入力シート!$B$14=2,EA10*管理者用人口入力シート!AN$8))</f>
        <v>3.2454708135552792</v>
      </c>
      <c r="EC13" s="10">
        <f>IF(管理者入力シート!$B$14=1,EB10*管理者用人口入力シート!AO$4,IF(管理者入力シート!$B$14=2,EB10*管理者用人口入力シート!AO$8))</f>
        <v>0.8660254037844386</v>
      </c>
      <c r="ED13" s="10">
        <f>IF(管理者入力シート!$B$14=1,EC10*管理者用人口入力シート!AP$4,IF(管理者入力シート!$B$14=2,EC10*管理者用人口入力シート!AP$8))</f>
        <v>2.4494897427831783</v>
      </c>
      <c r="EE13" s="10">
        <f>IF(管理者入力シート!$B$14=1,ED10*管理者用人口入力シート!AQ$4,IF(管理者入力シート!$B$14=2,ED10*管理者用人口入力シート!AQ$8))+DX1</f>
        <v>2.5491933384829668</v>
      </c>
      <c r="EF13" s="10">
        <f>IF(管理者入力シート!$B$14=1,EE10*管理者用人口入力シート!AR$4,IF(管理者入力シート!$B$14=2,EE10*管理者用人口入力シート!AR$8))+DX1</f>
        <v>6.2426406871192857</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3</v>
      </c>
      <c r="EI13" s="10">
        <f>IF(管理者入力シート!$B$14=1,EH10*管理者用人口入力シート!AU$4,IF(管理者入力シート!$B$14=2,EH10*管理者用人口入力シート!AU$8))</f>
        <v>4.6188021535170058</v>
      </c>
      <c r="EJ13" s="10">
        <f>IF(管理者入力シート!$B$14=1,EI10*管理者用人口入力シート!AV$4,IF(管理者入力シート!$B$14=2,EI10*管理者用人口入力シート!AV$8))</f>
        <v>2.3094010767585029</v>
      </c>
      <c r="EK13" s="10">
        <f>IF(管理者入力シート!$B$14=1,EJ10*管理者用人口入力シート!AW$4,IF(管理者入力シート!$B$14=2,EJ10*管理者用人口入力シート!AW$8))</f>
        <v>3.4641016151377544</v>
      </c>
      <c r="EL13" s="10">
        <f>IF(管理者入力シート!$B$14=1,EK10*管理者用人口入力シート!AX$4,IF(管理者入力シート!$B$14=2,EK10*管理者用人口入力シート!AX$8))</f>
        <v>2.3094010767585029</v>
      </c>
      <c r="EM13" s="10">
        <f>IF(管理者入力シート!$B$14=1,EL10*管理者用人口入力シート!AY$4,IF(管理者入力シート!$B$14=2,EL10*管理者用人口入力シート!AY$8))</f>
        <v>1</v>
      </c>
      <c r="EN13" s="10">
        <f>IF(管理者入力シート!$B$14=1,EM10*管理者用人口入力シート!AZ$4,IF(管理者入力シート!$B$14=2,EM10*管理者用人口入力シート!AZ$8))</f>
        <v>4</v>
      </c>
      <c r="EO13" s="10">
        <f>IF(管理者入力シート!$B$14=1,EN10*管理者用人口入力シート!BA$4,IF(管理者入力シート!$B$14=2,EN10*管理者用人口入力シート!BA$8))</f>
        <v>1.8973665961010275</v>
      </c>
      <c r="EP13" s="10">
        <f>IF(管理者入力シート!$B$14=1,EO10*管理者用人口入力シート!BB$4,IF(管理者入力シート!$B$14=2,EO10*管理者用人口入力シート!BB$8))</f>
        <v>5.9696200579570915</v>
      </c>
      <c r="EQ13" s="10">
        <f>IF(管理者入力シート!$B$14=1,EP10*管理者用人口入力シート!BC$4,IF(管理者入力シート!$B$14=2,EP10*管理者用人口入力シート!BC$8))</f>
        <v>0.50964719143762549</v>
      </c>
      <c r="ER13" s="10">
        <f>IF(管理者入力シート!$B$14=1,EQ10*管理者用人口入力シート!BD$4,IF(管理者入力シート!$B$14=2,EQ10*管理者用人口入力シート!BD$8))</f>
        <v>0.64465837122030423</v>
      </c>
      <c r="ES13" s="10">
        <f>IF(管理者入力シート!$B$14=1,ER10*管理者用人口入力シート!BE$4,IF(管理者入力シート!$B$14=2,ER10*管理者用人口入力シート!BE$8))</f>
        <v>1.6988239714587513E-4</v>
      </c>
      <c r="ET13" s="10">
        <f>IF(管理者入力シート!$B$14=1,ES10*管理者用人口入力シート!BF$4,IF(管理者入力シート!$B$14=2,ES10*管理者用人口入力シート!BF$8))</f>
        <v>1.5118578920369088E-6</v>
      </c>
      <c r="EU13" s="10">
        <f t="shared" si="42"/>
        <v>59.037939660259035</v>
      </c>
      <c r="EV13" s="10">
        <f t="shared" si="31"/>
        <v>5.6761878192907051</v>
      </c>
      <c r="EW13" s="10">
        <f t="shared" si="32"/>
        <v>1.4713934061789993</v>
      </c>
      <c r="EX13" s="10">
        <f t="shared" si="7"/>
        <v>14.021463610971088</v>
      </c>
      <c r="EY13" s="10">
        <f t="shared" si="33"/>
        <v>9.021463610971086</v>
      </c>
      <c r="EZ13" s="14">
        <f t="shared" si="34"/>
        <v>0.23749920291357213</v>
      </c>
      <c r="FA13" s="14">
        <f t="shared" si="35"/>
        <v>0.15280790052779941</v>
      </c>
      <c r="FB13" s="10">
        <f t="shared" si="43"/>
        <v>14.241323768385431</v>
      </c>
    </row>
    <row r="14" spans="1:158" x14ac:dyDescent="0.15">
      <c r="A14" s="7" t="str">
        <f t="shared" si="8"/>
        <v>2020_3</v>
      </c>
      <c r="B14" s="30">
        <v>2020</v>
      </c>
      <c r="C14" s="5" t="s">
        <v>23</v>
      </c>
      <c r="D14" s="5">
        <v>3</v>
      </c>
      <c r="E14" s="5">
        <v>7</v>
      </c>
      <c r="F14" s="5">
        <v>5</v>
      </c>
      <c r="G14" s="5">
        <v>1</v>
      </c>
      <c r="H14" s="5">
        <v>0</v>
      </c>
      <c r="I14" s="5">
        <v>3</v>
      </c>
      <c r="J14" s="5">
        <v>4</v>
      </c>
      <c r="K14" s="5">
        <v>6</v>
      </c>
      <c r="L14" s="5">
        <v>7</v>
      </c>
      <c r="M14" s="5">
        <v>1</v>
      </c>
      <c r="N14" s="5">
        <v>6</v>
      </c>
      <c r="O14" s="5">
        <v>8</v>
      </c>
      <c r="P14" s="5">
        <v>14</v>
      </c>
      <c r="Q14" s="5">
        <v>6</v>
      </c>
      <c r="R14" s="5">
        <v>7</v>
      </c>
      <c r="S14" s="5">
        <v>3</v>
      </c>
      <c r="T14" s="5">
        <v>10</v>
      </c>
      <c r="U14" s="5">
        <v>10</v>
      </c>
      <c r="V14" s="5">
        <v>4</v>
      </c>
      <c r="W14" s="5">
        <v>0</v>
      </c>
      <c r="X14" s="5">
        <v>0</v>
      </c>
      <c r="Y14" s="11">
        <f t="shared" si="53"/>
        <v>105</v>
      </c>
      <c r="Z14" s="11">
        <f t="shared" si="54"/>
        <v>7.2</v>
      </c>
      <c r="AA14" s="11">
        <f t="shared" si="55"/>
        <v>2.2000000000000002</v>
      </c>
      <c r="AB14" s="11">
        <f>SUM(Q14:X14)</f>
        <v>40</v>
      </c>
      <c r="AC14" s="11">
        <f t="shared" si="56"/>
        <v>27</v>
      </c>
      <c r="AD14" s="15">
        <f t="shared" si="57"/>
        <v>0.38095238095238093</v>
      </c>
      <c r="AE14" s="15">
        <f t="shared" si="58"/>
        <v>0.25714285714285712</v>
      </c>
      <c r="AF14" s="11">
        <f>SUM(H14:K14)</f>
        <v>13</v>
      </c>
      <c r="AI14" s="43"/>
      <c r="AJ14" s="1" t="s">
        <v>22</v>
      </c>
      <c r="AK14" s="8">
        <f>VLOOKUP(AK12&amp;"_2",A:D,4,FALSE)/VLOOKUP(AK12&amp;"_2",A:AF,32,FALSE)</f>
        <v>0.33333333333333331</v>
      </c>
      <c r="AL14" s="63"/>
      <c r="BH14" s="7" t="str">
        <f t="shared" si="16"/>
        <v>2040_3</v>
      </c>
      <c r="BI14" s="30">
        <f>BI13</f>
        <v>2040</v>
      </c>
      <c r="BJ14" s="5" t="s">
        <v>23</v>
      </c>
      <c r="BK14" s="16">
        <f t="shared" ref="BK14:CE14" si="59">BK12+BK13</f>
        <v>4.1206618841927156</v>
      </c>
      <c r="BL14" s="16">
        <f t="shared" si="59"/>
        <v>4.105799393147481</v>
      </c>
      <c r="BM14" s="16">
        <f t="shared" si="59"/>
        <v>2.5200670301695998</v>
      </c>
      <c r="BN14" s="16">
        <f t="shared" si="59"/>
        <v>1.2110581834556156</v>
      </c>
      <c r="BO14" s="16">
        <f t="shared" si="59"/>
        <v>3.1395553021255322</v>
      </c>
      <c r="BP14" s="16">
        <f t="shared" si="59"/>
        <v>6.0213292934825464</v>
      </c>
      <c r="BQ14" s="16">
        <f t="shared" si="59"/>
        <v>6.4335309171399508</v>
      </c>
      <c r="BR14" s="16">
        <f t="shared" si="59"/>
        <v>1.4696938456699071</v>
      </c>
      <c r="BS14" s="16">
        <f t="shared" si="59"/>
        <v>0</v>
      </c>
      <c r="BT14" s="16">
        <f t="shared" si="59"/>
        <v>3.651041863258377</v>
      </c>
      <c r="BU14" s="16">
        <f t="shared" si="59"/>
        <v>6.3508529610858835</v>
      </c>
      <c r="BV14" s="16">
        <f t="shared" si="59"/>
        <v>7.3370849613451714</v>
      </c>
      <c r="BW14" s="16">
        <f t="shared" si="59"/>
        <v>8.9237793544199793</v>
      </c>
      <c r="BX14" s="16">
        <f t="shared" si="59"/>
        <v>1</v>
      </c>
      <c r="BY14" s="16">
        <f t="shared" si="59"/>
        <v>5.707825127659933</v>
      </c>
      <c r="BZ14" s="16">
        <f t="shared" si="59"/>
        <v>5.8659935626979145</v>
      </c>
      <c r="CA14" s="16">
        <f t="shared" si="59"/>
        <v>9.6589439948202003</v>
      </c>
      <c r="CB14" s="16">
        <f t="shared" si="59"/>
        <v>3.0096471914376255</v>
      </c>
      <c r="CC14" s="16">
        <f t="shared" si="59"/>
        <v>1.5106837750047428</v>
      </c>
      <c r="CD14" s="16">
        <f t="shared" si="59"/>
        <v>9.1523838964580495E-4</v>
      </c>
      <c r="CE14" s="16">
        <f t="shared" si="59"/>
        <v>2.5118578920369084E-6</v>
      </c>
      <c r="CF14" s="11">
        <f t="shared" si="2"/>
        <v>82.0384663913607</v>
      </c>
      <c r="CG14" s="11">
        <f t="shared" si="17"/>
        <v>3.9755198539902485</v>
      </c>
      <c r="CH14" s="11">
        <f t="shared" si="18"/>
        <v>1.2502384487589631</v>
      </c>
      <c r="CI14" s="11">
        <f t="shared" si="3"/>
        <v>26.754011401867952</v>
      </c>
      <c r="CJ14" s="11">
        <f t="shared" si="19"/>
        <v>20.046186274208022</v>
      </c>
      <c r="CK14" s="15">
        <f t="shared" si="20"/>
        <v>0.32611545021135796</v>
      </c>
      <c r="CL14" s="15">
        <f t="shared" si="21"/>
        <v>0.24435106061805958</v>
      </c>
      <c r="CM14" s="11">
        <f t="shared" si="22"/>
        <v>17.064109358417937</v>
      </c>
      <c r="CO14" s="7" t="str">
        <f t="shared" si="23"/>
        <v>2040_3</v>
      </c>
      <c r="CP14" s="30">
        <f>CP13</f>
        <v>2040</v>
      </c>
      <c r="CQ14" s="5" t="s">
        <v>23</v>
      </c>
      <c r="CR14" s="16">
        <f t="shared" ref="CR14:DL14" si="60">CR12+CR13</f>
        <v>10.53487544656581</v>
      </c>
      <c r="CS14" s="16">
        <f t="shared" si="60"/>
        <v>12.033923028196725</v>
      </c>
      <c r="CT14" s="16">
        <f t="shared" si="60"/>
        <v>7.6909022379038801</v>
      </c>
      <c r="CU14" s="16">
        <f t="shared" si="60"/>
        <v>4.7671491465824083</v>
      </c>
      <c r="CV14" s="16">
        <f t="shared" si="60"/>
        <v>5.5537688644986272</v>
      </c>
      <c r="CW14" s="16">
        <f t="shared" si="60"/>
        <v>12.849756418228736</v>
      </c>
      <c r="CX14" s="16">
        <f t="shared" si="60"/>
        <v>9.9827242556229159</v>
      </c>
      <c r="CY14" s="16">
        <f t="shared" si="60"/>
        <v>5.548154814752559</v>
      </c>
      <c r="CZ14" s="16">
        <f t="shared" si="60"/>
        <v>4.897366596101028</v>
      </c>
      <c r="DA14" s="16">
        <f t="shared" si="60"/>
        <v>4.8057424016376284</v>
      </c>
      <c r="DB14" s="16">
        <f t="shared" si="60"/>
        <v>7.5055534994651349</v>
      </c>
      <c r="DC14" s="16">
        <f t="shared" si="60"/>
        <v>8.491785499724422</v>
      </c>
      <c r="DD14" s="16">
        <f t="shared" si="60"/>
        <v>8.9237793544199793</v>
      </c>
      <c r="DE14" s="16">
        <f t="shared" si="60"/>
        <v>1</v>
      </c>
      <c r="DF14" s="16">
        <f t="shared" si="60"/>
        <v>5.707825127659933</v>
      </c>
      <c r="DG14" s="16">
        <f t="shared" si="60"/>
        <v>5.8659935626979145</v>
      </c>
      <c r="DH14" s="16">
        <f t="shared" si="60"/>
        <v>9.6589439948202003</v>
      </c>
      <c r="DI14" s="16">
        <f t="shared" si="60"/>
        <v>3.0096471914376255</v>
      </c>
      <c r="DJ14" s="16">
        <f t="shared" si="60"/>
        <v>1.5106837750047428</v>
      </c>
      <c r="DK14" s="16">
        <f t="shared" si="60"/>
        <v>9.1523838964580495E-4</v>
      </c>
      <c r="DL14" s="16">
        <f t="shared" si="60"/>
        <v>2.5118578920369084E-6</v>
      </c>
      <c r="DM14" s="11">
        <f t="shared" si="40"/>
        <v>130.33949296556781</v>
      </c>
      <c r="DN14" s="11">
        <f t="shared" si="25"/>
        <v>11.834895159660363</v>
      </c>
      <c r="DO14" s="11">
        <f t="shared" si="26"/>
        <v>4.0297907244780342</v>
      </c>
      <c r="DP14" s="11">
        <f t="shared" si="5"/>
        <v>26.754011401867952</v>
      </c>
      <c r="DQ14" s="11">
        <f t="shared" si="27"/>
        <v>20.046186274208022</v>
      </c>
      <c r="DR14" s="15">
        <f t="shared" si="28"/>
        <v>0.20526404386838948</v>
      </c>
      <c r="DS14" s="15">
        <f t="shared" si="29"/>
        <v>0.1537997871412902</v>
      </c>
      <c r="DT14" s="11">
        <f t="shared" si="41"/>
        <v>33.934404353102842</v>
      </c>
      <c r="DX14" s="30">
        <f>DX13</f>
        <v>2040</v>
      </c>
      <c r="DY14" s="5" t="s">
        <v>23</v>
      </c>
      <c r="DZ14" s="16">
        <f t="shared" ref="DZ14:ET14" si="61">DZ12+DZ13</f>
        <v>7.1206618841927147</v>
      </c>
      <c r="EA14" s="16">
        <f t="shared" si="61"/>
        <v>8.3591665044958212</v>
      </c>
      <c r="EB14" s="16">
        <f t="shared" si="61"/>
        <v>4.5384973359289589</v>
      </c>
      <c r="EC14" s="16">
        <f t="shared" si="61"/>
        <v>1.2110581834556156</v>
      </c>
      <c r="ED14" s="16">
        <f t="shared" si="61"/>
        <v>3.1395553021255322</v>
      </c>
      <c r="EE14" s="16">
        <f t="shared" si="61"/>
        <v>8.0213292934825464</v>
      </c>
      <c r="EF14" s="16">
        <f t="shared" si="61"/>
        <v>10.208127586381433</v>
      </c>
      <c r="EG14" s="16">
        <f t="shared" si="61"/>
        <v>7.850565116711107</v>
      </c>
      <c r="EH14" s="16">
        <f t="shared" si="61"/>
        <v>6.0862990986173795</v>
      </c>
      <c r="EI14" s="16">
        <f t="shared" si="61"/>
        <v>8.9834881963215629</v>
      </c>
      <c r="EJ14" s="16">
        <f t="shared" si="61"/>
        <v>8.7965479482009421</v>
      </c>
      <c r="EK14" s="16">
        <f t="shared" si="61"/>
        <v>7.3370849613451714</v>
      </c>
      <c r="EL14" s="16">
        <f t="shared" si="61"/>
        <v>8.9237793544199793</v>
      </c>
      <c r="EM14" s="16">
        <f t="shared" si="61"/>
        <v>1</v>
      </c>
      <c r="EN14" s="16">
        <f t="shared" si="61"/>
        <v>5.707825127659933</v>
      </c>
      <c r="EO14" s="16">
        <f t="shared" si="61"/>
        <v>5.8659935626979145</v>
      </c>
      <c r="EP14" s="16">
        <f t="shared" si="61"/>
        <v>9.6589439948202003</v>
      </c>
      <c r="EQ14" s="16">
        <f t="shared" si="61"/>
        <v>3.0096471914376255</v>
      </c>
      <c r="ER14" s="16">
        <f t="shared" si="61"/>
        <v>1.5106837750047428</v>
      </c>
      <c r="ES14" s="16">
        <f t="shared" si="61"/>
        <v>9.1523838964580495E-4</v>
      </c>
      <c r="ET14" s="16">
        <f t="shared" si="61"/>
        <v>2.5118578920369084E-6</v>
      </c>
      <c r="EU14" s="11">
        <f t="shared" si="42"/>
        <v>117.33017216754671</v>
      </c>
      <c r="EV14" s="11">
        <f t="shared" si="31"/>
        <v>7.7385983042548681</v>
      </c>
      <c r="EW14" s="11">
        <f t="shared" si="32"/>
        <v>2.0576105710627068</v>
      </c>
      <c r="EX14" s="11">
        <f t="shared" si="7"/>
        <v>26.754011401867952</v>
      </c>
      <c r="EY14" s="11">
        <f t="shared" si="33"/>
        <v>20.046186274208022</v>
      </c>
      <c r="EZ14" s="15">
        <f t="shared" si="34"/>
        <v>0.2280232859768023</v>
      </c>
      <c r="FA14" s="15">
        <f t="shared" si="35"/>
        <v>0.17085278154695113</v>
      </c>
      <c r="FB14" s="11">
        <f t="shared" si="43"/>
        <v>29.219577298700617</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1.5776781066295034</v>
      </c>
      <c r="BL15" s="9">
        <f>IF(管理者入力シート!$B$14=1,BK12*管理者用人口入力シート!AM$3,IF(管理者入力シート!$B$14=2,BK12*管理者用人口入力シート!AM$7))</f>
        <v>1.4986702379073391</v>
      </c>
      <c r="BM15" s="9">
        <f>IF(管理者入力シート!$B$14=1,BL12*管理者用人口入力シート!AN$3,IF(管理者入力シート!$B$14=2,BL12*管理者用人口入力シート!AN$7))</f>
        <v>0.66612419774921605</v>
      </c>
      <c r="BN15" s="9">
        <f>IF(管理者入力シート!$B$14=1,BM12*管理者用人口入力シート!AO$3,IF(管理者入力シート!$B$14=2,BM12*管理者用人口入力シート!AO$7))</f>
        <v>0.71797188958838465</v>
      </c>
      <c r="BO15" s="9">
        <f>IF(管理者入力シート!$B$14=1,BN12*管理者用人口入力シート!AP$3,IF(管理者入力シート!$B$14=2,BN12*管理者用人口入力シート!AP$7))</f>
        <v>0.34503277967117707</v>
      </c>
      <c r="BP15" s="9">
        <f>IF(管理者入力シート!$B$14=1,BO12*管理者用人口入力シート!AQ$3,IF(管理者入力シート!$B$14=2,BO12*管理者用人口入力シート!AQ$7))</f>
        <v>0.97590007294853309</v>
      </c>
      <c r="BQ15" s="9">
        <f>IF(管理者入力シート!$B$14=1,BP12*管理者用人口入力シート!AR$3,IF(管理者入力シート!$B$14=2,BP12*管理者用人口入力シート!AR$7))</f>
        <v>3.4641016151377548</v>
      </c>
      <c r="BR15" s="9">
        <f>IF(管理者入力シート!$B$14=1,BQ12*管理者用人口入力シート!AS$3,IF(管理者入力シート!$B$14=2,BQ12*管理者用人口入力シート!AS$7))</f>
        <v>2.9393876913398143</v>
      </c>
      <c r="BS15" s="9">
        <f>IF(管理者入力シート!$B$14=1,BR12*管理者用人口入力シート!AT$3,IF(管理者入力シート!$B$14=2,BR12*管理者用人口入力シート!AT$7))</f>
        <v>1.3416407864998741</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1.3416407864998743</v>
      </c>
      <c r="BV15" s="9">
        <f>IF(管理者入力シート!$B$14=1,BU12*管理者用人口入力シート!AW$3,IF(管理者入力シート!$B$14=2,BU12*管理者用人口入力シート!AW$7))</f>
        <v>5.196152422706632</v>
      </c>
      <c r="BW15" s="9">
        <f>IF(管理者入力シート!$B$14=1,BV12*管理者用人口入力シート!AX$3,IF(管理者入力シート!$B$14=2,BV12*管理者用人口入力シート!AX$7))</f>
        <v>3.6228441865473595</v>
      </c>
      <c r="BX15" s="9">
        <f>IF(管理者入力シート!$B$14=1,BW12*管理者用人口入力シート!AY$3,IF(管理者入力シート!$B$14=2,BW12*管理者用人口入力シート!AY$7))</f>
        <v>6.0380736442455998</v>
      </c>
      <c r="BY15" s="9">
        <f>IF(管理者入力シート!$B$14=1,BX12*管理者用人口入力シート!AZ$3,IF(管理者入力シート!$B$14=2,BX12*管理者用人口入力シート!AZ$7))</f>
        <v>0</v>
      </c>
      <c r="BZ15" s="9">
        <f>IF(管理者入力シート!$B$14=1,BY12*管理者用人口入力シート!BA$3,IF(管理者入力シート!$B$14=2,BY12*管理者用人口入力シート!BA$7))</f>
        <v>1.3228756555322954</v>
      </c>
      <c r="CA15" s="9">
        <f>IF(管理者入力シート!$B$14=1,BZ12*管理者用人口入力シート!BB$3,IF(管理者入力シート!$B$14=2,BZ12*管理者用人口入力シート!BB$7))</f>
        <v>2.9580398915498085</v>
      </c>
      <c r="CB15" s="9">
        <f>IF(管理者入力シート!$B$14=1,CA12*管理者用人口入力シート!BC$3,IF(管理者入力シート!$B$14=2,CA12*管理者用人口入力シート!BC$7))</f>
        <v>3.1950482521134687</v>
      </c>
      <c r="CC15" s="9">
        <f>IF(管理者入力シート!$B$14=1,CB12*管理者用人口入力シート!BD$3,IF(管理者入力シート!$B$14=2,CB12*管理者用人口入力シート!BD$7))</f>
        <v>1.4433756729740643</v>
      </c>
      <c r="CD15" s="9">
        <f>IF(管理者入力シート!$B$14=1,CC12*管理者用人口入力シート!BE$3,IF(管理者入力シート!$B$14=2,CC12*管理者用人口入力シート!BE$7))</f>
        <v>8.6602540378443859E-4</v>
      </c>
      <c r="CE15" s="9">
        <f>IF(管理者入力シート!$B$14=1,CD12*管理者用人口入力シート!BF$3,IF(管理者入力シート!$B$14=2,CD12*管理者用人口入力シート!BF$7))</f>
        <v>7.4535599249992987E-7</v>
      </c>
      <c r="CF15" s="9">
        <f t="shared" ref="CF15:CF20" si="63">SUM(BK15:CE15)</f>
        <v>38.645424660400472</v>
      </c>
      <c r="CG15" s="9">
        <f t="shared" ref="CG15:CG20" si="64">BL15*3/5+BM15*3/5</f>
        <v>1.2988766613939331</v>
      </c>
      <c r="CH15" s="9">
        <f t="shared" ref="CH15:CH20" si="65">BM15*2/5+BN15*1/5</f>
        <v>0.41004405701736335</v>
      </c>
      <c r="CI15" s="9">
        <f t="shared" ref="CI15:CI20" si="66">SUM(BX15:CE15)</f>
        <v>14.958279887175012</v>
      </c>
      <c r="CJ15" s="9">
        <f t="shared" ref="CJ15:CJ20" si="67">SUM(BZ15:CE15)</f>
        <v>8.9202062429294138</v>
      </c>
      <c r="CK15" s="13">
        <f t="shared" ref="CK15:CK20" si="68">CI15/CF15</f>
        <v>0.38706470477739607</v>
      </c>
      <c r="CL15" s="13">
        <f t="shared" ref="CL15:CL20" si="69">CJ15/CF15</f>
        <v>0.23082179381689777</v>
      </c>
      <c r="CM15" s="9">
        <f t="shared" ref="CM15:CM20" si="70">SUM(BO15:BR15)</f>
        <v>7.7244221590972799</v>
      </c>
      <c r="CO15" s="7" t="str">
        <f t="shared" si="23"/>
        <v>2045_1</v>
      </c>
      <c r="CP15" s="28">
        <f>管理者入力シート!B12</f>
        <v>2045</v>
      </c>
      <c r="CQ15" s="3" t="s">
        <v>21</v>
      </c>
      <c r="CR15" s="9">
        <f>DT16*$AK$13+将来予測シート②!$G17</f>
        <v>4.4889090330479817</v>
      </c>
      <c r="CS15" s="9">
        <f>IF(管理者入力シート!$B$14=1,CR12*管理者用人口入力シート!AM$3,IF(管理者入力シート!$B$14=2,CR12*管理者用人口入力シート!AM$7))+将来予測シート②!$G18</f>
        <v>4.1951936401409018</v>
      </c>
      <c r="CT15" s="9">
        <f>IF(管理者入力シート!$B$14=1,CS12*管理者用人口入力シート!AN$3,IF(管理者入力シート!$B$14=2,CS12*管理者用人口入力シート!AN$7))+将来予測シート②!$G19</f>
        <v>3.2089053285920133</v>
      </c>
      <c r="CU15" s="9">
        <f>IF(管理者入力シート!$B$14=1,CT12*管理者用人口入力シート!AO$3,IF(管理者入力シート!$B$14=2,CT12*管理者用人口入力シート!AO$7))+将来予測シート②!$G20</f>
        <v>2.8680811551589747</v>
      </c>
      <c r="CV15" s="9">
        <f>IF(管理者入力シート!$B$14=1,CU12*管理者用人口入力シート!AP$3,IF(管理者入力シート!$B$14=2,CU12*管理者用人口入力シート!AP$7))+将来予測シート②!$G21</f>
        <v>2.0350983390135311</v>
      </c>
      <c r="CW15" s="9">
        <f>IF(管理者入力シート!$B$14=1,CV12*管理者用人口入力シート!AQ$3,IF(管理者入力シート!$B$14=2,CV12*管理者用人口入力シート!AQ$7))+将来予測シート②!$G22</f>
        <v>4.3901136353216277</v>
      </c>
      <c r="CX15" s="9">
        <f>IF(管理者入力シート!$B$14=1,CW12*管理者用人口入力シート!AR$3,IF(管理者入力シート!$B$14=2,CW12*管理者用人口入力シート!AR$7))+将来予測シート②!$G23</f>
        <v>6.1087400686310547</v>
      </c>
      <c r="CY15" s="9">
        <f>IF(管理者入力シート!$B$14=1,CX12*管理者用人口入力シート!AS$3,IF(管理者入力シート!$B$14=2,CX12*管理者用人口入力シート!AS$7))+将来予測シート②!$G24</f>
        <v>5.0178486604224668</v>
      </c>
      <c r="CZ15" s="9">
        <f>IF(管理者入力シート!$B$14=1,CY12*管理者用人口入力シート!AT$3,IF(管理者入力シート!$B$14=2,CY12*管理者用人口入力シート!AT$7))+将来予測シート②!$G25</f>
        <v>3.2390073826009016</v>
      </c>
      <c r="DA15" s="9">
        <f>IF(管理者入力シート!$B$14=1,CZ12*管理者用人口入力シート!AU$3,IF(管理者入力シート!$B$14=2,CZ12*管理者用人口入力シート!AU$7))+将来予測シート②!$G26</f>
        <v>2.6832815729997486</v>
      </c>
      <c r="DB15" s="9">
        <f>IF(管理者入力シート!$B$14=1,DA12*管理者用人口入力シート!AV$3,IF(管理者入力シート!$B$14=2,DA12*管理者用人口入力シート!AV$7))+将来予測シート②!$G27</f>
        <v>1.3416407864998743</v>
      </c>
      <c r="DC15" s="9">
        <f>IF(管理者入力シート!$B$14=1,DB12*管理者用人口入力シート!AW$3,IF(管理者入力シート!$B$14=2,DB12*管理者用人口入力シート!AW$7))+将来予測シート②!$G28</f>
        <v>5.196152422706632</v>
      </c>
      <c r="DD15" s="9">
        <f>IF(管理者入力シート!$B$14=1,DC12*管理者用人口入力シート!AX$3,IF(管理者入力シート!$B$14=2,DC12*管理者用人口入力シート!AX$7))+将来予測シート②!$G29</f>
        <v>3.6228441865473595</v>
      </c>
      <c r="DE15" s="9">
        <f>IF(管理者入力シート!$B$14=1,DD12*管理者用人口入力シート!AY$3,IF(管理者入力シート!$B$14=2,DD12*管理者用人口入力シート!AY$7))</f>
        <v>6.0380736442455998</v>
      </c>
      <c r="DF15" s="9">
        <f>IF(管理者入力シート!$B$14=1,DE12*管理者用人口入力シート!AZ$3,IF(管理者入力シート!$B$14=2,DE12*管理者用人口入力シート!AZ$7))</f>
        <v>0</v>
      </c>
      <c r="DG15" s="9">
        <f>IF(管理者入力シート!$B$14=1,DF12*管理者用人口入力シート!BA$3,IF(管理者入力シート!$B$14=2,DF12*管理者用人口入力シート!BA$7))</f>
        <v>1.3228756555322954</v>
      </c>
      <c r="DH15" s="9">
        <f>IF(管理者入力シート!$B$14=1,DG12*管理者用人口入力シート!BB$3,IF(管理者入力シート!$B$14=2,DG12*管理者用人口入力シート!BB$7))</f>
        <v>2.9580398915498085</v>
      </c>
      <c r="DI15" s="9">
        <f>IF(管理者入力シート!$B$14=1,DH12*管理者用人口入力シート!BC$3,IF(管理者入力シート!$B$14=2,DH12*管理者用人口入力シート!BC$7))</f>
        <v>3.1950482521134687</v>
      </c>
      <c r="DJ15" s="9">
        <f>IF(管理者入力シート!$B$14=1,DI12*管理者用人口入力シート!BD$3,IF(管理者入力シート!$B$14=2,DI12*管理者用人口入力シート!BD$7))</f>
        <v>1.4433756729740643</v>
      </c>
      <c r="DK15" s="9">
        <f>IF(管理者入力シート!$B$14=1,DJ12*管理者用人口入力シート!BE$3,IF(管理者入力シート!$B$14=2,DJ12*管理者用人口入力シート!BE$7))</f>
        <v>8.6602540378443859E-4</v>
      </c>
      <c r="DL15" s="9">
        <f>IF(管理者入力シート!$B$14=1,DK12*管理者用人口入力シート!BF$3,IF(管理者入力シート!$B$14=2,DK12*管理者用人口入力シート!BF$7))</f>
        <v>7.4535599249992987E-7</v>
      </c>
      <c r="DM15" s="9">
        <f t="shared" ref="DM15:DM20" si="71">SUM(CR15:DL15)</f>
        <v>63.354096098858079</v>
      </c>
      <c r="DN15" s="9">
        <f t="shared" ref="DN15:DN20" si="72">CS15*3/5+CT15*3/5</f>
        <v>4.4424593812397486</v>
      </c>
      <c r="DO15" s="9">
        <f t="shared" ref="DO15:DO20" si="73">CT15*2/5+CU15*1/5</f>
        <v>1.8571783624686002</v>
      </c>
      <c r="DP15" s="9">
        <f t="shared" ref="DP15:DP20" si="74">SUM(DE15:DL15)</f>
        <v>14.958279887175012</v>
      </c>
      <c r="DQ15" s="9">
        <f t="shared" ref="DQ15:DQ20" si="75">SUM(DG15:DL15)</f>
        <v>8.9202062429294138</v>
      </c>
      <c r="DR15" s="13">
        <f t="shared" ref="DR15:DR20" si="76">DP15/DM15</f>
        <v>0.23610596328032254</v>
      </c>
      <c r="DS15" s="13">
        <f t="shared" ref="DS15:DS20" si="77">DQ15/DM15</f>
        <v>0.14079920308562646</v>
      </c>
      <c r="DT15" s="9">
        <f t="shared" ref="DT15:DT20" si="78">SUM(CV15:CY15)</f>
        <v>17.551800703388679</v>
      </c>
      <c r="DV15" s="62" t="s">
        <v>404</v>
      </c>
      <c r="DW15" s="210">
        <f>AK13+AK14</f>
        <v>0.5</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3.1553562132590067</v>
      </c>
      <c r="BL16" s="10">
        <f>IF(管理者入力シート!$B$14=1,BK13*管理者用人口入力シート!AM$4,IF(管理者入力シート!$B$14=2,BK13*管理者用人口入力シート!AM$8))</f>
        <v>4.3435590071633223</v>
      </c>
      <c r="BM16" s="10">
        <f>IF(管理者入力シート!$B$14=1,BL13*管理者用人口入力シート!AN$4,IF(管理者入力シート!$B$14=2,BL13*管理者用人口入力シート!AN$8))</f>
        <v>1.671958466891547</v>
      </c>
      <c r="BN16" s="10">
        <f>IF(管理者入力シート!$B$14=1,BM13*管理者用人口入力シート!AO$4,IF(管理者入力シート!$B$14=2,BM13*管理者用人口入力シート!AO$8))</f>
        <v>1.8020951405812151</v>
      </c>
      <c r="BO16" s="10">
        <f>IF(管理者入力シート!$B$14=1,BN13*管理者用人口入力シート!AP$4,IF(管理者入力シート!$B$14=2,BN13*管理者用人口入力シート!AP$8))</f>
        <v>1.2247448713915892</v>
      </c>
      <c r="BP16" s="10">
        <f>IF(管理者入力シート!$B$14=1,BO13*管理者用人口入力シート!AQ$4,IF(管理者入力シート!$B$14=2,BO13*管理者用人口入力シート!AQ$8))</f>
        <v>2.4494897427831783</v>
      </c>
      <c r="BQ16" s="10">
        <f>IF(管理者入力シート!$B$14=1,BP13*管理者用人口入力シート!AR$4,IF(管理者入力シート!$B$14=2,BP13*管理者用人口入力シート!AR$8))</f>
        <v>1.5491933384829668</v>
      </c>
      <c r="BR16" s="10">
        <f>IF(管理者入力シート!$B$14=1,BQ13*管理者用人口入力シート!AS$4,IF(管理者入力シート!$B$14=2,BQ13*管理者用人口入力シート!AS$8))</f>
        <v>4.2426406871192857</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2.3094010767585029</v>
      </c>
      <c r="BV16" s="10">
        <f>IF(管理者入力シート!$B$14=1,BU13*管理者用人口入力シート!AW$4,IF(管理者入力シート!$B$14=2,BU13*管理者用人口入力シート!AW$8))</f>
        <v>1.1547005383792515</v>
      </c>
      <c r="BW16" s="10">
        <f>IF(管理者入力シート!$B$14=1,BV13*管理者用人口入力シート!AX$4,IF(管理者入力シート!$B$14=2,BV13*管理者用人口入力シート!AX$8))</f>
        <v>3.4641016151377544</v>
      </c>
      <c r="BX16" s="10">
        <f>IF(管理者入力シート!$B$14=1,BW13*管理者用人口入力シート!AY$4,IF(管理者入力シート!$B$14=2,BW13*管理者用人口入力シート!AY$8))</f>
        <v>2.3094010767585029</v>
      </c>
      <c r="BY16" s="10">
        <f>IF(管理者入力シート!$B$14=1,BX13*管理者用人口入力シート!AZ$4,IF(管理者入力シート!$B$14=2,BX13*管理者用人口入力シート!AZ$8))</f>
        <v>1</v>
      </c>
      <c r="BZ16" s="10">
        <f>IF(管理者入力シート!$B$14=1,BY13*管理者用人口入力シート!BA$4,IF(管理者入力シート!$B$14=2,BY13*管理者用人口入力シート!BA$8))</f>
        <v>3.7947331922020551</v>
      </c>
      <c r="CA16" s="10">
        <f>IF(管理者入力シート!$B$14=1,BZ13*管理者用人口入力シート!BB$4,IF(管理者入力シート!$B$14=2,BZ13*管理者用人口入力シート!BB$8))</f>
        <v>1.7056057308448833</v>
      </c>
      <c r="CB16" s="10">
        <f>IF(管理者入力シート!$B$14=1,CA13*管理者用人口入力シート!BC$4,IF(管理者入力シート!$B$14=2,CA13*管理者用人口入力シート!BC$8))</f>
        <v>3.567530340063378</v>
      </c>
      <c r="CC16" s="10">
        <f>IF(管理者入力シート!$B$14=1,CB13*管理者用人口入力シート!BD$4,IF(管理者入力シート!$B$14=2,CB13*管理者用人口入力シート!BD$8))</f>
        <v>0.16116459280507606</v>
      </c>
      <c r="CD16" s="10">
        <f>IF(管理者入力シート!$B$14=1,CC13*管理者用人口入力シート!BE$4,IF(管理者入力シート!$B$14=2,CC13*管理者用人口入力シート!BE$8))</f>
        <v>6.4465837122030427E-4</v>
      </c>
      <c r="CE16" s="10">
        <f>IF(管理者入力シート!$B$14=1,CD13*管理者用人口入力シート!BF$4,IF(管理者入力シート!$B$14=2,CD13*管理者用人口入力シート!BF$8))</f>
        <v>1.6988239714587514E-7</v>
      </c>
      <c r="CF16" s="10">
        <f t="shared" si="63"/>
        <v>39.906320458875136</v>
      </c>
      <c r="CG16" s="10">
        <f t="shared" si="64"/>
        <v>3.6093104844329216</v>
      </c>
      <c r="CH16" s="10">
        <f t="shared" si="65"/>
        <v>1.029202414872862</v>
      </c>
      <c r="CI16" s="10">
        <f t="shared" si="66"/>
        <v>12.539079760927512</v>
      </c>
      <c r="CJ16" s="10">
        <f t="shared" si="67"/>
        <v>9.229678684169011</v>
      </c>
      <c r="CK16" s="14">
        <f t="shared" si="68"/>
        <v>0.31421287697645472</v>
      </c>
      <c r="CL16" s="14">
        <f t="shared" si="69"/>
        <v>0.23128363071410002</v>
      </c>
      <c r="CM16" s="10">
        <f t="shared" si="70"/>
        <v>9.4660686397770206</v>
      </c>
      <c r="CO16" s="7" t="str">
        <f t="shared" si="23"/>
        <v>2045_2</v>
      </c>
      <c r="CP16" s="29">
        <f>CP15</f>
        <v>2045</v>
      </c>
      <c r="CQ16" s="4" t="s">
        <v>22</v>
      </c>
      <c r="CR16" s="10">
        <f>DT16*$AK$14+将来予測シート②!$H17</f>
        <v>7.9778180660959634</v>
      </c>
      <c r="CS16" s="10">
        <f>IF(管理者入力シート!$B$14=1,CR13*管理者用人口入力シート!AM$4,IF(管理者入力シート!$B$14=2,CR13*管理者用人口入力シート!AM$8))+将来予測シート②!$H18</f>
        <v>10.577687482415749</v>
      </c>
      <c r="CT16" s="10">
        <f>IF(管理者入力シート!$B$14=1,CS13*管理者用人口入力シート!AN$4,IF(管理者入力シート!$B$14=2,CS13*管理者用人口入力シート!AN$8))+将来予測シート②!$H19</f>
        <v>5.6782829687087268</v>
      </c>
      <c r="CU16" s="10">
        <f>IF(管理者入力シート!$B$14=1,CT13*管理者用人口入力シート!AO$4,IF(管理者入力シート!$B$14=2,CT13*管理者用人口入力シート!AO$8))+将来予測シート②!$H20</f>
        <v>4.8228210827449054</v>
      </c>
      <c r="CV16" s="10">
        <f>IF(管理者入力シート!$B$14=1,CU13*管理者用人口入力シート!AP$4,IF(管理者入力シート!$B$14=2,CU13*管理者用人口入力シート!AP$8))+将来予測シート②!$H21</f>
        <v>3.8637033051562732</v>
      </c>
      <c r="CW16" s="10">
        <f>IF(管理者入力シート!$B$14=1,CV13*管理者用人口入力シート!AQ$4,IF(管理者入力シート!$B$14=2,CV13*管理者用人口入力シート!AQ$8))+将来予測シート②!$H22</f>
        <v>5.8637033051562728</v>
      </c>
      <c r="CX16" s="10">
        <f>IF(管理者入力シート!$B$14=1,CW13*管理者用人口入力シート!AR$4,IF(管理者入力シート!$B$14=2,CW13*管理者用人口入力シート!AR$8))+将来予測シート②!$H23</f>
        <v>4.9634069008560617</v>
      </c>
      <c r="CY16" s="10">
        <f>IF(管理者入力シート!$B$14=1,CX13*管理者用人口入力シート!AS$4,IF(管理者入力シート!$B$14=2,CX13*管理者用人口入力シート!AS$8))+将来予測シート②!$H24</f>
        <v>6.2426406871192857</v>
      </c>
      <c r="CZ16" s="10">
        <f>IF(管理者入力シート!$B$14=1,CY13*管理者用人口入力シート!AT$4,IF(管理者入力シート!$B$14=2,CY13*管理者用人口入力シート!AT$8))+将来予測シート②!$H25</f>
        <v>3</v>
      </c>
      <c r="DA16" s="10">
        <f>IF(管理者入力シート!$B$14=1,CZ13*管理者用人口入力シート!AU$4,IF(管理者入力シート!$B$14=2,CZ13*管理者用人口入力シート!AU$8))+将来予測シート②!$H26</f>
        <v>3.4641016151377544</v>
      </c>
      <c r="DB16" s="10">
        <f>IF(管理者入力シート!$B$14=1,DA13*管理者用人口入力シート!AV$4,IF(管理者入力シート!$B$14=2,DA13*管理者用人口入力シート!AV$8))+将来予測シート②!$H27</f>
        <v>3.4641016151377544</v>
      </c>
      <c r="DC16" s="10">
        <f>IF(管理者入力シート!$B$14=1,DB13*管理者用人口入力シート!AW$4,IF(管理者入力シート!$B$14=2,DB13*管理者用人口入力シート!AW$8))+将来予測シート②!$H28</f>
        <v>2.3094010767585029</v>
      </c>
      <c r="DD16" s="10">
        <f>IF(管理者入力シート!$B$14=1,DC13*管理者用人口入力シート!AX$4,IF(管理者入力シート!$B$14=2,DC13*管理者用人口入力シート!AX$8))+将来予測シート②!$H29</f>
        <v>4.6188021535170058</v>
      </c>
      <c r="DE16" s="10">
        <f>IF(管理者入力シート!$B$14=1,DD13*管理者用人口入力シート!AY$4,IF(管理者入力シート!$B$14=2,DD13*管理者用人口入力シート!AY$8))</f>
        <v>2.3094010767585029</v>
      </c>
      <c r="DF16" s="10">
        <f>IF(管理者入力シート!$B$14=1,DE13*管理者用人口入力シート!AZ$4,IF(管理者入力シート!$B$14=2,DE13*管理者用人口入力シート!AZ$8))</f>
        <v>1</v>
      </c>
      <c r="DG16" s="10">
        <f>IF(管理者入力シート!$B$14=1,DF13*管理者用人口入力シート!BA$4,IF(管理者入力シート!$B$14=2,DF13*管理者用人口入力シート!BA$8))</f>
        <v>3.7947331922020551</v>
      </c>
      <c r="DH16" s="10">
        <f>IF(管理者入力シート!$B$14=1,DG13*管理者用人口入力シート!BB$4,IF(管理者入力シート!$B$14=2,DG13*管理者用人口入力シート!BB$8))</f>
        <v>1.7056057308448833</v>
      </c>
      <c r="DI16" s="10">
        <f>IF(管理者入力シート!$B$14=1,DH13*管理者用人口入力シート!BC$4,IF(管理者入力シート!$B$14=2,DH13*管理者用人口入力シート!BC$8))</f>
        <v>3.567530340063378</v>
      </c>
      <c r="DJ16" s="10">
        <f>IF(管理者入力シート!$B$14=1,DI13*管理者用人口入力シート!BD$4,IF(管理者入力シート!$B$14=2,DI13*管理者用人口入力シート!BD$8))</f>
        <v>0.16116459280507606</v>
      </c>
      <c r="DK16" s="10">
        <f>IF(管理者入力シート!$B$14=1,DJ13*管理者用人口入力シート!BE$4,IF(管理者入力シート!$B$14=2,DJ13*管理者用人口入力シート!BE$8))</f>
        <v>6.4465837122030427E-4</v>
      </c>
      <c r="DL16" s="10">
        <f>IF(管理者入力シート!$B$14=1,DK13*管理者用人口入力シート!BF$4,IF(管理者入力シート!$B$14=2,DK13*管理者用人口入力シート!BF$8))</f>
        <v>1.6988239714587514E-7</v>
      </c>
      <c r="DM16" s="10">
        <f t="shared" si="71"/>
        <v>79.385550019731781</v>
      </c>
      <c r="DN16" s="10">
        <f t="shared" si="72"/>
        <v>9.753582270674686</v>
      </c>
      <c r="DO16" s="10">
        <f t="shared" si="73"/>
        <v>3.2358774040324718</v>
      </c>
      <c r="DP16" s="10">
        <f t="shared" si="74"/>
        <v>12.539079760927512</v>
      </c>
      <c r="DQ16" s="10">
        <f t="shared" si="75"/>
        <v>9.229678684169011</v>
      </c>
      <c r="DR16" s="14">
        <f t="shared" si="76"/>
        <v>0.15795166447559844</v>
      </c>
      <c r="DS16" s="14">
        <f t="shared" si="77"/>
        <v>0.11626396342753707</v>
      </c>
      <c r="DT16" s="10">
        <f t="shared" si="78"/>
        <v>20.93345419828789</v>
      </c>
      <c r="DV16" s="211" t="s">
        <v>406</v>
      </c>
      <c r="DW16" s="7">
        <f>IF(DW10&lt;0,ABS(DW10)/DW15,0)</f>
        <v>2.0871208486253936</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4.7330343198885103</v>
      </c>
      <c r="BL17" s="16">
        <f t="shared" ref="BL17:CE17" si="79">BL15+BL16</f>
        <v>5.8422292450706612</v>
      </c>
      <c r="BM17" s="16">
        <f t="shared" si="79"/>
        <v>2.3380826646407629</v>
      </c>
      <c r="BN17" s="16">
        <f t="shared" si="79"/>
        <v>2.5200670301695998</v>
      </c>
      <c r="BO17" s="16">
        <f t="shared" si="79"/>
        <v>1.5697776510627661</v>
      </c>
      <c r="BP17" s="16">
        <f t="shared" si="79"/>
        <v>3.4253898157317115</v>
      </c>
      <c r="BQ17" s="16">
        <f t="shared" si="79"/>
        <v>5.0132949536207221</v>
      </c>
      <c r="BR17" s="16">
        <f t="shared" si="79"/>
        <v>7.1820283784590995</v>
      </c>
      <c r="BS17" s="16">
        <f t="shared" si="79"/>
        <v>1.3416407864998741</v>
      </c>
      <c r="BT17" s="16">
        <f t="shared" si="79"/>
        <v>0</v>
      </c>
      <c r="BU17" s="16">
        <f t="shared" si="79"/>
        <v>3.651041863258377</v>
      </c>
      <c r="BV17" s="16">
        <f t="shared" si="79"/>
        <v>6.3508529610858835</v>
      </c>
      <c r="BW17" s="16">
        <f t="shared" si="79"/>
        <v>7.0869458016851139</v>
      </c>
      <c r="BX17" s="16">
        <f t="shared" si="79"/>
        <v>8.3474747210041027</v>
      </c>
      <c r="BY17" s="16">
        <f t="shared" si="79"/>
        <v>1</v>
      </c>
      <c r="BZ17" s="16">
        <f t="shared" si="79"/>
        <v>5.1176088477343509</v>
      </c>
      <c r="CA17" s="16">
        <f t="shared" si="79"/>
        <v>4.663645622394692</v>
      </c>
      <c r="CB17" s="16">
        <f t="shared" si="79"/>
        <v>6.7625785921768466</v>
      </c>
      <c r="CC17" s="16">
        <f t="shared" si="79"/>
        <v>1.6045402657791403</v>
      </c>
      <c r="CD17" s="16">
        <f t="shared" si="79"/>
        <v>1.5106837750047428E-3</v>
      </c>
      <c r="CE17" s="16">
        <f t="shared" si="79"/>
        <v>9.1523838964580499E-7</v>
      </c>
      <c r="CF17" s="11">
        <f t="shared" si="63"/>
        <v>78.551745119275608</v>
      </c>
      <c r="CG17" s="11">
        <f t="shared" si="64"/>
        <v>4.9081871458268544</v>
      </c>
      <c r="CH17" s="11">
        <f t="shared" si="65"/>
        <v>1.4392464718902251</v>
      </c>
      <c r="CI17" s="11">
        <f t="shared" si="66"/>
        <v>27.497359648102528</v>
      </c>
      <c r="CJ17" s="11">
        <f t="shared" si="67"/>
        <v>18.149884927098423</v>
      </c>
      <c r="CK17" s="15">
        <f t="shared" si="68"/>
        <v>0.35005408990404496</v>
      </c>
      <c r="CL17" s="15">
        <f t="shared" si="69"/>
        <v>0.23105641891900719</v>
      </c>
      <c r="CM17" s="11">
        <f t="shared" si="70"/>
        <v>17.190490798874301</v>
      </c>
      <c r="CO17" s="7" t="str">
        <f t="shared" si="23"/>
        <v>2045_3</v>
      </c>
      <c r="CP17" s="30">
        <f>CP16</f>
        <v>2045</v>
      </c>
      <c r="CQ17" s="5" t="s">
        <v>23</v>
      </c>
      <c r="CR17" s="16">
        <f>CR15+CR16</f>
        <v>12.466727099143945</v>
      </c>
      <c r="CS17" s="16">
        <f>CS15+CS16</f>
        <v>14.772881122556651</v>
      </c>
      <c r="CT17" s="16">
        <f t="shared" ref="CT17:DL17" si="80">CT15+CT16</f>
        <v>8.8871882973007406</v>
      </c>
      <c r="CU17" s="16">
        <f t="shared" si="80"/>
        <v>7.6909022379038801</v>
      </c>
      <c r="CV17" s="16">
        <f t="shared" si="80"/>
        <v>5.8988016441698043</v>
      </c>
      <c r="CW17" s="16">
        <f t="shared" si="80"/>
        <v>10.2538169404779</v>
      </c>
      <c r="CX17" s="16">
        <f t="shared" si="80"/>
        <v>11.072146969487116</v>
      </c>
      <c r="CY17" s="16">
        <f t="shared" si="80"/>
        <v>11.260489347541753</v>
      </c>
      <c r="CZ17" s="16">
        <f t="shared" si="80"/>
        <v>6.2390073826009012</v>
      </c>
      <c r="DA17" s="16">
        <f t="shared" si="80"/>
        <v>6.1473831881375034</v>
      </c>
      <c r="DB17" s="16">
        <f t="shared" si="80"/>
        <v>4.8057424016376284</v>
      </c>
      <c r="DC17" s="16">
        <f t="shared" si="80"/>
        <v>7.5055534994651349</v>
      </c>
      <c r="DD17" s="16">
        <f t="shared" si="80"/>
        <v>8.2416463400643654</v>
      </c>
      <c r="DE17" s="16">
        <f t="shared" si="80"/>
        <v>8.3474747210041027</v>
      </c>
      <c r="DF17" s="16">
        <f t="shared" si="80"/>
        <v>1</v>
      </c>
      <c r="DG17" s="16">
        <f t="shared" si="80"/>
        <v>5.1176088477343509</v>
      </c>
      <c r="DH17" s="16">
        <f t="shared" si="80"/>
        <v>4.663645622394692</v>
      </c>
      <c r="DI17" s="16">
        <f t="shared" si="80"/>
        <v>6.7625785921768466</v>
      </c>
      <c r="DJ17" s="16">
        <f t="shared" si="80"/>
        <v>1.6045402657791403</v>
      </c>
      <c r="DK17" s="16">
        <f t="shared" si="80"/>
        <v>1.5106837750047428E-3</v>
      </c>
      <c r="DL17" s="16">
        <f t="shared" si="80"/>
        <v>9.1523838964580499E-7</v>
      </c>
      <c r="DM17" s="11">
        <f t="shared" si="71"/>
        <v>142.73964611858986</v>
      </c>
      <c r="DN17" s="11">
        <f t="shared" si="72"/>
        <v>14.196041651914435</v>
      </c>
      <c r="DO17" s="11">
        <f t="shared" si="73"/>
        <v>5.0930557665010721</v>
      </c>
      <c r="DP17" s="11">
        <f t="shared" si="74"/>
        <v>27.497359648102528</v>
      </c>
      <c r="DQ17" s="11">
        <f t="shared" si="75"/>
        <v>18.149884927098423</v>
      </c>
      <c r="DR17" s="15">
        <f t="shared" si="76"/>
        <v>0.19263995950541576</v>
      </c>
      <c r="DS17" s="15">
        <f t="shared" si="77"/>
        <v>0.12715377556715585</v>
      </c>
      <c r="DT17" s="11">
        <f t="shared" si="78"/>
        <v>38.485254901676569</v>
      </c>
      <c r="DV17" s="62" t="s">
        <v>407</v>
      </c>
      <c r="DW17" s="7">
        <f>IF(DW9&gt;=0,0,IF(AND(DW10&lt;=0,DW9&lt;=0,DW16*2&gt;=ABS(DW9)),ROUND(DW16/3,0),ROUND(ABS(DW9)/6,0)))</f>
        <v>1</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1.295329223525723</v>
      </c>
      <c r="BL18" s="9">
        <f>IF(管理者入力シート!$B$14=1,BK15*管理者用人口入力シート!AM$3,IF(管理者入力シート!$B$14=2,BK15*管理者用人口入力シート!AM$7))</f>
        <v>1.7213879395010261</v>
      </c>
      <c r="BM18" s="9">
        <f>IF(管理者入力シート!$B$14=1,BL15*管理者用人口入力シート!AN$3,IF(管理者入力シート!$B$14=2,BL15*管理者用人口入力シート!AN$7))</f>
        <v>0.94784228265872172</v>
      </c>
      <c r="BN18" s="9">
        <f>IF(管理者入力シート!$B$14=1,BM15*管理者用人口入力シート!AO$3,IF(管理者入力シート!$B$14=2,BM15*管理者用人口入力シート!AO$7))</f>
        <v>0.66612419774921605</v>
      </c>
      <c r="BO18" s="9">
        <f>IF(管理者入力シート!$B$14=1,BN15*管理者用人口入力シート!AP$3,IF(管理者入力シート!$B$14=2,BN15*管理者用人口入力シート!AP$7))</f>
        <v>0.71797188958838465</v>
      </c>
      <c r="BP18" s="9">
        <f>IF(管理者入力シート!$B$14=1,BO15*管理者用人口入力シート!AQ$3,IF(管理者入力シート!$B$14=2,BO15*管理者用人口入力シート!AQ$7))</f>
        <v>0.48795003647426655</v>
      </c>
      <c r="BQ18" s="9">
        <f>IF(管理者入力シート!$B$14=1,BP15*管理者用人口入力シート!AR$3,IF(管理者入力シート!$B$14=2,BP15*管理者用人口入力シート!AR$7))</f>
        <v>0.7559289460184544</v>
      </c>
      <c r="BR18" s="9">
        <f>IF(管理者入力シート!$B$14=1,BQ15*管理者用人口入力シート!AS$3,IF(管理者入力シート!$B$14=2,BQ15*管理者用人口入力シート!AS$7))</f>
        <v>4.6475800154489004</v>
      </c>
      <c r="BS18" s="9">
        <f>IF(管理者入力シート!$B$14=1,BR15*管理者用人口入力シート!AT$3,IF(管理者入力シート!$B$14=2,BR15*管理者用人口入力シート!AT$7))</f>
        <v>2.6832815729997481</v>
      </c>
      <c r="BT18" s="9">
        <f>IF(管理者入力シート!$B$14=1,BS15*管理者用人口入力シート!AU$3,IF(管理者入力シート!$B$14=2,BS15*管理者用人口入力シート!AU$7))</f>
        <v>1.897366596101028</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1.3416407864998743</v>
      </c>
      <c r="BW18" s="9">
        <f>IF(管理者入力シート!$B$14=1,BV15*管理者用人口入力シート!AX$3,IF(管理者入力シート!$B$14=2,BV15*管理者用人口入力シート!AX$7))</f>
        <v>4.8605555238058953</v>
      </c>
      <c r="BX18" s="9">
        <f>IF(管理者入力シート!$B$14=1,BW15*管理者用人口入力シート!AY$3,IF(管理者入力シート!$B$14=2,BW15*管理者用人口入力シート!AY$7))</f>
        <v>3.3071891388307382</v>
      </c>
      <c r="BY18" s="9">
        <f>IF(管理者入力シート!$B$14=1,BX15*管理者用人口入力シート!AZ$3,IF(管理者入力シート!$B$14=2,BX15*管理者用人口入力シート!AZ$7))</f>
        <v>6.0380736442455998</v>
      </c>
      <c r="BZ18" s="9">
        <f>IF(管理者入力シート!$B$14=1,BY15*管理者用人口入力シート!BA$3,IF(管理者入力シート!$B$14=2,BY15*管理者用人口入力シート!BA$7))</f>
        <v>0</v>
      </c>
      <c r="CA18" s="9">
        <f>IF(管理者入力シート!$B$14=1,BZ15*管理者用人口入力シート!BB$3,IF(管理者入力シート!$B$14=2,BZ15*管理者用人口入力シート!BB$7))</f>
        <v>0.98601329718326935</v>
      </c>
      <c r="CB18" s="9">
        <f>IF(管理者入力シート!$B$14=1,CA15*管理者用人口入力シート!BC$3,IF(管理者入力シート!$B$14=2,CA15*管理者用人口入力シート!BC$7))</f>
        <v>2.5617376914898999</v>
      </c>
      <c r="CC18" s="9">
        <f>IF(管理者入力シート!$B$14=1,CB15*管理者用人口入力シート!BD$3,IF(管理者入力シート!$B$14=2,CB15*管理者用人口入力シート!BD$7))</f>
        <v>1.8446619684315544</v>
      </c>
      <c r="CD18" s="9">
        <f>IF(管理者入力シート!$B$14=1,CC15*管理者用人口入力シート!BE$3,IF(管理者入力シート!$B$14=2,CC15*管理者用人口入力シート!BE$7))</f>
        <v>1.4433756729740643E-3</v>
      </c>
      <c r="CE18" s="9">
        <f>IF(管理者入力シート!$B$14=1,CD15*管理者用人口入力シート!BF$3,IF(管理者入力シート!$B$14=2,CD15*管理者用人口入力シート!BF$7))</f>
        <v>8.6602540378443857E-7</v>
      </c>
      <c r="CF18" s="9">
        <f t="shared" si="63"/>
        <v>36.762078992250679</v>
      </c>
      <c r="CG18" s="9">
        <f t="shared" si="64"/>
        <v>1.6015381332958487</v>
      </c>
      <c r="CH18" s="9">
        <f t="shared" si="65"/>
        <v>0.51236175261333194</v>
      </c>
      <c r="CI18" s="9">
        <f t="shared" si="66"/>
        <v>14.739119981879441</v>
      </c>
      <c r="CJ18" s="9">
        <f t="shared" si="67"/>
        <v>5.3938571988031008</v>
      </c>
      <c r="CK18" s="13">
        <f t="shared" si="68"/>
        <v>0.40093271071492981</v>
      </c>
      <c r="CL18" s="13">
        <f t="shared" si="69"/>
        <v>0.14672339940132623</v>
      </c>
      <c r="CM18" s="9">
        <f t="shared" si="70"/>
        <v>6.6094308875300065</v>
      </c>
      <c r="CO18" s="7" t="str">
        <f t="shared" si="23"/>
        <v>2050_1</v>
      </c>
      <c r="CP18" s="28">
        <f>管理者入力シート!B13</f>
        <v>2050</v>
      </c>
      <c r="CQ18" s="3" t="s">
        <v>21</v>
      </c>
      <c r="CR18" s="9">
        <f>DT19*$AK$13+将来予測シート②!$G17</f>
        <v>4.9185520825475582</v>
      </c>
      <c r="CS18" s="9">
        <f>IF(管理者入力シート!$B$14=1,CR15*管理者用人口入力シート!AM$3,IF(管理者入力シート!$B$14=2,CR15*管理者用人口入力シート!AM$7))+将来予測シート②!$G18</f>
        <v>4.8978012932650952</v>
      </c>
      <c r="CT18" s="9">
        <f>IF(管理者入力シート!$B$14=1,CS15*管理者用人口入力シート!AN$3,IF(管理者入力シート!$B$14=2,CS15*管理者用人口入力シート!AN$7))+将来予測シート②!$G19</f>
        <v>3.6532734256596076</v>
      </c>
      <c r="CU18" s="9">
        <f>IF(管理者入力シート!$B$14=1,CT15*管理者用人口入力シート!AO$3,IF(管理者入力シート!$B$14=2,CT15*管理者用人口入力シート!AO$7))+将来予測シート②!$G20</f>
        <v>3.2089053285920133</v>
      </c>
      <c r="CV18" s="9">
        <f>IF(管理者入力シート!$B$14=1,CU15*管理者用人口入力シート!AP$3,IF(管理者入力シート!$B$14=2,CU15*管理者用人口入力シート!AP$7))+将来予測シート②!$G21</f>
        <v>2.8680811551589747</v>
      </c>
      <c r="CW18" s="9">
        <f>IF(管理者入力シート!$B$14=1,CV15*管理者用人口入力シート!AQ$3,IF(管理者入力シート!$B$14=2,CV15*管理者用人口入力シート!AQ$7))+将来予測シート②!$G22</f>
        <v>4.8780636717958945</v>
      </c>
      <c r="CX18" s="9">
        <f>IF(管理者入力シート!$B$14=1,CW15*管理者用人口入力シート!AR$3,IF(管理者入力シート!$B$14=2,CW15*管理者用人口入力シート!AR$7))+将来予測シート②!$G23</f>
        <v>3.4005673995117531</v>
      </c>
      <c r="CY18" s="9">
        <f>IF(管理者入力シート!$B$14=1,CX15*管理者用人口入力シート!AS$3,IF(管理者入力シート!$B$14=2,CX15*管理者用人口入力シート!AS$7))+将来予測シート②!$G24</f>
        <v>8.1957348302014612</v>
      </c>
      <c r="CZ18" s="9">
        <f>IF(管理者入力シート!$B$14=1,CY15*管理者用人口入力シート!AT$3,IF(管理者入力シート!$B$14=2,CY15*管理者用人口入力シート!AT$7))+将来予測シート②!$G25</f>
        <v>4.5806481691007761</v>
      </c>
      <c r="DA18" s="9">
        <f>IF(管理者入力シート!$B$14=1,CZ15*管理者用人口入力シート!AU$3,IF(管理者入力シート!$B$14=2,CZ15*管理者用人口入力シート!AU$7))+将来予測シート②!$G26</f>
        <v>4.5806481691007761</v>
      </c>
      <c r="DB18" s="9">
        <f>IF(管理者入力シート!$B$14=1,DA15*管理者用人口入力シート!AV$3,IF(管理者入力シート!$B$14=2,DA15*管理者用人口入力シート!AV$7))+将来予測シート②!$G27</f>
        <v>2.6832815729997486</v>
      </c>
      <c r="DC18" s="9">
        <f>IF(管理者入力シート!$B$14=1,DB15*管理者用人口入力シート!AW$3,IF(管理者入力シート!$B$14=2,DB15*管理者用人口入力シート!AW$7))+将来予測シート②!$G28</f>
        <v>1.3416407864998743</v>
      </c>
      <c r="DD18" s="9">
        <f>IF(管理者入力シート!$B$14=1,DC15*管理者用人口入力シート!AX$3,IF(管理者入力シート!$B$14=2,DC15*管理者用人口入力シート!AX$7))+将来予測シート②!$G29</f>
        <v>4.8605555238058953</v>
      </c>
      <c r="DE18" s="9">
        <f>IF(管理者入力シート!$B$14=1,DD15*管理者用人口入力シート!AY$3,IF(管理者入力シート!$B$14=2,DD15*管理者用人口入力シート!AY$7))</f>
        <v>3.3071891388307382</v>
      </c>
      <c r="DF18" s="9">
        <f>IF(管理者入力シート!$B$14=1,DE15*管理者用人口入力シート!AZ$3,IF(管理者入力シート!$B$14=2,DE15*管理者用人口入力シート!AZ$7))</f>
        <v>6.0380736442455998</v>
      </c>
      <c r="DG18" s="9">
        <f>IF(管理者入力シート!$B$14=1,DF15*管理者用人口入力シート!BA$3,IF(管理者入力シート!$B$14=2,DF15*管理者用人口入力シート!BA$7))</f>
        <v>0</v>
      </c>
      <c r="DH18" s="9">
        <f>IF(管理者入力シート!$B$14=1,DG15*管理者用人口入力シート!BB$3,IF(管理者入力シート!$B$14=2,DG15*管理者用人口入力シート!BB$7))</f>
        <v>0.98601329718326935</v>
      </c>
      <c r="DI18" s="9">
        <f>IF(管理者入力シート!$B$14=1,DH15*管理者用人口入力シート!BC$3,IF(管理者入力シート!$B$14=2,DH15*管理者用人口入力シート!BC$7))</f>
        <v>2.5617376914898999</v>
      </c>
      <c r="DJ18" s="9">
        <f>IF(管理者入力シート!$B$14=1,DI15*管理者用人口入力シート!BD$3,IF(管理者入力シート!$B$14=2,DI15*管理者用人口入力シート!BD$7))</f>
        <v>1.8446619684315544</v>
      </c>
      <c r="DK18" s="9">
        <f>IF(管理者入力シート!$B$14=1,DJ15*管理者用人口入力シート!BE$3,IF(管理者入力シート!$B$14=2,DJ15*管理者用人口入力シート!BE$7))</f>
        <v>1.4433756729740643E-3</v>
      </c>
      <c r="DL18" s="9">
        <f>IF(管理者入力シート!$B$14=1,DK15*管理者用人口入力シート!BF$3,IF(管理者入力シート!$B$14=2,DK15*管理者用人口入力シート!BF$7))</f>
        <v>8.6602540378443857E-7</v>
      </c>
      <c r="DM18" s="9">
        <f t="shared" si="71"/>
        <v>68.806873390118852</v>
      </c>
      <c r="DN18" s="9">
        <f t="shared" si="72"/>
        <v>5.1306448313548216</v>
      </c>
      <c r="DO18" s="9">
        <f t="shared" si="73"/>
        <v>2.1030904359822458</v>
      </c>
      <c r="DP18" s="9">
        <f t="shared" si="74"/>
        <v>14.739119981879441</v>
      </c>
      <c r="DQ18" s="9">
        <f t="shared" si="75"/>
        <v>5.3938571988031008</v>
      </c>
      <c r="DR18" s="13">
        <f t="shared" si="76"/>
        <v>0.21420999466597013</v>
      </c>
      <c r="DS18" s="13">
        <f t="shared" si="77"/>
        <v>7.8391255597695803E-2</v>
      </c>
      <c r="DT18" s="9">
        <f t="shared" si="78"/>
        <v>19.342447056668085</v>
      </c>
      <c r="DX18" s="306">
        <f>DX1</f>
        <v>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2.590658447051446</v>
      </c>
      <c r="BL19" s="10">
        <f>IF(管理者入力シート!$B$14=1,BK16*管理者用人口入力シート!AM$4,IF(管理者入力シート!$B$14=2,BK16*管理者用人口入力シート!AM$8))</f>
        <v>4.989056231531225</v>
      </c>
      <c r="BM19" s="10">
        <f>IF(管理者入力シート!$B$14=1,BL16*管理者用人口入力シート!AN$4,IF(管理者入力シート!$B$14=2,BL16*管理者用人口入力シート!AN$8))</f>
        <v>2.3790652480780947</v>
      </c>
      <c r="BN19" s="10">
        <f>IF(管理者入力シート!$B$14=1,BM16*管理者用人口入力シート!AO$4,IF(管理者入力シート!$B$14=2,BM16*管理者用人口入力シート!AO$8))</f>
        <v>1.671958466891547</v>
      </c>
      <c r="BO19" s="10">
        <f>IF(管理者入力シート!$B$14=1,BN16*管理者用人口入力シート!AP$4,IF(管理者入力シート!$B$14=2,BN16*管理者用人口入力シート!AP$8))</f>
        <v>2.5485473884966039</v>
      </c>
      <c r="BP19" s="10">
        <f>IF(管理者入力シート!$B$14=1,BO16*管理者用人口入力シート!AQ$4,IF(管理者入力シート!$B$14=2,BO16*管理者用人口入力シート!AQ$8))</f>
        <v>1.2247448713915892</v>
      </c>
      <c r="BQ19" s="10">
        <f>IF(管理者入力シート!$B$14=1,BP16*管理者用人口入力シート!AR$4,IF(管理者入力シート!$B$14=2,BP16*管理者用人口入力シート!AR$8))</f>
        <v>2.4494897427831783</v>
      </c>
      <c r="BR19" s="10">
        <f>IF(管理者入力シート!$B$14=1,BQ16*管理者用人口入力シート!AS$4,IF(管理者入力シート!$B$14=2,BQ16*管理者用人口入力シート!AS$8))</f>
        <v>1.5491933384829668</v>
      </c>
      <c r="BS19" s="10">
        <f>IF(管理者入力シート!$B$14=1,BR16*管理者用人口入力シート!AT$4,IF(管理者入力シート!$B$14=2,BR16*管理者用人口入力シート!AT$8))</f>
        <v>4.2426406871192857</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2.3094010767585029</v>
      </c>
      <c r="BW19" s="10">
        <f>IF(管理者入力シート!$B$14=1,BV16*管理者用人口入力シート!AX$4,IF(管理者入力シート!$B$14=2,BV16*管理者用人口入力シート!AX$8))</f>
        <v>1.1547005383792515</v>
      </c>
      <c r="BX19" s="10">
        <f>IF(管理者入力シート!$B$14=1,BW16*管理者用人口入力シート!AY$4,IF(管理者入力シート!$B$14=2,BW16*管理者用人口入力シート!AY$8))</f>
        <v>3.4641016151377544</v>
      </c>
      <c r="BY19" s="10">
        <f>IF(管理者入力シート!$B$14=1,BX16*管理者用人口入力シート!AZ$4,IF(管理者入力シート!$B$14=2,BX16*管理者用人口入力シート!AZ$8))</f>
        <v>2.3094010767585029</v>
      </c>
      <c r="BZ19" s="10">
        <f>IF(管理者入力シート!$B$14=1,BY16*管理者用人口入力シート!BA$4,IF(管理者入力シート!$B$14=2,BY16*管理者用人口入力シート!BA$8))</f>
        <v>0.94868329805051377</v>
      </c>
      <c r="CA19" s="10">
        <f>IF(管理者入力シート!$B$14=1,BZ16*管理者用人口入力シート!BB$4,IF(管理者入力シート!$B$14=2,BZ16*管理者用人口入力シート!BB$8))</f>
        <v>3.4112114616897666</v>
      </c>
      <c r="CB19" s="10">
        <f>IF(管理者入力シート!$B$14=1,CA16*管理者用人口入力シート!BC$4,IF(管理者入力シート!$B$14=2,CA16*管理者用人口入力シート!BC$8))</f>
        <v>1.019294382875251</v>
      </c>
      <c r="CC19" s="10">
        <f>IF(管理者入力シート!$B$14=1,CB16*管理者用人口入力シート!BD$4,IF(管理者入力シート!$B$14=2,CB16*管理者用人口入力シート!BD$8))</f>
        <v>1.1281521496355322</v>
      </c>
      <c r="CD19" s="10">
        <f>IF(管理者入力シート!$B$14=1,CC16*管理者用人口入力シート!BE$4,IF(管理者入力シート!$B$14=2,CC16*管理者用人口入力シート!BE$8))</f>
        <v>1.6116459280507607E-4</v>
      </c>
      <c r="CE19" s="10">
        <f>IF(管理者入力シート!$B$14=1,CD16*管理者用人口入力シート!BF$4,IF(管理者入力シート!$B$14=2,CD16*管理者用人口入力シート!BF$8))</f>
        <v>6.4465837122030429E-7</v>
      </c>
      <c r="CF19" s="10">
        <f t="shared" si="63"/>
        <v>39.390461830362185</v>
      </c>
      <c r="CG19" s="10">
        <f t="shared" si="64"/>
        <v>4.4208728877655918</v>
      </c>
      <c r="CH19" s="10">
        <f t="shared" si="65"/>
        <v>1.2860177926095473</v>
      </c>
      <c r="CI19" s="10">
        <f t="shared" si="66"/>
        <v>12.281005793398498</v>
      </c>
      <c r="CJ19" s="10">
        <f t="shared" si="67"/>
        <v>6.5075031015022402</v>
      </c>
      <c r="CK19" s="14">
        <f t="shared" si="68"/>
        <v>0.31177613114280101</v>
      </c>
      <c r="CL19" s="14">
        <f t="shared" si="69"/>
        <v>0.1652050470879794</v>
      </c>
      <c r="CM19" s="10">
        <f t="shared" si="70"/>
        <v>7.771975341154338</v>
      </c>
      <c r="CO19" s="7" t="str">
        <f t="shared" si="23"/>
        <v>2050_2</v>
      </c>
      <c r="CP19" s="29">
        <f>CP18</f>
        <v>2050</v>
      </c>
      <c r="CQ19" s="4" t="s">
        <v>22</v>
      </c>
      <c r="CR19" s="10">
        <f>DT19*$AK$14+将来予測シート②!$H17</f>
        <v>8.8371041650951163</v>
      </c>
      <c r="CS19" s="10">
        <f>IF(管理者入力シート!$B$14=1,CR16*管理者用人口入力シート!AM$4,IF(管理者入力シート!$B$14=2,CR16*管理者用人口入力シート!AM$8))+将来予測シート②!$H18</f>
        <v>12.614037923651486</v>
      </c>
      <c r="CT19" s="10">
        <f>IF(管理者入力シート!$B$14=1,CS16*管理者用人口入力シート!AN$4,IF(管理者入力シート!$B$14=2,CS16*管理者用人口入力シート!AN$8))+将来予測シート②!$H19</f>
        <v>6.7936380403591352</v>
      </c>
      <c r="CU19" s="10">
        <f>IF(管理者入力シート!$B$14=1,CT16*管理者用人口入力シート!AO$4,IF(管理者入力シート!$B$14=2,CT16*管理者用人口入力シート!AO$8))+将来予測シート②!$H20</f>
        <v>5.6782829687087268</v>
      </c>
      <c r="CV19" s="10">
        <f>IF(管理者入力シート!$B$14=1,CU16*管理者用人口入力シート!AP$4,IF(管理者入力シート!$B$14=2,CU16*管理者用人口入力シート!AP$8))+将来予測シート②!$H21</f>
        <v>6.8204989841167407</v>
      </c>
      <c r="CW19" s="10">
        <f>IF(管理者入力シート!$B$14=1,CV16*管理者用人口入力シート!AQ$4,IF(管理者入力シート!$B$14=2,CV16*管理者用人口入力シート!AQ$8))+将来予測シート②!$H22</f>
        <v>5.8637033051562728</v>
      </c>
      <c r="CX19" s="10">
        <f>IF(管理者入力シート!$B$14=1,CW16*管理者用人口入力シート!AR$4,IF(管理者入力シート!$B$14=2,CW16*管理者用人口入力シート!AR$8))+将来予測シート②!$H23</f>
        <v>5.8637033051562728</v>
      </c>
      <c r="CY19" s="10">
        <f>IF(管理者入力シート!$B$14=1,CX16*管理者用人口入力シート!AS$4,IF(管理者入力シート!$B$14=2,CX16*管理者用人口入力シート!AS$8))+将来予測シート②!$H24</f>
        <v>4.9634069008560617</v>
      </c>
      <c r="CZ19" s="10">
        <f>IF(管理者入力シート!$B$14=1,CY16*管理者用人口入力シート!AT$4,IF(管理者入力シート!$B$14=2,CY16*管理者用人口入力シート!AT$8))+将来予測シート②!$H25</f>
        <v>7.2426406871192857</v>
      </c>
      <c r="DA19" s="10">
        <f>IF(管理者入力シート!$B$14=1,CZ16*管理者用人口入力シート!AU$4,IF(管理者入力シート!$B$14=2,CZ16*管理者用人口入力シート!AU$8))+将来予測シート②!$H26</f>
        <v>3.4641016151377544</v>
      </c>
      <c r="DB19" s="10">
        <f>IF(管理者入力シート!$B$14=1,DA16*管理者用人口入力シート!AV$4,IF(管理者入力シート!$B$14=2,DA16*管理者用人口入力シート!AV$8))+将来予測シート②!$H27</f>
        <v>3.4641016151377544</v>
      </c>
      <c r="DC19" s="10">
        <f>IF(管理者入力シート!$B$14=1,DB16*管理者用人口入力シート!AW$4,IF(管理者入力シート!$B$14=2,DB16*管理者用人口入力シート!AW$8))+将来予測シート②!$H28</f>
        <v>3.4641016151377544</v>
      </c>
      <c r="DD19" s="10">
        <f>IF(管理者入力シート!$B$14=1,DC16*管理者用人口入力シート!AX$4,IF(管理者入力シート!$B$14=2,DC16*管理者用人口入力シート!AX$8))+将来予測シート②!$H29</f>
        <v>2.3094010767585029</v>
      </c>
      <c r="DE19" s="10">
        <f>IF(管理者入力シート!$B$14=1,DD16*管理者用人口入力シート!AY$4,IF(管理者入力シート!$B$14=2,DD16*管理者用人口入力シート!AY$8))</f>
        <v>4.6188021535170058</v>
      </c>
      <c r="DF19" s="10">
        <f>IF(管理者入力シート!$B$14=1,DE16*管理者用人口入力シート!AZ$4,IF(管理者入力シート!$B$14=2,DE16*管理者用人口入力シート!AZ$8))</f>
        <v>2.3094010767585029</v>
      </c>
      <c r="DG19" s="10">
        <f>IF(管理者入力シート!$B$14=1,DF16*管理者用人口入力シート!BA$4,IF(管理者入力シート!$B$14=2,DF16*管理者用人口入力シート!BA$8))</f>
        <v>0.94868329805051377</v>
      </c>
      <c r="DH19" s="10">
        <f>IF(管理者入力シート!$B$14=1,DG16*管理者用人口入力シート!BB$4,IF(管理者入力シート!$B$14=2,DG16*管理者用人口入力シート!BB$8))</f>
        <v>3.4112114616897666</v>
      </c>
      <c r="DI19" s="10">
        <f>IF(管理者入力シート!$B$14=1,DH16*管理者用人口入力シート!BC$4,IF(管理者入力シート!$B$14=2,DH16*管理者用人口入力シート!BC$8))</f>
        <v>1.019294382875251</v>
      </c>
      <c r="DJ19" s="10">
        <f>IF(管理者入力シート!$B$14=1,DI16*管理者用人口入力シート!BD$4,IF(管理者入力シート!$B$14=2,DI16*管理者用人口入力シート!BD$8))</f>
        <v>1.1281521496355322</v>
      </c>
      <c r="DK19" s="10">
        <f>IF(管理者入力シート!$B$14=1,DJ16*管理者用人口入力シート!BE$4,IF(管理者入力シート!$B$14=2,DJ16*管理者用人口入力シート!BE$8))</f>
        <v>1.6116459280507607E-4</v>
      </c>
      <c r="DL19" s="10">
        <f>IF(管理者入力シート!$B$14=1,DK16*管理者用人口入力シート!BF$4,IF(管理者入力シート!$B$14=2,DK16*管理者用人口入力シート!BF$8))</f>
        <v>6.4465837122030429E-7</v>
      </c>
      <c r="DM19" s="10">
        <f t="shared" si="71"/>
        <v>90.814428534168584</v>
      </c>
      <c r="DN19" s="10">
        <f t="shared" si="72"/>
        <v>11.644605578406372</v>
      </c>
      <c r="DO19" s="10">
        <f t="shared" si="73"/>
        <v>3.8531118098853998</v>
      </c>
      <c r="DP19" s="10">
        <f t="shared" si="74"/>
        <v>13.43570633177775</v>
      </c>
      <c r="DQ19" s="10">
        <f t="shared" si="75"/>
        <v>6.5075031015022402</v>
      </c>
      <c r="DR19" s="14">
        <f t="shared" si="76"/>
        <v>0.14794682462514883</v>
      </c>
      <c r="DS19" s="14">
        <f t="shared" si="77"/>
        <v>7.165714971221579E-2</v>
      </c>
      <c r="DT19" s="10">
        <f t="shared" si="78"/>
        <v>23.511312495285349</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3.885987670577169</v>
      </c>
      <c r="BL20" s="16">
        <f t="shared" ref="BL20:CE20" si="81">BL18+BL19</f>
        <v>6.7104441710322513</v>
      </c>
      <c r="BM20" s="16">
        <f t="shared" si="81"/>
        <v>3.3269075307368166</v>
      </c>
      <c r="BN20" s="16">
        <f t="shared" si="81"/>
        <v>2.3380826646407629</v>
      </c>
      <c r="BO20" s="16">
        <f t="shared" si="81"/>
        <v>3.2665192780849885</v>
      </c>
      <c r="BP20" s="16">
        <f t="shared" si="81"/>
        <v>1.7126949078658558</v>
      </c>
      <c r="BQ20" s="16">
        <f t="shared" si="81"/>
        <v>3.2054186888016325</v>
      </c>
      <c r="BR20" s="16">
        <f t="shared" si="81"/>
        <v>6.1967733539318672</v>
      </c>
      <c r="BS20" s="16">
        <f t="shared" si="81"/>
        <v>6.9259222601190338</v>
      </c>
      <c r="BT20" s="16">
        <f t="shared" si="81"/>
        <v>1.897366596101028</v>
      </c>
      <c r="BU20" s="16">
        <f t="shared" si="81"/>
        <v>0</v>
      </c>
      <c r="BV20" s="16">
        <f t="shared" si="81"/>
        <v>3.651041863258377</v>
      </c>
      <c r="BW20" s="16">
        <f t="shared" si="81"/>
        <v>6.0152560621851467</v>
      </c>
      <c r="BX20" s="16">
        <f t="shared" si="81"/>
        <v>6.7712907539684926</v>
      </c>
      <c r="BY20" s="16">
        <f t="shared" si="81"/>
        <v>8.3474747210041027</v>
      </c>
      <c r="BZ20" s="16">
        <f t="shared" si="81"/>
        <v>0.94868329805051377</v>
      </c>
      <c r="CA20" s="16">
        <f t="shared" si="81"/>
        <v>4.397224758873036</v>
      </c>
      <c r="CB20" s="16">
        <f t="shared" si="81"/>
        <v>3.5810320743651509</v>
      </c>
      <c r="CC20" s="16">
        <f t="shared" si="81"/>
        <v>2.9728141180670864</v>
      </c>
      <c r="CD20" s="16">
        <f t="shared" si="81"/>
        <v>1.6045402657791402E-3</v>
      </c>
      <c r="CE20" s="16">
        <f t="shared" si="81"/>
        <v>1.5106837750047429E-6</v>
      </c>
      <c r="CF20" s="11">
        <f t="shared" si="63"/>
        <v>76.152540822612863</v>
      </c>
      <c r="CG20" s="11">
        <f t="shared" si="64"/>
        <v>6.0224110210614406</v>
      </c>
      <c r="CH20" s="11">
        <f t="shared" si="65"/>
        <v>1.7983795452228792</v>
      </c>
      <c r="CI20" s="11">
        <f t="shared" si="66"/>
        <v>27.020125775277936</v>
      </c>
      <c r="CJ20" s="11">
        <f t="shared" si="67"/>
        <v>11.901360300305342</v>
      </c>
      <c r="CK20" s="15">
        <f t="shared" si="68"/>
        <v>0.35481581419873692</v>
      </c>
      <c r="CL20" s="15">
        <f t="shared" si="69"/>
        <v>0.15628316759683653</v>
      </c>
      <c r="CM20" s="11">
        <f t="shared" si="70"/>
        <v>14.381406228684344</v>
      </c>
      <c r="CO20" s="7" t="str">
        <f t="shared" si="23"/>
        <v>2050_3</v>
      </c>
      <c r="CP20" s="30">
        <f>CP19</f>
        <v>2050</v>
      </c>
      <c r="CQ20" s="5" t="s">
        <v>23</v>
      </c>
      <c r="CR20" s="16">
        <f>CR18+CR19</f>
        <v>13.755656247642674</v>
      </c>
      <c r="CS20" s="16">
        <f t="shared" ref="CS20:DL20" si="82">CS18+CS19</f>
        <v>17.511839216916581</v>
      </c>
      <c r="CT20" s="16">
        <f t="shared" si="82"/>
        <v>10.446911466018744</v>
      </c>
      <c r="CU20" s="16">
        <f t="shared" si="82"/>
        <v>8.8871882973007406</v>
      </c>
      <c r="CV20" s="16">
        <f t="shared" si="82"/>
        <v>9.6885801392757145</v>
      </c>
      <c r="CW20" s="16">
        <f t="shared" si="82"/>
        <v>10.741766976952167</v>
      </c>
      <c r="CX20" s="16">
        <f t="shared" si="82"/>
        <v>9.264270704668025</v>
      </c>
      <c r="CY20" s="16">
        <f t="shared" si="82"/>
        <v>13.159141731057524</v>
      </c>
      <c r="CZ20" s="16">
        <f t="shared" si="82"/>
        <v>11.823288856220062</v>
      </c>
      <c r="DA20" s="16">
        <f t="shared" si="82"/>
        <v>8.0447497842385296</v>
      </c>
      <c r="DB20" s="16">
        <f t="shared" si="82"/>
        <v>6.1473831881375034</v>
      </c>
      <c r="DC20" s="16">
        <f t="shared" si="82"/>
        <v>4.8057424016376284</v>
      </c>
      <c r="DD20" s="16">
        <f t="shared" si="82"/>
        <v>7.1699566005643982</v>
      </c>
      <c r="DE20" s="16">
        <f t="shared" si="82"/>
        <v>7.925991292347744</v>
      </c>
      <c r="DF20" s="16">
        <f t="shared" si="82"/>
        <v>8.3474747210041027</v>
      </c>
      <c r="DG20" s="16">
        <f t="shared" si="82"/>
        <v>0.94868329805051377</v>
      </c>
      <c r="DH20" s="16">
        <f t="shared" si="82"/>
        <v>4.397224758873036</v>
      </c>
      <c r="DI20" s="16">
        <f t="shared" si="82"/>
        <v>3.5810320743651509</v>
      </c>
      <c r="DJ20" s="16">
        <f t="shared" si="82"/>
        <v>2.9728141180670864</v>
      </c>
      <c r="DK20" s="16">
        <f t="shared" si="82"/>
        <v>1.6045402657791402E-3</v>
      </c>
      <c r="DL20" s="16">
        <f t="shared" si="82"/>
        <v>1.5106837750047429E-6</v>
      </c>
      <c r="DM20" s="11">
        <f t="shared" si="71"/>
        <v>159.62130192428742</v>
      </c>
      <c r="DN20" s="11">
        <f t="shared" si="72"/>
        <v>16.775250409761192</v>
      </c>
      <c r="DO20" s="11">
        <f t="shared" si="73"/>
        <v>5.9562022458676456</v>
      </c>
      <c r="DP20" s="11">
        <f t="shared" si="74"/>
        <v>28.174826313657189</v>
      </c>
      <c r="DQ20" s="11">
        <f t="shared" si="75"/>
        <v>11.901360300305342</v>
      </c>
      <c r="DR20" s="15">
        <f t="shared" si="76"/>
        <v>0.17651044048632838</v>
      </c>
      <c r="DS20" s="15">
        <f t="shared" si="77"/>
        <v>7.4559975121305994E-2</v>
      </c>
      <c r="DT20" s="11">
        <f t="shared" si="78"/>
        <v>42.853759551953431</v>
      </c>
      <c r="DX20" s="28">
        <f>DX3</f>
        <v>2025</v>
      </c>
      <c r="DY20" s="3" t="s">
        <v>21</v>
      </c>
      <c r="DZ20" s="9">
        <f t="shared" ref="DZ20:ET20" si="83">ROUND(DZ3,0)</f>
        <v>1</v>
      </c>
      <c r="EA20" s="9">
        <f t="shared" si="83"/>
        <v>1</v>
      </c>
      <c r="EB20" s="9">
        <f t="shared" si="83"/>
        <v>3</v>
      </c>
      <c r="EC20" s="9">
        <f t="shared" si="83"/>
        <v>2</v>
      </c>
      <c r="ED20" s="9">
        <f t="shared" si="83"/>
        <v>1</v>
      </c>
      <c r="EE20" s="9">
        <f t="shared" si="83"/>
        <v>1</v>
      </c>
      <c r="EF20" s="9">
        <f t="shared" si="83"/>
        <v>2</v>
      </c>
      <c r="EG20" s="9">
        <f t="shared" si="83"/>
        <v>5</v>
      </c>
      <c r="EH20" s="9">
        <f t="shared" si="83"/>
        <v>3</v>
      </c>
      <c r="EI20" s="9">
        <f t="shared" si="83"/>
        <v>7</v>
      </c>
      <c r="EJ20" s="9">
        <f t="shared" si="83"/>
        <v>0</v>
      </c>
      <c r="EK20" s="9">
        <f t="shared" si="83"/>
        <v>2</v>
      </c>
      <c r="EL20" s="9">
        <f t="shared" si="83"/>
        <v>6</v>
      </c>
      <c r="EM20" s="9">
        <f t="shared" si="83"/>
        <v>6</v>
      </c>
      <c r="EN20" s="9">
        <f t="shared" si="83"/>
        <v>5</v>
      </c>
      <c r="EO20" s="9">
        <f t="shared" si="83"/>
        <v>2</v>
      </c>
      <c r="EP20" s="9">
        <f t="shared" si="83"/>
        <v>1</v>
      </c>
      <c r="EQ20" s="9">
        <f t="shared" si="83"/>
        <v>2</v>
      </c>
      <c r="ER20" s="9">
        <f t="shared" si="83"/>
        <v>3</v>
      </c>
      <c r="ES20" s="9">
        <f t="shared" si="83"/>
        <v>0</v>
      </c>
      <c r="ET20" s="9">
        <f t="shared" si="83"/>
        <v>0</v>
      </c>
      <c r="EU20" s="9">
        <f>SUM(DZ20:ET20)</f>
        <v>53</v>
      </c>
      <c r="EV20" s="9">
        <f>EA20*3/5+EB20*3/5</f>
        <v>2.4</v>
      </c>
      <c r="EW20" s="9">
        <f>EB20*2/5+EC20*1/5</f>
        <v>1.6</v>
      </c>
      <c r="EX20" s="9">
        <f t="shared" ref="EX20:EX31" si="84">SUM(EM20:ET20)</f>
        <v>19</v>
      </c>
      <c r="EY20" s="9">
        <f>SUM(EO20:ET20)</f>
        <v>8</v>
      </c>
      <c r="EZ20" s="13">
        <f>EX20/EU20</f>
        <v>0.35849056603773582</v>
      </c>
      <c r="FA20" s="13">
        <f>EY20/EU20</f>
        <v>0.15094339622641509</v>
      </c>
      <c r="FB20" s="9">
        <f>SUM(ED20:EG20)</f>
        <v>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1</v>
      </c>
      <c r="EA21" s="10">
        <f t="shared" si="85"/>
        <v>3</v>
      </c>
      <c r="EB21" s="10">
        <f t="shared" si="85"/>
        <v>1</v>
      </c>
      <c r="EC21" s="10">
        <f t="shared" si="85"/>
        <v>3</v>
      </c>
      <c r="ED21" s="10">
        <f t="shared" si="85"/>
        <v>0</v>
      </c>
      <c r="EE21" s="10">
        <f t="shared" si="85"/>
        <v>1</v>
      </c>
      <c r="EF21" s="10">
        <f t="shared" si="85"/>
        <v>3</v>
      </c>
      <c r="EG21" s="10">
        <f t="shared" si="85"/>
        <v>2</v>
      </c>
      <c r="EH21" s="10">
        <f t="shared" si="85"/>
        <v>3</v>
      </c>
      <c r="EI21" s="10">
        <f t="shared" si="85"/>
        <v>2</v>
      </c>
      <c r="EJ21" s="10">
        <f t="shared" si="85"/>
        <v>1</v>
      </c>
      <c r="EK21" s="10">
        <f t="shared" si="85"/>
        <v>4</v>
      </c>
      <c r="EL21" s="10">
        <f t="shared" si="85"/>
        <v>2</v>
      </c>
      <c r="EM21" s="10">
        <f t="shared" si="85"/>
        <v>7</v>
      </c>
      <c r="EN21" s="10">
        <f t="shared" si="85"/>
        <v>1</v>
      </c>
      <c r="EO21" s="10">
        <f t="shared" si="85"/>
        <v>4</v>
      </c>
      <c r="EP21" s="10">
        <f t="shared" si="85"/>
        <v>1</v>
      </c>
      <c r="EQ21" s="10">
        <f t="shared" si="85"/>
        <v>5</v>
      </c>
      <c r="ER21" s="10">
        <f t="shared" si="85"/>
        <v>2</v>
      </c>
      <c r="ES21" s="10">
        <f t="shared" si="85"/>
        <v>0</v>
      </c>
      <c r="ET21" s="10">
        <f t="shared" si="85"/>
        <v>0</v>
      </c>
      <c r="EU21" s="10">
        <f>SUM(DZ21:ET21)</f>
        <v>46</v>
      </c>
      <c r="EV21" s="10">
        <f t="shared" ref="EV21:EV31" si="86">EA21*3/5+EB21*3/5</f>
        <v>2.4</v>
      </c>
      <c r="EW21" s="10">
        <f t="shared" ref="EW21:EW31" si="87">EB21*2/5+EC21*1/5</f>
        <v>1</v>
      </c>
      <c r="EX21" s="10">
        <f t="shared" si="84"/>
        <v>20</v>
      </c>
      <c r="EY21" s="10">
        <f t="shared" ref="EY21:EY31" si="88">SUM(EO21:ET21)</f>
        <v>12</v>
      </c>
      <c r="EZ21" s="14">
        <f t="shared" ref="EZ21:EZ31" si="89">EX21/EU21</f>
        <v>0.43478260869565216</v>
      </c>
      <c r="FA21" s="14">
        <f t="shared" ref="FA21:FA31" si="90">EY21/EU21</f>
        <v>0.2608695652173913</v>
      </c>
      <c r="FB21" s="10">
        <f>SUM(ED21:EG21)</f>
        <v>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91">EA20+EA21</f>
        <v>4</v>
      </c>
      <c r="EB22" s="16">
        <f t="shared" si="91"/>
        <v>4</v>
      </c>
      <c r="EC22" s="16">
        <f t="shared" si="91"/>
        <v>5</v>
      </c>
      <c r="ED22" s="16">
        <f t="shared" si="91"/>
        <v>1</v>
      </c>
      <c r="EE22" s="16">
        <f t="shared" si="91"/>
        <v>2</v>
      </c>
      <c r="EF22" s="16">
        <f t="shared" si="91"/>
        <v>5</v>
      </c>
      <c r="EG22" s="16">
        <f t="shared" si="91"/>
        <v>7</v>
      </c>
      <c r="EH22" s="16">
        <f t="shared" si="91"/>
        <v>6</v>
      </c>
      <c r="EI22" s="16">
        <f t="shared" si="91"/>
        <v>9</v>
      </c>
      <c r="EJ22" s="16">
        <f t="shared" si="91"/>
        <v>1</v>
      </c>
      <c r="EK22" s="16">
        <f t="shared" si="91"/>
        <v>6</v>
      </c>
      <c r="EL22" s="16">
        <f t="shared" si="91"/>
        <v>8</v>
      </c>
      <c r="EM22" s="16">
        <f t="shared" si="91"/>
        <v>13</v>
      </c>
      <c r="EN22" s="16">
        <f t="shared" si="91"/>
        <v>6</v>
      </c>
      <c r="EO22" s="16">
        <f t="shared" si="91"/>
        <v>6</v>
      </c>
      <c r="EP22" s="16">
        <f t="shared" si="91"/>
        <v>2</v>
      </c>
      <c r="EQ22" s="16">
        <f t="shared" si="91"/>
        <v>7</v>
      </c>
      <c r="ER22" s="16">
        <f t="shared" si="91"/>
        <v>5</v>
      </c>
      <c r="ES22" s="16">
        <f t="shared" si="91"/>
        <v>0</v>
      </c>
      <c r="ET22" s="16">
        <f t="shared" si="91"/>
        <v>0</v>
      </c>
      <c r="EU22" s="11">
        <f>SUM(DZ22:ET22)</f>
        <v>99</v>
      </c>
      <c r="EV22" s="11">
        <f t="shared" si="86"/>
        <v>4.8</v>
      </c>
      <c r="EW22" s="11">
        <f t="shared" si="87"/>
        <v>2.6</v>
      </c>
      <c r="EX22" s="11">
        <f t="shared" si="84"/>
        <v>39</v>
      </c>
      <c r="EY22" s="11">
        <f t="shared" si="88"/>
        <v>20</v>
      </c>
      <c r="EZ22" s="15">
        <f t="shared" si="89"/>
        <v>0.39393939393939392</v>
      </c>
      <c r="FA22" s="15">
        <f t="shared" si="90"/>
        <v>0.20202020202020202</v>
      </c>
      <c r="FB22" s="11">
        <f>SUM(ED22:EG22)</f>
        <v>15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2</v>
      </c>
      <c r="EA23" s="9">
        <f t="shared" si="92"/>
        <v>1</v>
      </c>
      <c r="EB23" s="9">
        <f t="shared" si="92"/>
        <v>1</v>
      </c>
      <c r="EC23" s="9">
        <f t="shared" si="92"/>
        <v>3</v>
      </c>
      <c r="ED23" s="9">
        <f t="shared" si="92"/>
        <v>2</v>
      </c>
      <c r="EE23" s="9">
        <f t="shared" si="92"/>
        <v>2</v>
      </c>
      <c r="EF23" s="9">
        <f t="shared" si="92"/>
        <v>2</v>
      </c>
      <c r="EG23" s="9">
        <f t="shared" si="92"/>
        <v>3</v>
      </c>
      <c r="EH23" s="9">
        <f t="shared" si="92"/>
        <v>5</v>
      </c>
      <c r="EI23" s="9">
        <f t="shared" si="92"/>
        <v>4</v>
      </c>
      <c r="EJ23" s="9">
        <f t="shared" si="92"/>
        <v>7</v>
      </c>
      <c r="EK23" s="9">
        <f t="shared" si="92"/>
        <v>0</v>
      </c>
      <c r="EL23" s="9">
        <f t="shared" si="92"/>
        <v>2</v>
      </c>
      <c r="EM23" s="9">
        <f t="shared" si="92"/>
        <v>5</v>
      </c>
      <c r="EN23" s="9">
        <f t="shared" si="92"/>
        <v>6</v>
      </c>
      <c r="EO23" s="9">
        <f t="shared" si="92"/>
        <v>4</v>
      </c>
      <c r="EP23" s="9">
        <f t="shared" si="92"/>
        <v>2</v>
      </c>
      <c r="EQ23" s="9">
        <f t="shared" si="92"/>
        <v>1</v>
      </c>
      <c r="ER23" s="9">
        <f t="shared" si="92"/>
        <v>1</v>
      </c>
      <c r="ES23" s="9">
        <f t="shared" si="92"/>
        <v>0</v>
      </c>
      <c r="ET23" s="9">
        <f t="shared" si="92"/>
        <v>0</v>
      </c>
      <c r="EU23" s="9">
        <f t="shared" ref="EU23:EU31" si="93">SUM(DZ23:ET23)</f>
        <v>53</v>
      </c>
      <c r="EV23" s="9">
        <f t="shared" si="86"/>
        <v>1.2</v>
      </c>
      <c r="EW23" s="9">
        <f t="shared" si="87"/>
        <v>1</v>
      </c>
      <c r="EX23" s="9">
        <f t="shared" si="84"/>
        <v>19</v>
      </c>
      <c r="EY23" s="9">
        <f t="shared" si="88"/>
        <v>8</v>
      </c>
      <c r="EZ23" s="13">
        <f t="shared" si="89"/>
        <v>0.35849056603773582</v>
      </c>
      <c r="FA23" s="13">
        <f t="shared" si="90"/>
        <v>0.15094339622641509</v>
      </c>
      <c r="FB23" s="9">
        <f t="shared" ref="FB23:FB31" si="94">SUM(ED23:EG23)</f>
        <v>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4</v>
      </c>
      <c r="EA24" s="10">
        <f t="shared" si="95"/>
        <v>2</v>
      </c>
      <c r="EB24" s="10">
        <f t="shared" si="95"/>
        <v>2</v>
      </c>
      <c r="EC24" s="10">
        <f t="shared" si="95"/>
        <v>1</v>
      </c>
      <c r="ED24" s="10">
        <f t="shared" si="95"/>
        <v>4</v>
      </c>
      <c r="EE24" s="10">
        <f t="shared" si="95"/>
        <v>1</v>
      </c>
      <c r="EF24" s="10">
        <f t="shared" si="95"/>
        <v>2</v>
      </c>
      <c r="EG24" s="10">
        <f t="shared" si="95"/>
        <v>4</v>
      </c>
      <c r="EH24" s="10">
        <f t="shared" si="95"/>
        <v>2</v>
      </c>
      <c r="EI24" s="10">
        <f t="shared" si="95"/>
        <v>3</v>
      </c>
      <c r="EJ24" s="10">
        <f t="shared" si="95"/>
        <v>2</v>
      </c>
      <c r="EK24" s="10">
        <f t="shared" si="95"/>
        <v>1</v>
      </c>
      <c r="EL24" s="10">
        <f t="shared" si="95"/>
        <v>4</v>
      </c>
      <c r="EM24" s="10">
        <f t="shared" si="95"/>
        <v>2</v>
      </c>
      <c r="EN24" s="10">
        <f t="shared" si="95"/>
        <v>7</v>
      </c>
      <c r="EO24" s="10">
        <f t="shared" si="95"/>
        <v>1</v>
      </c>
      <c r="EP24" s="10">
        <f t="shared" si="95"/>
        <v>3</v>
      </c>
      <c r="EQ24" s="10">
        <f t="shared" si="95"/>
        <v>1</v>
      </c>
      <c r="ER24" s="10">
        <f t="shared" si="95"/>
        <v>2</v>
      </c>
      <c r="ES24" s="10">
        <f t="shared" si="95"/>
        <v>0</v>
      </c>
      <c r="ET24" s="10">
        <f t="shared" si="95"/>
        <v>0</v>
      </c>
      <c r="EU24" s="10">
        <f t="shared" si="93"/>
        <v>48</v>
      </c>
      <c r="EV24" s="10">
        <f t="shared" si="86"/>
        <v>2.4</v>
      </c>
      <c r="EW24" s="10">
        <f t="shared" si="87"/>
        <v>1</v>
      </c>
      <c r="EX24" s="10">
        <f t="shared" si="84"/>
        <v>16</v>
      </c>
      <c r="EY24" s="10">
        <f t="shared" si="88"/>
        <v>7</v>
      </c>
      <c r="EZ24" s="14">
        <f t="shared" si="89"/>
        <v>0.33333333333333331</v>
      </c>
      <c r="FA24" s="14">
        <f t="shared" si="90"/>
        <v>0.14583333333333334</v>
      </c>
      <c r="FB24" s="10">
        <f t="shared" si="94"/>
        <v>11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96">EA23+EA24</f>
        <v>3</v>
      </c>
      <c r="EB25" s="16">
        <f t="shared" si="96"/>
        <v>3</v>
      </c>
      <c r="EC25" s="16">
        <f t="shared" si="96"/>
        <v>4</v>
      </c>
      <c r="ED25" s="16">
        <f t="shared" si="96"/>
        <v>6</v>
      </c>
      <c r="EE25" s="16">
        <f t="shared" si="96"/>
        <v>3</v>
      </c>
      <c r="EF25" s="16">
        <f t="shared" si="96"/>
        <v>4</v>
      </c>
      <c r="EG25" s="16">
        <f t="shared" si="96"/>
        <v>7</v>
      </c>
      <c r="EH25" s="16">
        <f t="shared" si="96"/>
        <v>7</v>
      </c>
      <c r="EI25" s="16">
        <f t="shared" si="96"/>
        <v>7</v>
      </c>
      <c r="EJ25" s="16">
        <f t="shared" si="96"/>
        <v>9</v>
      </c>
      <c r="EK25" s="16">
        <f t="shared" si="96"/>
        <v>1</v>
      </c>
      <c r="EL25" s="16">
        <f t="shared" si="96"/>
        <v>6</v>
      </c>
      <c r="EM25" s="16">
        <f t="shared" si="96"/>
        <v>7</v>
      </c>
      <c r="EN25" s="16">
        <f t="shared" si="96"/>
        <v>13</v>
      </c>
      <c r="EO25" s="16">
        <f t="shared" si="96"/>
        <v>5</v>
      </c>
      <c r="EP25" s="16">
        <f t="shared" si="96"/>
        <v>5</v>
      </c>
      <c r="EQ25" s="16">
        <f t="shared" si="96"/>
        <v>2</v>
      </c>
      <c r="ER25" s="16">
        <f t="shared" si="96"/>
        <v>3</v>
      </c>
      <c r="ES25" s="16">
        <f t="shared" si="96"/>
        <v>0</v>
      </c>
      <c r="ET25" s="16">
        <f t="shared" si="96"/>
        <v>0</v>
      </c>
      <c r="EU25" s="11">
        <f t="shared" si="93"/>
        <v>101</v>
      </c>
      <c r="EV25" s="11">
        <f t="shared" si="86"/>
        <v>3.6</v>
      </c>
      <c r="EW25" s="11">
        <f t="shared" si="87"/>
        <v>2</v>
      </c>
      <c r="EX25" s="11">
        <f t="shared" si="84"/>
        <v>35</v>
      </c>
      <c r="EY25" s="11">
        <f t="shared" si="88"/>
        <v>15</v>
      </c>
      <c r="EZ25" s="15">
        <f t="shared" si="89"/>
        <v>0.34653465346534651</v>
      </c>
      <c r="FA25" s="15">
        <f t="shared" si="90"/>
        <v>0.14851485148514851</v>
      </c>
      <c r="FB25" s="11">
        <f t="shared" si="94"/>
        <v>20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2</v>
      </c>
      <c r="EA26" s="9">
        <f t="shared" si="97"/>
        <v>2</v>
      </c>
      <c r="EB26" s="9">
        <f t="shared" si="97"/>
        <v>0</v>
      </c>
      <c r="EC26" s="9">
        <f t="shared" si="97"/>
        <v>1</v>
      </c>
      <c r="ED26" s="9">
        <f t="shared" si="97"/>
        <v>3</v>
      </c>
      <c r="EE26" s="9">
        <f t="shared" si="97"/>
        <v>4</v>
      </c>
      <c r="EF26" s="9">
        <f t="shared" si="97"/>
        <v>3</v>
      </c>
      <c r="EG26" s="9">
        <f t="shared" si="97"/>
        <v>3</v>
      </c>
      <c r="EH26" s="9">
        <f t="shared" si="97"/>
        <v>3</v>
      </c>
      <c r="EI26" s="9">
        <f t="shared" si="97"/>
        <v>6</v>
      </c>
      <c r="EJ26" s="9">
        <f t="shared" si="97"/>
        <v>4</v>
      </c>
      <c r="EK26" s="9">
        <f t="shared" si="97"/>
        <v>7</v>
      </c>
      <c r="EL26" s="9">
        <f t="shared" si="97"/>
        <v>0</v>
      </c>
      <c r="EM26" s="9">
        <f t="shared" si="97"/>
        <v>2</v>
      </c>
      <c r="EN26" s="9">
        <f t="shared" si="97"/>
        <v>5</v>
      </c>
      <c r="EO26" s="9">
        <f t="shared" si="97"/>
        <v>5</v>
      </c>
      <c r="EP26" s="9">
        <f t="shared" si="97"/>
        <v>3</v>
      </c>
      <c r="EQ26" s="9">
        <f t="shared" si="97"/>
        <v>2</v>
      </c>
      <c r="ER26" s="9">
        <f t="shared" si="97"/>
        <v>1</v>
      </c>
      <c r="ES26" s="9">
        <f t="shared" si="97"/>
        <v>0</v>
      </c>
      <c r="ET26" s="9">
        <f t="shared" si="97"/>
        <v>0</v>
      </c>
      <c r="EU26" s="9">
        <f t="shared" si="93"/>
        <v>56</v>
      </c>
      <c r="EV26" s="9">
        <f t="shared" si="86"/>
        <v>1.2</v>
      </c>
      <c r="EW26" s="9">
        <f t="shared" si="87"/>
        <v>0.2</v>
      </c>
      <c r="EX26" s="9">
        <f t="shared" si="84"/>
        <v>18</v>
      </c>
      <c r="EY26" s="9">
        <f t="shared" si="88"/>
        <v>11</v>
      </c>
      <c r="EZ26" s="13">
        <f t="shared" si="89"/>
        <v>0.32142857142857145</v>
      </c>
      <c r="FA26" s="13">
        <f t="shared" si="90"/>
        <v>0.19642857142857142</v>
      </c>
      <c r="FB26" s="9">
        <f t="shared" si="94"/>
        <v>13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4</v>
      </c>
      <c r="EA27" s="10">
        <f t="shared" si="98"/>
        <v>6</v>
      </c>
      <c r="EB27" s="10">
        <f t="shared" si="98"/>
        <v>1</v>
      </c>
      <c r="EC27" s="10">
        <f t="shared" si="98"/>
        <v>2</v>
      </c>
      <c r="ED27" s="10">
        <f t="shared" si="98"/>
        <v>2</v>
      </c>
      <c r="EE27" s="10">
        <f t="shared" si="98"/>
        <v>5</v>
      </c>
      <c r="EF27" s="10">
        <f t="shared" si="98"/>
        <v>2</v>
      </c>
      <c r="EG27" s="10">
        <f t="shared" si="98"/>
        <v>3</v>
      </c>
      <c r="EH27" s="10">
        <f t="shared" si="98"/>
        <v>4</v>
      </c>
      <c r="EI27" s="10">
        <f t="shared" si="98"/>
        <v>2</v>
      </c>
      <c r="EJ27" s="10">
        <f t="shared" si="98"/>
        <v>3</v>
      </c>
      <c r="EK27" s="10">
        <f t="shared" si="98"/>
        <v>2</v>
      </c>
      <c r="EL27" s="10">
        <f t="shared" si="98"/>
        <v>1</v>
      </c>
      <c r="EM27" s="10">
        <f t="shared" si="98"/>
        <v>4</v>
      </c>
      <c r="EN27" s="10">
        <f t="shared" si="98"/>
        <v>2</v>
      </c>
      <c r="EO27" s="10">
        <f t="shared" si="98"/>
        <v>7</v>
      </c>
      <c r="EP27" s="10">
        <f t="shared" si="98"/>
        <v>1</v>
      </c>
      <c r="EQ27" s="10">
        <f t="shared" si="98"/>
        <v>2</v>
      </c>
      <c r="ER27" s="10">
        <f t="shared" si="98"/>
        <v>0</v>
      </c>
      <c r="ES27" s="10">
        <f t="shared" si="98"/>
        <v>0</v>
      </c>
      <c r="ET27" s="10">
        <f t="shared" si="98"/>
        <v>0</v>
      </c>
      <c r="EU27" s="10">
        <f t="shared" si="93"/>
        <v>53</v>
      </c>
      <c r="EV27" s="10">
        <f t="shared" si="86"/>
        <v>4.2</v>
      </c>
      <c r="EW27" s="10">
        <f t="shared" si="87"/>
        <v>0.8</v>
      </c>
      <c r="EX27" s="10">
        <f t="shared" si="84"/>
        <v>16</v>
      </c>
      <c r="EY27" s="10">
        <f t="shared" si="88"/>
        <v>10</v>
      </c>
      <c r="EZ27" s="14">
        <f t="shared" si="89"/>
        <v>0.30188679245283018</v>
      </c>
      <c r="FA27" s="14">
        <f t="shared" si="90"/>
        <v>0.18867924528301888</v>
      </c>
      <c r="FB27" s="10">
        <f t="shared" si="94"/>
        <v>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v>
      </c>
      <c r="EA28" s="16">
        <f t="shared" ref="EA28:ET28" si="99">EA26+EA27</f>
        <v>8</v>
      </c>
      <c r="EB28" s="16">
        <f t="shared" si="99"/>
        <v>1</v>
      </c>
      <c r="EC28" s="16">
        <f t="shared" si="99"/>
        <v>3</v>
      </c>
      <c r="ED28" s="16">
        <f t="shared" si="99"/>
        <v>5</v>
      </c>
      <c r="EE28" s="16">
        <f t="shared" si="99"/>
        <v>9</v>
      </c>
      <c r="EF28" s="16">
        <f t="shared" si="99"/>
        <v>5</v>
      </c>
      <c r="EG28" s="16">
        <f t="shared" si="99"/>
        <v>6</v>
      </c>
      <c r="EH28" s="16">
        <f t="shared" si="99"/>
        <v>7</v>
      </c>
      <c r="EI28" s="16">
        <f t="shared" si="99"/>
        <v>8</v>
      </c>
      <c r="EJ28" s="16">
        <f t="shared" si="99"/>
        <v>7</v>
      </c>
      <c r="EK28" s="16">
        <f t="shared" si="99"/>
        <v>9</v>
      </c>
      <c r="EL28" s="16">
        <f t="shared" si="99"/>
        <v>1</v>
      </c>
      <c r="EM28" s="16">
        <f t="shared" si="99"/>
        <v>6</v>
      </c>
      <c r="EN28" s="16">
        <f t="shared" si="99"/>
        <v>7</v>
      </c>
      <c r="EO28" s="16">
        <f t="shared" si="99"/>
        <v>12</v>
      </c>
      <c r="EP28" s="16">
        <f t="shared" si="99"/>
        <v>4</v>
      </c>
      <c r="EQ28" s="16">
        <f t="shared" si="99"/>
        <v>4</v>
      </c>
      <c r="ER28" s="16">
        <f t="shared" si="99"/>
        <v>1</v>
      </c>
      <c r="ES28" s="16">
        <f t="shared" si="99"/>
        <v>0</v>
      </c>
      <c r="ET28" s="16">
        <f t="shared" si="99"/>
        <v>0</v>
      </c>
      <c r="EU28" s="11">
        <f t="shared" si="93"/>
        <v>109</v>
      </c>
      <c r="EV28" s="11">
        <f t="shared" si="86"/>
        <v>5.3999999999999995</v>
      </c>
      <c r="EW28" s="11">
        <f t="shared" si="87"/>
        <v>1</v>
      </c>
      <c r="EX28" s="11">
        <f t="shared" si="84"/>
        <v>34</v>
      </c>
      <c r="EY28" s="11">
        <f t="shared" si="88"/>
        <v>21</v>
      </c>
      <c r="EZ28" s="15">
        <f t="shared" si="89"/>
        <v>0.31192660550458717</v>
      </c>
      <c r="FA28" s="15">
        <f t="shared" si="90"/>
        <v>0.19266055045871561</v>
      </c>
      <c r="FB28" s="11">
        <f t="shared" si="94"/>
        <v>25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2</v>
      </c>
      <c r="EA29" s="9">
        <f t="shared" si="100"/>
        <v>2</v>
      </c>
      <c r="EB29" s="9">
        <f t="shared" si="100"/>
        <v>1</v>
      </c>
      <c r="EC29" s="9">
        <f t="shared" si="100"/>
        <v>0</v>
      </c>
      <c r="ED29" s="9">
        <f t="shared" si="100"/>
        <v>1</v>
      </c>
      <c r="EE29" s="9">
        <f t="shared" si="100"/>
        <v>5</v>
      </c>
      <c r="EF29" s="9">
        <f t="shared" si="100"/>
        <v>4</v>
      </c>
      <c r="EG29" s="9">
        <f t="shared" si="100"/>
        <v>5</v>
      </c>
      <c r="EH29" s="9">
        <f t="shared" si="100"/>
        <v>3</v>
      </c>
      <c r="EI29" s="9">
        <f t="shared" si="100"/>
        <v>4</v>
      </c>
      <c r="EJ29" s="9">
        <f t="shared" si="100"/>
        <v>6</v>
      </c>
      <c r="EK29" s="9">
        <f t="shared" si="100"/>
        <v>4</v>
      </c>
      <c r="EL29" s="9">
        <f t="shared" si="100"/>
        <v>7</v>
      </c>
      <c r="EM29" s="9">
        <f t="shared" si="100"/>
        <v>0</v>
      </c>
      <c r="EN29" s="9">
        <f t="shared" si="100"/>
        <v>2</v>
      </c>
      <c r="EO29" s="9">
        <f t="shared" si="100"/>
        <v>4</v>
      </c>
      <c r="EP29" s="9">
        <f t="shared" si="100"/>
        <v>4</v>
      </c>
      <c r="EQ29" s="9">
        <f t="shared" si="100"/>
        <v>3</v>
      </c>
      <c r="ER29" s="9">
        <f t="shared" si="100"/>
        <v>1</v>
      </c>
      <c r="ES29" s="9">
        <f t="shared" si="100"/>
        <v>0</v>
      </c>
      <c r="ET29" s="9">
        <f t="shared" si="100"/>
        <v>0</v>
      </c>
      <c r="EU29" s="9">
        <f t="shared" si="93"/>
        <v>58</v>
      </c>
      <c r="EV29" s="9">
        <f t="shared" si="86"/>
        <v>1.7999999999999998</v>
      </c>
      <c r="EW29" s="9">
        <f t="shared" si="87"/>
        <v>0.4</v>
      </c>
      <c r="EX29" s="9">
        <f t="shared" si="84"/>
        <v>14</v>
      </c>
      <c r="EY29" s="9">
        <f t="shared" si="88"/>
        <v>12</v>
      </c>
      <c r="EZ29" s="13">
        <f t="shared" si="89"/>
        <v>0.2413793103448276</v>
      </c>
      <c r="FA29" s="13">
        <f t="shared" si="90"/>
        <v>0.20689655172413793</v>
      </c>
      <c r="FB29" s="9">
        <f t="shared" si="94"/>
        <v>15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5</v>
      </c>
      <c r="EA30" s="10">
        <f t="shared" si="101"/>
        <v>6</v>
      </c>
      <c r="EB30" s="10">
        <f t="shared" si="101"/>
        <v>3</v>
      </c>
      <c r="EC30" s="10">
        <f t="shared" si="101"/>
        <v>1</v>
      </c>
      <c r="ED30" s="10">
        <f t="shared" si="101"/>
        <v>2</v>
      </c>
      <c r="EE30" s="10">
        <f t="shared" si="101"/>
        <v>3</v>
      </c>
      <c r="EF30" s="10">
        <f t="shared" si="101"/>
        <v>6</v>
      </c>
      <c r="EG30" s="10">
        <f t="shared" si="101"/>
        <v>3</v>
      </c>
      <c r="EH30" s="10">
        <f t="shared" si="101"/>
        <v>3</v>
      </c>
      <c r="EI30" s="10">
        <f t="shared" si="101"/>
        <v>5</v>
      </c>
      <c r="EJ30" s="10">
        <f t="shared" si="101"/>
        <v>2</v>
      </c>
      <c r="EK30" s="10">
        <f t="shared" si="101"/>
        <v>3</v>
      </c>
      <c r="EL30" s="10">
        <f t="shared" si="101"/>
        <v>2</v>
      </c>
      <c r="EM30" s="10">
        <f t="shared" si="101"/>
        <v>1</v>
      </c>
      <c r="EN30" s="10">
        <f t="shared" si="101"/>
        <v>4</v>
      </c>
      <c r="EO30" s="10">
        <f t="shared" si="101"/>
        <v>2</v>
      </c>
      <c r="EP30" s="10">
        <f t="shared" si="101"/>
        <v>6</v>
      </c>
      <c r="EQ30" s="10">
        <f t="shared" si="101"/>
        <v>1</v>
      </c>
      <c r="ER30" s="10">
        <f t="shared" si="101"/>
        <v>1</v>
      </c>
      <c r="ES30" s="10">
        <f t="shared" si="101"/>
        <v>0</v>
      </c>
      <c r="ET30" s="10">
        <f t="shared" si="101"/>
        <v>0</v>
      </c>
      <c r="EU30" s="10">
        <f t="shared" si="93"/>
        <v>59</v>
      </c>
      <c r="EV30" s="10">
        <f t="shared" si="86"/>
        <v>5.4</v>
      </c>
      <c r="EW30" s="10">
        <f t="shared" si="87"/>
        <v>1.4</v>
      </c>
      <c r="EX30" s="10">
        <f t="shared" si="84"/>
        <v>15</v>
      </c>
      <c r="EY30" s="10">
        <f t="shared" si="88"/>
        <v>10</v>
      </c>
      <c r="EZ30" s="14">
        <f t="shared" si="89"/>
        <v>0.25423728813559321</v>
      </c>
      <c r="FA30" s="14">
        <f t="shared" si="90"/>
        <v>0.16949152542372881</v>
      </c>
      <c r="FB30" s="10">
        <f t="shared" si="94"/>
        <v>14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v>
      </c>
      <c r="EA31" s="16">
        <f t="shared" ref="EA31:ET31" si="102">EA29+EA30</f>
        <v>8</v>
      </c>
      <c r="EB31" s="16">
        <f t="shared" si="102"/>
        <v>4</v>
      </c>
      <c r="EC31" s="16">
        <f t="shared" si="102"/>
        <v>1</v>
      </c>
      <c r="ED31" s="16">
        <f t="shared" si="102"/>
        <v>3</v>
      </c>
      <c r="EE31" s="16">
        <f t="shared" si="102"/>
        <v>8</v>
      </c>
      <c r="EF31" s="16">
        <f t="shared" si="102"/>
        <v>10</v>
      </c>
      <c r="EG31" s="16">
        <f t="shared" si="102"/>
        <v>8</v>
      </c>
      <c r="EH31" s="16">
        <f t="shared" si="102"/>
        <v>6</v>
      </c>
      <c r="EI31" s="16">
        <f t="shared" si="102"/>
        <v>9</v>
      </c>
      <c r="EJ31" s="16">
        <f t="shared" si="102"/>
        <v>8</v>
      </c>
      <c r="EK31" s="16">
        <f t="shared" si="102"/>
        <v>7</v>
      </c>
      <c r="EL31" s="16">
        <f t="shared" si="102"/>
        <v>9</v>
      </c>
      <c r="EM31" s="16">
        <f t="shared" si="102"/>
        <v>1</v>
      </c>
      <c r="EN31" s="16">
        <f t="shared" si="102"/>
        <v>6</v>
      </c>
      <c r="EO31" s="16">
        <f t="shared" si="102"/>
        <v>6</v>
      </c>
      <c r="EP31" s="16">
        <f t="shared" si="102"/>
        <v>10</v>
      </c>
      <c r="EQ31" s="16">
        <f t="shared" si="102"/>
        <v>4</v>
      </c>
      <c r="ER31" s="16">
        <f t="shared" si="102"/>
        <v>2</v>
      </c>
      <c r="ES31" s="16">
        <f t="shared" si="102"/>
        <v>0</v>
      </c>
      <c r="ET31" s="16">
        <f t="shared" si="102"/>
        <v>0</v>
      </c>
      <c r="EU31" s="11">
        <f t="shared" si="93"/>
        <v>117</v>
      </c>
      <c r="EV31" s="11">
        <f t="shared" si="86"/>
        <v>7.1999999999999993</v>
      </c>
      <c r="EW31" s="11">
        <f t="shared" si="87"/>
        <v>1.8</v>
      </c>
      <c r="EX31" s="11">
        <f t="shared" si="84"/>
        <v>29</v>
      </c>
      <c r="EY31" s="11">
        <f t="shared" si="88"/>
        <v>22</v>
      </c>
      <c r="EZ31" s="15">
        <f t="shared" si="89"/>
        <v>0.24786324786324787</v>
      </c>
      <c r="FA31" s="15">
        <f t="shared" si="90"/>
        <v>0.18803418803418803</v>
      </c>
      <c r="FB31" s="11">
        <f t="shared" si="94"/>
        <v>29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65</v>
      </c>
      <c r="D4" s="17">
        <f>SUM(C41:C61)</f>
        <v>65</v>
      </c>
      <c r="E4" s="17">
        <f>C4+D4</f>
        <v>130</v>
      </c>
      <c r="F4" s="85"/>
      <c r="G4" s="1" t="s">
        <v>58</v>
      </c>
      <c r="H4" s="1">
        <f t="shared" ref="H4:J6" si="0">B4</f>
        <v>2010</v>
      </c>
      <c r="I4" s="17">
        <f t="shared" si="0"/>
        <v>65</v>
      </c>
      <c r="J4" s="17">
        <f t="shared" si="0"/>
        <v>65</v>
      </c>
      <c r="K4" s="17">
        <f>I4+J4</f>
        <v>130</v>
      </c>
      <c r="N4" s="1" t="s">
        <v>58</v>
      </c>
      <c r="O4" s="1">
        <f>H4</f>
        <v>2010</v>
      </c>
      <c r="P4" s="17">
        <f>I4</f>
        <v>65</v>
      </c>
      <c r="Q4" s="17">
        <f>J4</f>
        <v>65</v>
      </c>
      <c r="R4" s="17">
        <f>K4</f>
        <v>130</v>
      </c>
      <c r="S4" s="1"/>
      <c r="T4" s="1"/>
      <c r="U4" s="1"/>
    </row>
    <row r="5" spans="1:21" x14ac:dyDescent="0.15">
      <c r="A5" s="1" t="s">
        <v>61</v>
      </c>
      <c r="B5" s="1">
        <f>管理者入力シート!B6</f>
        <v>2015</v>
      </c>
      <c r="C5" s="17">
        <f>SUM(B65:B85)</f>
        <v>65</v>
      </c>
      <c r="D5" s="17">
        <f>SUM(C65:C85)</f>
        <v>59</v>
      </c>
      <c r="E5" s="17">
        <f>C5+D5</f>
        <v>124</v>
      </c>
      <c r="F5" s="85"/>
      <c r="G5" s="1" t="s">
        <v>57</v>
      </c>
      <c r="H5" s="1">
        <f t="shared" si="0"/>
        <v>2015</v>
      </c>
      <c r="I5" s="17">
        <f t="shared" si="0"/>
        <v>65</v>
      </c>
      <c r="J5" s="17">
        <f t="shared" si="0"/>
        <v>59</v>
      </c>
      <c r="K5" s="17">
        <f t="shared" ref="K5:K10" si="1">I5+J5</f>
        <v>124</v>
      </c>
      <c r="N5" s="1" t="s">
        <v>57</v>
      </c>
      <c r="O5" s="1">
        <f t="shared" ref="O5:O10" si="2">H5</f>
        <v>2015</v>
      </c>
      <c r="P5" s="17">
        <f t="shared" ref="P5:P10" si="3">I5</f>
        <v>65</v>
      </c>
      <c r="Q5" s="17">
        <f t="shared" ref="Q5:Q10" si="4">J5</f>
        <v>59</v>
      </c>
      <c r="R5" s="17">
        <f t="shared" ref="R5:R10" si="5">K5</f>
        <v>124</v>
      </c>
      <c r="S5" s="1"/>
      <c r="T5" s="1"/>
      <c r="U5" s="1"/>
    </row>
    <row r="6" spans="1:21" x14ac:dyDescent="0.15">
      <c r="A6" s="1" t="s">
        <v>62</v>
      </c>
      <c r="B6" s="1">
        <f>管理者入力シート!B5</f>
        <v>2020</v>
      </c>
      <c r="C6" s="17">
        <f>SUM(B89:B109)</f>
        <v>55</v>
      </c>
      <c r="D6" s="17">
        <f>SUM(C89:C109)</f>
        <v>50</v>
      </c>
      <c r="E6" s="17">
        <f>C6+D6</f>
        <v>105</v>
      </c>
      <c r="F6" s="85"/>
      <c r="G6" s="1" t="s">
        <v>62</v>
      </c>
      <c r="H6" s="1">
        <f t="shared" si="0"/>
        <v>2020</v>
      </c>
      <c r="I6" s="17">
        <f t="shared" si="0"/>
        <v>55</v>
      </c>
      <c r="J6" s="17">
        <f t="shared" si="0"/>
        <v>50</v>
      </c>
      <c r="K6" s="17">
        <f t="shared" si="1"/>
        <v>105</v>
      </c>
      <c r="N6" s="1" t="s">
        <v>62</v>
      </c>
      <c r="O6" s="1">
        <f t="shared" si="2"/>
        <v>2020</v>
      </c>
      <c r="P6" s="17">
        <f t="shared" si="3"/>
        <v>55</v>
      </c>
      <c r="Q6" s="17">
        <f t="shared" si="4"/>
        <v>50</v>
      </c>
      <c r="R6" s="17">
        <f t="shared" si="5"/>
        <v>105</v>
      </c>
      <c r="S6" s="1"/>
      <c r="T6" s="1"/>
      <c r="U6" s="1"/>
    </row>
    <row r="7" spans="1:21" x14ac:dyDescent="0.15">
      <c r="G7" s="1" t="s">
        <v>106</v>
      </c>
      <c r="H7" s="1">
        <f>管理者入力シート!B8</f>
        <v>2025</v>
      </c>
      <c r="I7" s="17">
        <f>SUM(H69:H89)</f>
        <v>50</v>
      </c>
      <c r="J7" s="17">
        <f>SUM(I69:I89)</f>
        <v>43</v>
      </c>
      <c r="K7" s="17">
        <f t="shared" si="1"/>
        <v>93</v>
      </c>
      <c r="N7" s="1" t="s">
        <v>106</v>
      </c>
      <c r="O7" s="1">
        <f t="shared" si="2"/>
        <v>2025</v>
      </c>
      <c r="P7" s="17">
        <f t="shared" si="3"/>
        <v>50</v>
      </c>
      <c r="Q7" s="17">
        <f t="shared" si="4"/>
        <v>43</v>
      </c>
      <c r="R7" s="17">
        <f t="shared" si="5"/>
        <v>93</v>
      </c>
      <c r="S7" s="235">
        <f>SUM(O69:O89)</f>
        <v>54</v>
      </c>
      <c r="T7" s="235">
        <f>SUM(P69:P89)</f>
        <v>48</v>
      </c>
      <c r="U7" s="235">
        <f>S7+T7</f>
        <v>102</v>
      </c>
    </row>
    <row r="8" spans="1:21" x14ac:dyDescent="0.15">
      <c r="A8" s="69" t="s">
        <v>71</v>
      </c>
      <c r="G8" s="1" t="s">
        <v>107</v>
      </c>
      <c r="H8" s="1">
        <f>管理者入力シート!B9</f>
        <v>2030</v>
      </c>
      <c r="I8" s="17">
        <f>SUM(H93:H113)</f>
        <v>46</v>
      </c>
      <c r="J8" s="17">
        <f>SUM(I93:I113)</f>
        <v>40</v>
      </c>
      <c r="K8" s="17">
        <f t="shared" si="1"/>
        <v>86</v>
      </c>
      <c r="N8" s="1" t="s">
        <v>107</v>
      </c>
      <c r="O8" s="1">
        <f t="shared" si="2"/>
        <v>2030</v>
      </c>
      <c r="P8" s="17">
        <f t="shared" si="3"/>
        <v>46</v>
      </c>
      <c r="Q8" s="17">
        <f t="shared" si="4"/>
        <v>40</v>
      </c>
      <c r="R8" s="17">
        <f t="shared" si="5"/>
        <v>86</v>
      </c>
      <c r="S8" s="235">
        <f>SUM(O93:O113)</f>
        <v>55</v>
      </c>
      <c r="T8" s="235">
        <f>SUM(P93:P113)</f>
        <v>52</v>
      </c>
      <c r="U8" s="235">
        <f>S8+T8</f>
        <v>107</v>
      </c>
    </row>
    <row r="9" spans="1:21" x14ac:dyDescent="0.15">
      <c r="A9" s="2" t="s">
        <v>72</v>
      </c>
      <c r="G9" s="1" t="s">
        <v>108</v>
      </c>
      <c r="H9" s="1">
        <f>管理者入力シート!B10</f>
        <v>2035</v>
      </c>
      <c r="I9" s="17">
        <f>SUM(H117:H137)</f>
        <v>45</v>
      </c>
      <c r="J9" s="17">
        <f>SUM(I117:I137)</f>
        <v>39</v>
      </c>
      <c r="K9" s="17">
        <f t="shared" si="1"/>
        <v>84</v>
      </c>
      <c r="N9" s="1" t="s">
        <v>108</v>
      </c>
      <c r="O9" s="1">
        <f t="shared" si="2"/>
        <v>2035</v>
      </c>
      <c r="P9" s="17">
        <f t="shared" si="3"/>
        <v>45</v>
      </c>
      <c r="Q9" s="17">
        <f t="shared" si="4"/>
        <v>39</v>
      </c>
      <c r="R9" s="17">
        <f t="shared" si="5"/>
        <v>84</v>
      </c>
      <c r="S9" s="235">
        <f>SUM(O117:O137)</f>
        <v>59</v>
      </c>
      <c r="T9" s="235">
        <f>SUM(P117:P137)</f>
        <v>60</v>
      </c>
      <c r="U9" s="235">
        <f>S9+T9</f>
        <v>119</v>
      </c>
    </row>
    <row r="10" spans="1:21" x14ac:dyDescent="0.15">
      <c r="A10" s="1" t="s">
        <v>58</v>
      </c>
      <c r="B10" s="1">
        <f>B4</f>
        <v>2010</v>
      </c>
      <c r="C10" s="17">
        <f>ROUND(VLOOKUP(B10&amp;"_3",管理者用人口入力シート!A:AA,26,FALSE),0)</f>
        <v>2</v>
      </c>
      <c r="D10" s="12"/>
      <c r="E10" s="12"/>
      <c r="G10" s="1" t="s">
        <v>109</v>
      </c>
      <c r="H10" s="1">
        <f>管理者入力シート!B11</f>
        <v>2040</v>
      </c>
      <c r="I10" s="17">
        <f>SUM(H141:H161)</f>
        <v>42</v>
      </c>
      <c r="J10" s="17">
        <f>SUM(I141:I161)</f>
        <v>40</v>
      </c>
      <c r="K10" s="17">
        <f t="shared" si="1"/>
        <v>82</v>
      </c>
      <c r="N10" s="1" t="s">
        <v>109</v>
      </c>
      <c r="O10" s="1">
        <f t="shared" si="2"/>
        <v>2040</v>
      </c>
      <c r="P10" s="17">
        <f t="shared" si="3"/>
        <v>42</v>
      </c>
      <c r="Q10" s="17">
        <f t="shared" si="4"/>
        <v>40</v>
      </c>
      <c r="R10" s="17">
        <f t="shared" si="5"/>
        <v>82</v>
      </c>
      <c r="S10" s="235">
        <f>SUM(O141:O161)</f>
        <v>63</v>
      </c>
      <c r="T10" s="235">
        <f>SUM(P141:P161)</f>
        <v>71</v>
      </c>
      <c r="U10" s="235">
        <f>S10+T10</f>
        <v>134</v>
      </c>
    </row>
    <row r="11" spans="1:21" x14ac:dyDescent="0.15">
      <c r="A11" s="1" t="s">
        <v>61</v>
      </c>
      <c r="B11" s="1">
        <f>B5</f>
        <v>2015</v>
      </c>
      <c r="C11" s="17">
        <f>ROUND(VLOOKUP(B11&amp;"_3",管理者用人口入力シート!A:AA,26,FALSE),0)</f>
        <v>7</v>
      </c>
      <c r="D11" s="12"/>
      <c r="E11" s="12"/>
      <c r="I11" s="12"/>
      <c r="J11" s="12"/>
      <c r="K11" s="12"/>
      <c r="P11" s="12"/>
    </row>
    <row r="12" spans="1:21" x14ac:dyDescent="0.15">
      <c r="A12" s="1" t="s">
        <v>62</v>
      </c>
      <c r="B12" s="1">
        <f>B6</f>
        <v>2020</v>
      </c>
      <c r="C12" s="17">
        <f>ROUND(VLOOKUP(B12&amp;"_3",管理者用人口入力シート!A:AA,26,FALSE),0)</f>
        <v>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v>
      </c>
      <c r="D14" s="12"/>
      <c r="E14" s="12"/>
      <c r="G14" s="1" t="s">
        <v>58</v>
      </c>
      <c r="H14" s="1">
        <f>H4</f>
        <v>2010</v>
      </c>
      <c r="I14" s="17">
        <f>C10</f>
        <v>2</v>
      </c>
      <c r="J14" s="12"/>
      <c r="K14" s="12"/>
      <c r="N14" s="1" t="s">
        <v>58</v>
      </c>
      <c r="O14" s="1">
        <f>O4</f>
        <v>2010</v>
      </c>
      <c r="P14" s="17">
        <f>I14</f>
        <v>2</v>
      </c>
      <c r="Q14" s="17"/>
    </row>
    <row r="15" spans="1:21" x14ac:dyDescent="0.15">
      <c r="A15" s="1" t="s">
        <v>61</v>
      </c>
      <c r="B15" s="1">
        <f>B5</f>
        <v>2015</v>
      </c>
      <c r="C15" s="17">
        <f>ROUND(VLOOKUP(B15&amp;"_3",管理者用人口入力シート!A:AA,27,FALSE),0)</f>
        <v>1</v>
      </c>
      <c r="D15" s="12"/>
      <c r="E15" s="12"/>
      <c r="G15" s="1" t="s">
        <v>57</v>
      </c>
      <c r="H15" s="1">
        <f t="shared" ref="H15:H20" si="6">H5</f>
        <v>2015</v>
      </c>
      <c r="I15" s="17">
        <f>C11</f>
        <v>7</v>
      </c>
      <c r="J15" s="12"/>
      <c r="K15" s="12"/>
      <c r="N15" s="1" t="s">
        <v>57</v>
      </c>
      <c r="O15" s="1">
        <f t="shared" ref="O15:O20" si="7">O5</f>
        <v>2015</v>
      </c>
      <c r="P15" s="17">
        <f t="shared" ref="P15:P20" si="8">I15</f>
        <v>7</v>
      </c>
      <c r="Q15" s="17"/>
    </row>
    <row r="16" spans="1:21" x14ac:dyDescent="0.15">
      <c r="A16" s="1" t="s">
        <v>62</v>
      </c>
      <c r="B16" s="1">
        <f>B6</f>
        <v>2020</v>
      </c>
      <c r="C16" s="17">
        <f>ROUND(VLOOKUP(B16&amp;"_3",管理者用人口入力シート!A:AA,27,FALSE),0)</f>
        <v>2</v>
      </c>
      <c r="D16" s="12"/>
      <c r="E16" s="12"/>
      <c r="G16" s="1" t="s">
        <v>62</v>
      </c>
      <c r="H16" s="1">
        <f t="shared" si="6"/>
        <v>2020</v>
      </c>
      <c r="I16" s="17">
        <f>C12</f>
        <v>7</v>
      </c>
      <c r="J16" s="12"/>
      <c r="K16" s="12"/>
      <c r="N16" s="1" t="s">
        <v>62</v>
      </c>
      <c r="O16" s="1">
        <f t="shared" si="7"/>
        <v>2020</v>
      </c>
      <c r="P16" s="17">
        <f t="shared" si="8"/>
        <v>7</v>
      </c>
      <c r="Q16" s="17"/>
    </row>
    <row r="17" spans="1:17" x14ac:dyDescent="0.15">
      <c r="G17" s="1" t="s">
        <v>106</v>
      </c>
      <c r="H17" s="1">
        <f t="shared" si="6"/>
        <v>2025</v>
      </c>
      <c r="I17" s="17">
        <f>ROUND(VLOOKUP(H17&amp;"_3",管理者用人口入力シート!BH:CM,26,FALSE),0)</f>
        <v>5</v>
      </c>
      <c r="J17" s="12"/>
      <c r="K17" s="12"/>
      <c r="N17" s="1" t="s">
        <v>106</v>
      </c>
      <c r="O17" s="1">
        <f t="shared" si="7"/>
        <v>2025</v>
      </c>
      <c r="P17" s="17">
        <f t="shared" si="8"/>
        <v>5</v>
      </c>
      <c r="Q17" s="17">
        <f>ROUND(VLOOKUP(H17&amp;"_3",管理者用人口入力シート!CO:DT,26,FALSE),0)</f>
        <v>6</v>
      </c>
    </row>
    <row r="18" spans="1:17" x14ac:dyDescent="0.15">
      <c r="A18" s="69" t="s">
        <v>110</v>
      </c>
      <c r="G18" s="1" t="s">
        <v>107</v>
      </c>
      <c r="H18" s="1">
        <f t="shared" si="6"/>
        <v>2030</v>
      </c>
      <c r="I18" s="17">
        <f>ROUND(VLOOKUP(H18&amp;"_3",管理者用人口入力シート!BH:CM,26,FALSE),0)</f>
        <v>3</v>
      </c>
      <c r="J18" s="12"/>
      <c r="K18" s="12"/>
      <c r="N18" s="1" t="s">
        <v>107</v>
      </c>
      <c r="O18" s="1">
        <f t="shared" si="7"/>
        <v>2030</v>
      </c>
      <c r="P18" s="17">
        <f t="shared" si="8"/>
        <v>3</v>
      </c>
      <c r="Q18" s="17">
        <f>ROUND(VLOOKUP(H18&amp;"_3",管理者用人口入力シート!CO:DT,26,FALSE),0)</f>
        <v>6</v>
      </c>
    </row>
    <row r="19" spans="1:17" x14ac:dyDescent="0.15">
      <c r="A19" s="2" t="s">
        <v>84</v>
      </c>
      <c r="G19" s="1" t="s">
        <v>108</v>
      </c>
      <c r="H19" s="1">
        <f t="shared" si="6"/>
        <v>2035</v>
      </c>
      <c r="I19" s="17">
        <f>ROUND(VLOOKUP(H19&amp;"_3",管理者用人口入力シート!BH:CM,26,FALSE),0)</f>
        <v>3</v>
      </c>
      <c r="J19" s="12"/>
      <c r="K19" s="12"/>
      <c r="N19" s="1" t="s">
        <v>108</v>
      </c>
      <c r="O19" s="1">
        <f t="shared" si="7"/>
        <v>2035</v>
      </c>
      <c r="P19" s="17">
        <f t="shared" si="8"/>
        <v>3</v>
      </c>
      <c r="Q19" s="17">
        <f>ROUND(VLOOKUP(H19&amp;"_3",管理者用人口入力シート!CO:DT,26,FALSE),0)</f>
        <v>9</v>
      </c>
    </row>
    <row r="20" spans="1:17" x14ac:dyDescent="0.15">
      <c r="A20" s="1" t="s">
        <v>58</v>
      </c>
      <c r="B20" s="1">
        <f>B4</f>
        <v>2010</v>
      </c>
      <c r="C20" s="17">
        <f>SUM(B54:C61)</f>
        <v>58</v>
      </c>
      <c r="D20" s="12"/>
      <c r="E20" s="12"/>
      <c r="G20" s="1" t="s">
        <v>109</v>
      </c>
      <c r="H20" s="1">
        <f t="shared" si="6"/>
        <v>2040</v>
      </c>
      <c r="I20" s="17">
        <f>ROUND(VLOOKUP(H20&amp;"_3",管理者用人口入力シート!BH:CM,26,FALSE),0)</f>
        <v>4</v>
      </c>
      <c r="J20" s="12"/>
      <c r="K20" s="12"/>
      <c r="N20" s="1" t="s">
        <v>109</v>
      </c>
      <c r="O20" s="1">
        <f t="shared" si="7"/>
        <v>2040</v>
      </c>
      <c r="P20" s="17">
        <f t="shared" si="8"/>
        <v>4</v>
      </c>
      <c r="Q20" s="17">
        <f>ROUND(VLOOKUP(H20&amp;"_3",管理者用人口入力シート!CO:DT,26,FALSE),0)</f>
        <v>12</v>
      </c>
    </row>
    <row r="21" spans="1:17" x14ac:dyDescent="0.15">
      <c r="A21" s="1" t="s">
        <v>61</v>
      </c>
      <c r="B21" s="1">
        <f>B5</f>
        <v>2015</v>
      </c>
      <c r="C21" s="17">
        <f>SUM(B78:C85)</f>
        <v>48</v>
      </c>
      <c r="D21" s="12"/>
      <c r="E21" s="12"/>
      <c r="G21" s="65" t="s">
        <v>73</v>
      </c>
      <c r="H21" s="65"/>
      <c r="I21" s="66"/>
      <c r="J21" s="12"/>
      <c r="K21" s="12"/>
      <c r="N21" s="65" t="s">
        <v>73</v>
      </c>
      <c r="O21" s="65"/>
      <c r="P21" s="2" t="s">
        <v>120</v>
      </c>
      <c r="Q21" s="2" t="s">
        <v>119</v>
      </c>
    </row>
    <row r="22" spans="1:17" x14ac:dyDescent="0.15">
      <c r="A22" s="1" t="s">
        <v>62</v>
      </c>
      <c r="B22" s="1">
        <f>B6</f>
        <v>2020</v>
      </c>
      <c r="C22" s="17">
        <f>SUM(B102:C109)</f>
        <v>40</v>
      </c>
      <c r="D22" s="12"/>
      <c r="E22" s="12"/>
      <c r="G22" s="1" t="s">
        <v>58</v>
      </c>
      <c r="H22" s="1">
        <f>H4</f>
        <v>2010</v>
      </c>
      <c r="I22" s="17">
        <f>C14</f>
        <v>1</v>
      </c>
      <c r="J22" s="12"/>
      <c r="K22" s="12"/>
      <c r="N22" s="1" t="s">
        <v>58</v>
      </c>
      <c r="O22" s="1">
        <f>O4</f>
        <v>2010</v>
      </c>
      <c r="P22" s="17">
        <f>I22</f>
        <v>1</v>
      </c>
      <c r="Q22" s="17"/>
    </row>
    <row r="23" spans="1:17" x14ac:dyDescent="0.15">
      <c r="A23" s="2" t="s">
        <v>86</v>
      </c>
      <c r="G23" s="1" t="s">
        <v>57</v>
      </c>
      <c r="H23" s="1">
        <f t="shared" ref="H23:H28" si="9">H5</f>
        <v>2015</v>
      </c>
      <c r="I23" s="17">
        <f>C15</f>
        <v>1</v>
      </c>
      <c r="J23" s="12"/>
      <c r="K23" s="12"/>
      <c r="N23" s="1" t="s">
        <v>57</v>
      </c>
      <c r="O23" s="1">
        <f t="shared" ref="O23:O28" si="10">O5</f>
        <v>2015</v>
      </c>
      <c r="P23" s="17">
        <f t="shared" ref="P23:P28" si="11">I23</f>
        <v>1</v>
      </c>
      <c r="Q23" s="17"/>
    </row>
    <row r="24" spans="1:17" x14ac:dyDescent="0.15">
      <c r="A24" s="1" t="s">
        <v>58</v>
      </c>
      <c r="B24" s="1">
        <f>B4</f>
        <v>2010</v>
      </c>
      <c r="C24" s="17">
        <f>SUM(B56:C61)</f>
        <v>40</v>
      </c>
      <c r="D24" s="12"/>
      <c r="E24" s="12"/>
      <c r="G24" s="1" t="s">
        <v>62</v>
      </c>
      <c r="H24" s="1">
        <f t="shared" si="9"/>
        <v>2020</v>
      </c>
      <c r="I24" s="17">
        <f>C16</f>
        <v>2</v>
      </c>
      <c r="J24" s="12"/>
      <c r="K24" s="12"/>
      <c r="N24" s="1" t="s">
        <v>62</v>
      </c>
      <c r="O24" s="1">
        <f t="shared" si="10"/>
        <v>2020</v>
      </c>
      <c r="P24" s="17">
        <f t="shared" si="11"/>
        <v>2</v>
      </c>
      <c r="Q24" s="17"/>
    </row>
    <row r="25" spans="1:17" x14ac:dyDescent="0.15">
      <c r="A25" s="1" t="s">
        <v>61</v>
      </c>
      <c r="B25" s="1">
        <f>B5</f>
        <v>2015</v>
      </c>
      <c r="C25" s="17">
        <f>SUM(B80:C85)</f>
        <v>39</v>
      </c>
      <c r="D25" s="12"/>
      <c r="E25" s="12"/>
      <c r="G25" s="1" t="s">
        <v>106</v>
      </c>
      <c r="H25" s="1">
        <f t="shared" si="9"/>
        <v>2025</v>
      </c>
      <c r="I25" s="17">
        <f>ROUND(VLOOKUP(H25&amp;"_3",管理者用人口入力シート!BH:CM,27,FALSE),0)</f>
        <v>3</v>
      </c>
      <c r="J25" s="12"/>
      <c r="K25" s="12"/>
      <c r="N25" s="1" t="s">
        <v>106</v>
      </c>
      <c r="O25" s="1">
        <f t="shared" si="10"/>
        <v>2025</v>
      </c>
      <c r="P25" s="17">
        <f t="shared" si="11"/>
        <v>3</v>
      </c>
      <c r="Q25" s="17">
        <f>ROUND(VLOOKUP(H17&amp;"_3",管理者用人口入力シート!CO:DT,27,FALSE),0)</f>
        <v>4</v>
      </c>
    </row>
    <row r="26" spans="1:17" x14ac:dyDescent="0.15">
      <c r="A26" s="1" t="s">
        <v>62</v>
      </c>
      <c r="B26" s="1">
        <f>B6</f>
        <v>2020</v>
      </c>
      <c r="C26" s="17">
        <f>SUM(B104:C109)</f>
        <v>27</v>
      </c>
      <c r="D26" s="12"/>
      <c r="E26" s="12"/>
      <c r="G26" s="1" t="s">
        <v>107</v>
      </c>
      <c r="H26" s="1">
        <f t="shared" si="9"/>
        <v>2030</v>
      </c>
      <c r="I26" s="17">
        <f>ROUND(VLOOKUP(H26&amp;"_3",管理者用人口入力シート!BH:CM,27,FALSE),0)</f>
        <v>2</v>
      </c>
      <c r="J26" s="12"/>
      <c r="K26" s="12"/>
      <c r="N26" s="1" t="s">
        <v>107</v>
      </c>
      <c r="O26" s="1">
        <f t="shared" si="10"/>
        <v>2030</v>
      </c>
      <c r="P26" s="17">
        <f t="shared" si="11"/>
        <v>2</v>
      </c>
      <c r="Q26" s="17">
        <f>ROUND(VLOOKUP(H18&amp;"_3",管理者用人口入力シート!CO:DT,27,FALSE),0)</f>
        <v>3</v>
      </c>
    </row>
    <row r="27" spans="1:17" x14ac:dyDescent="0.15">
      <c r="G27" s="1" t="s">
        <v>108</v>
      </c>
      <c r="H27" s="1">
        <f t="shared" si="9"/>
        <v>2035</v>
      </c>
      <c r="I27" s="17">
        <f>ROUND(VLOOKUP(H27&amp;"_3",管理者用人口入力シート!BH:CM,27,FALSE),0)</f>
        <v>1</v>
      </c>
      <c r="J27" s="12"/>
      <c r="K27" s="12"/>
      <c r="N27" s="1" t="s">
        <v>108</v>
      </c>
      <c r="O27" s="1">
        <f t="shared" si="10"/>
        <v>2035</v>
      </c>
      <c r="P27" s="17">
        <f t="shared" si="11"/>
        <v>1</v>
      </c>
      <c r="Q27" s="17">
        <f>ROUND(VLOOKUP(H19&amp;"_3",管理者用人口入力シート!CO:DT,27,FALSE),0)</f>
        <v>3</v>
      </c>
    </row>
    <row r="28" spans="1:17" x14ac:dyDescent="0.15">
      <c r="A28" s="69" t="s">
        <v>85</v>
      </c>
      <c r="G28" s="1" t="s">
        <v>109</v>
      </c>
      <c r="H28" s="1">
        <f t="shared" si="9"/>
        <v>2040</v>
      </c>
      <c r="I28" s="17">
        <f>ROUND(VLOOKUP(H28&amp;"_3",管理者用人口入力シート!BH:CM,27,FALSE),0)</f>
        <v>1</v>
      </c>
      <c r="J28" s="12"/>
      <c r="K28" s="12"/>
      <c r="N28" s="1" t="s">
        <v>109</v>
      </c>
      <c r="O28" s="1">
        <f t="shared" si="10"/>
        <v>2040</v>
      </c>
      <c r="P28" s="17">
        <f t="shared" si="11"/>
        <v>1</v>
      </c>
      <c r="Q28" s="17">
        <f>ROUND(VLOOKUP(H20&amp;"_3",管理者用人口入力シート!CO:DT,27,FALSE),0)</f>
        <v>4</v>
      </c>
    </row>
    <row r="29" spans="1:17" x14ac:dyDescent="0.15">
      <c r="A29" s="2" t="s">
        <v>84</v>
      </c>
    </row>
    <row r="30" spans="1:17" x14ac:dyDescent="0.15">
      <c r="A30" s="1" t="s">
        <v>58</v>
      </c>
      <c r="B30" s="1">
        <f>B4</f>
        <v>2010</v>
      </c>
      <c r="C30" s="38">
        <f>ROUND((SUM(B54:C61)/SUM(B41:C61)),2)</f>
        <v>0.45</v>
      </c>
      <c r="D30" s="204"/>
      <c r="E30" s="204"/>
      <c r="G30" s="69" t="s">
        <v>110</v>
      </c>
      <c r="N30" s="69" t="s">
        <v>110</v>
      </c>
    </row>
    <row r="31" spans="1:17" x14ac:dyDescent="0.15">
      <c r="A31" s="1" t="s">
        <v>61</v>
      </c>
      <c r="B31" s="1">
        <f>B5</f>
        <v>2015</v>
      </c>
      <c r="C31" s="38">
        <f>ROUND((SUM(B78:C85)/SUM(B65:C85)),2)</f>
        <v>0.39</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0.38</v>
      </c>
      <c r="D32" s="204"/>
      <c r="E32" s="204"/>
      <c r="G32" s="1" t="s">
        <v>58</v>
      </c>
      <c r="H32" s="1">
        <f>H4</f>
        <v>2010</v>
      </c>
      <c r="I32" s="17">
        <f>C20</f>
        <v>58</v>
      </c>
      <c r="J32" s="12"/>
      <c r="K32" s="12"/>
      <c r="N32" s="1" t="s">
        <v>58</v>
      </c>
      <c r="O32" s="1">
        <f>O4</f>
        <v>2010</v>
      </c>
      <c r="P32" s="17">
        <f>I32</f>
        <v>58</v>
      </c>
      <c r="Q32" s="17"/>
    </row>
    <row r="33" spans="1:17" x14ac:dyDescent="0.15">
      <c r="A33" s="2" t="s">
        <v>86</v>
      </c>
      <c r="G33" s="1" t="s">
        <v>57</v>
      </c>
      <c r="H33" s="1">
        <f t="shared" ref="H33:H38" si="12">H5</f>
        <v>2015</v>
      </c>
      <c r="I33" s="17">
        <f>C21</f>
        <v>48</v>
      </c>
      <c r="J33" s="12"/>
      <c r="K33" s="12"/>
      <c r="N33" s="1" t="s">
        <v>57</v>
      </c>
      <c r="O33" s="1">
        <f t="shared" ref="O33:O38" si="13">O5</f>
        <v>2015</v>
      </c>
      <c r="P33" s="17">
        <f t="shared" ref="P33:P38" si="14">I33</f>
        <v>48</v>
      </c>
      <c r="Q33" s="17"/>
    </row>
    <row r="34" spans="1:17" x14ac:dyDescent="0.15">
      <c r="A34" s="1" t="s">
        <v>58</v>
      </c>
      <c r="B34" s="1">
        <f>B4</f>
        <v>2010</v>
      </c>
      <c r="C34" s="38">
        <f>ROUND((SUM(B56:C61)/SUM(B41:C61)),2)</f>
        <v>0.31</v>
      </c>
      <c r="D34" s="204"/>
      <c r="E34" s="204"/>
      <c r="G34" s="1" t="s">
        <v>62</v>
      </c>
      <c r="H34" s="1">
        <f t="shared" si="12"/>
        <v>2020</v>
      </c>
      <c r="I34" s="17">
        <f>C22</f>
        <v>40</v>
      </c>
      <c r="J34" s="12"/>
      <c r="K34" s="12"/>
      <c r="N34" s="1" t="s">
        <v>62</v>
      </c>
      <c r="O34" s="1">
        <f t="shared" si="13"/>
        <v>2020</v>
      </c>
      <c r="P34" s="17">
        <f t="shared" si="14"/>
        <v>40</v>
      </c>
      <c r="Q34" s="17"/>
    </row>
    <row r="35" spans="1:17" x14ac:dyDescent="0.15">
      <c r="A35" s="1" t="s">
        <v>61</v>
      </c>
      <c r="B35" s="1">
        <f>B5</f>
        <v>2015</v>
      </c>
      <c r="C35" s="38">
        <f>ROUND((SUM(B80:C85)/SUM(B65:C85)),2)</f>
        <v>0.31</v>
      </c>
      <c r="D35" s="204"/>
      <c r="E35" s="204"/>
      <c r="G35" s="1" t="s">
        <v>106</v>
      </c>
      <c r="H35" s="1">
        <f t="shared" si="12"/>
        <v>2025</v>
      </c>
      <c r="I35" s="17">
        <f>SUM(H82:I89)</f>
        <v>39</v>
      </c>
      <c r="J35" s="12"/>
      <c r="K35" s="12"/>
      <c r="N35" s="1" t="s">
        <v>106</v>
      </c>
      <c r="O35" s="1">
        <f t="shared" si="13"/>
        <v>2025</v>
      </c>
      <c r="P35" s="17">
        <f t="shared" si="14"/>
        <v>39</v>
      </c>
      <c r="Q35" s="17">
        <f>SUM(O82:P89)</f>
        <v>39</v>
      </c>
    </row>
    <row r="36" spans="1:17" x14ac:dyDescent="0.15">
      <c r="A36" s="1" t="s">
        <v>62</v>
      </c>
      <c r="B36" s="1">
        <f>B6</f>
        <v>2020</v>
      </c>
      <c r="C36" s="38">
        <f>ROUND((SUM(B104:C109)/SUM(B89:C109)),2)</f>
        <v>0.26</v>
      </c>
      <c r="D36" s="204"/>
      <c r="E36" s="204"/>
      <c r="G36" s="1" t="s">
        <v>107</v>
      </c>
      <c r="H36" s="1">
        <f t="shared" si="12"/>
        <v>2030</v>
      </c>
      <c r="I36" s="17">
        <f>SUM(H106:I113)</f>
        <v>35</v>
      </c>
      <c r="J36" s="12"/>
      <c r="K36" s="12"/>
      <c r="N36" s="1" t="s">
        <v>107</v>
      </c>
      <c r="O36" s="1">
        <f t="shared" si="13"/>
        <v>2030</v>
      </c>
      <c r="P36" s="17">
        <f t="shared" si="14"/>
        <v>35</v>
      </c>
      <c r="Q36" s="17">
        <f>SUM(O106:P113)</f>
        <v>35</v>
      </c>
    </row>
    <row r="37" spans="1:17" x14ac:dyDescent="0.15">
      <c r="G37" s="1" t="s">
        <v>108</v>
      </c>
      <c r="H37" s="1">
        <f t="shared" si="12"/>
        <v>2035</v>
      </c>
      <c r="I37" s="17">
        <f>SUM(H130:I137)</f>
        <v>34</v>
      </c>
      <c r="J37" s="12"/>
      <c r="K37" s="12"/>
      <c r="N37" s="1" t="s">
        <v>108</v>
      </c>
      <c r="O37" s="1">
        <f t="shared" si="13"/>
        <v>2035</v>
      </c>
      <c r="P37" s="17">
        <f t="shared" si="14"/>
        <v>34</v>
      </c>
      <c r="Q37" s="17">
        <f>SUM(O130:P137)</f>
        <v>34</v>
      </c>
    </row>
    <row r="38" spans="1:17" x14ac:dyDescent="0.15">
      <c r="A38" s="69" t="s">
        <v>113</v>
      </c>
      <c r="G38" s="1" t="s">
        <v>109</v>
      </c>
      <c r="H38" s="1">
        <f t="shared" si="12"/>
        <v>2040</v>
      </c>
      <c r="I38" s="17">
        <f>SUM(H154:I161)</f>
        <v>29</v>
      </c>
      <c r="J38" s="12"/>
      <c r="K38" s="12"/>
      <c r="N38" s="1" t="s">
        <v>109</v>
      </c>
      <c r="O38" s="1">
        <f t="shared" si="13"/>
        <v>2040</v>
      </c>
      <c r="P38" s="17">
        <f t="shared" si="14"/>
        <v>29</v>
      </c>
      <c r="Q38" s="17">
        <f>SUM(O154:P161)</f>
        <v>29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40</v>
      </c>
      <c r="J40" s="12"/>
      <c r="K40" s="12"/>
      <c r="N40" s="1" t="s">
        <v>58</v>
      </c>
      <c r="O40" s="1">
        <f>O4</f>
        <v>2010</v>
      </c>
      <c r="P40" s="17">
        <f>I40</f>
        <v>40</v>
      </c>
      <c r="Q40" s="17"/>
    </row>
    <row r="41" spans="1:17" x14ac:dyDescent="0.15">
      <c r="A41" s="2" t="s">
        <v>0</v>
      </c>
      <c r="B41" s="17">
        <f>ROUND(VLOOKUP(B$39&amp;"_1",管理者用人口入力シート!A:X,D41,FALSE),0)</f>
        <v>3</v>
      </c>
      <c r="C41" s="17">
        <f>ROUND(VLOOKUP(B$39&amp;"_2",管理者用人口入力シート!A:X,D41,FALSE),0)</f>
        <v>4</v>
      </c>
      <c r="D41" s="2">
        <v>4</v>
      </c>
      <c r="G41" s="1" t="s">
        <v>57</v>
      </c>
      <c r="H41" s="1">
        <f t="shared" ref="H41:H46" si="15">H5</f>
        <v>2015</v>
      </c>
      <c r="I41" s="17">
        <f>C25</f>
        <v>39</v>
      </c>
      <c r="J41" s="12"/>
      <c r="K41" s="12"/>
      <c r="N41" s="1" t="s">
        <v>57</v>
      </c>
      <c r="O41" s="1">
        <f t="shared" ref="O41:O46" si="16">O5</f>
        <v>2015</v>
      </c>
      <c r="P41" s="17">
        <f t="shared" ref="P41:P46" si="17">I41</f>
        <v>39</v>
      </c>
      <c r="Q41" s="17"/>
    </row>
    <row r="42" spans="1:17" x14ac:dyDescent="0.15">
      <c r="A42" s="2" t="s">
        <v>1</v>
      </c>
      <c r="B42" s="17">
        <f>ROUND(VLOOKUP(B$39&amp;"_1",管理者用人口入力シート!A:X,D42,FALSE),0)</f>
        <v>1</v>
      </c>
      <c r="C42" s="17">
        <f>ROUND(VLOOKUP(B$39&amp;"_2",管理者用人口入力シート!A:X,D42,FALSE),0)</f>
        <v>2</v>
      </c>
      <c r="D42" s="2">
        <v>5</v>
      </c>
      <c r="G42" s="1" t="s">
        <v>62</v>
      </c>
      <c r="H42" s="1">
        <f t="shared" si="15"/>
        <v>2020</v>
      </c>
      <c r="I42" s="17">
        <f>C26</f>
        <v>27</v>
      </c>
      <c r="J42" s="12"/>
      <c r="K42" s="12"/>
      <c r="N42" s="1" t="s">
        <v>62</v>
      </c>
      <c r="O42" s="1">
        <f t="shared" si="16"/>
        <v>2020</v>
      </c>
      <c r="P42" s="17">
        <f t="shared" si="17"/>
        <v>27</v>
      </c>
      <c r="Q42" s="17"/>
    </row>
    <row r="43" spans="1:17" x14ac:dyDescent="0.15">
      <c r="A43" s="2" t="s">
        <v>2</v>
      </c>
      <c r="B43" s="17">
        <f>ROUND(VLOOKUP(B$39&amp;"_1",管理者用人口入力シート!A:X,D43,FALSE),0)</f>
        <v>1</v>
      </c>
      <c r="C43" s="17">
        <f>ROUND(VLOOKUP(B$39&amp;"_2",管理者用人口入力シート!A:X,D43,FALSE),0)</f>
        <v>0</v>
      </c>
      <c r="D43" s="2">
        <v>6</v>
      </c>
      <c r="G43" s="1" t="s">
        <v>106</v>
      </c>
      <c r="H43" s="1">
        <f t="shared" si="15"/>
        <v>2025</v>
      </c>
      <c r="I43" s="17">
        <f>SUM(H84:I89)</f>
        <v>20</v>
      </c>
      <c r="J43" s="12"/>
      <c r="K43" s="12"/>
      <c r="N43" s="1" t="s">
        <v>106</v>
      </c>
      <c r="O43" s="1">
        <f t="shared" si="16"/>
        <v>2025</v>
      </c>
      <c r="P43" s="17">
        <f t="shared" si="17"/>
        <v>20</v>
      </c>
      <c r="Q43" s="17">
        <f>SUM(O84:P89)</f>
        <v>20</v>
      </c>
    </row>
    <row r="44" spans="1:17" x14ac:dyDescent="0.15">
      <c r="A44" s="2" t="s">
        <v>3</v>
      </c>
      <c r="B44" s="17">
        <f>ROUND(VLOOKUP(B$39&amp;"_1",管理者用人口入力シート!A:X,D44,FALSE),0)</f>
        <v>1</v>
      </c>
      <c r="C44" s="17">
        <f>ROUND(VLOOKUP(B$39&amp;"_2",管理者用人口入力シート!A:X,D44,FALSE),0)</f>
        <v>1</v>
      </c>
      <c r="D44" s="2">
        <v>7</v>
      </c>
      <c r="G44" s="1" t="s">
        <v>107</v>
      </c>
      <c r="H44" s="1">
        <f t="shared" si="15"/>
        <v>2030</v>
      </c>
      <c r="I44" s="17">
        <f>SUM(H108:I113)</f>
        <v>15</v>
      </c>
      <c r="J44" s="12"/>
      <c r="K44" s="12"/>
      <c r="N44" s="1" t="s">
        <v>107</v>
      </c>
      <c r="O44" s="1">
        <f t="shared" si="16"/>
        <v>2030</v>
      </c>
      <c r="P44" s="17">
        <f t="shared" si="17"/>
        <v>15</v>
      </c>
      <c r="Q44" s="17">
        <f>SUM(O108:P113)</f>
        <v>15</v>
      </c>
    </row>
    <row r="45" spans="1:17" x14ac:dyDescent="0.15">
      <c r="A45" s="2" t="s">
        <v>4</v>
      </c>
      <c r="B45" s="17">
        <f>ROUND(VLOOKUP(B$39&amp;"_1",管理者用人口入力シート!A:X,D45,FALSE),0)</f>
        <v>1</v>
      </c>
      <c r="C45" s="17">
        <f>ROUND(VLOOKUP(B$39&amp;"_2",管理者用人口入力シート!A:X,D45,FALSE),0)</f>
        <v>1</v>
      </c>
      <c r="D45" s="2">
        <v>8</v>
      </c>
      <c r="G45" s="1" t="s">
        <v>108</v>
      </c>
      <c r="H45" s="1">
        <f t="shared" si="15"/>
        <v>2035</v>
      </c>
      <c r="I45" s="17">
        <f>SUM(H132:I137)</f>
        <v>21</v>
      </c>
      <c r="J45" s="12"/>
      <c r="K45" s="12"/>
      <c r="N45" s="1" t="s">
        <v>108</v>
      </c>
      <c r="O45" s="1">
        <f t="shared" si="16"/>
        <v>2035</v>
      </c>
      <c r="P45" s="17">
        <f t="shared" si="17"/>
        <v>21</v>
      </c>
      <c r="Q45" s="17">
        <f>SUM(O132:P137)</f>
        <v>21</v>
      </c>
    </row>
    <row r="46" spans="1:17" x14ac:dyDescent="0.15">
      <c r="A46" s="2" t="s">
        <v>5</v>
      </c>
      <c r="B46" s="17">
        <f>ROUND(VLOOKUP(B$39&amp;"_1",管理者用人口入力シート!A:X,D46,FALSE),0)</f>
        <v>5</v>
      </c>
      <c r="C46" s="17">
        <f>ROUND(VLOOKUP(B$39&amp;"_2",管理者用人口入力シート!A:X,D46,FALSE),0)</f>
        <v>3</v>
      </c>
      <c r="D46" s="2">
        <v>9</v>
      </c>
      <c r="G46" s="1" t="s">
        <v>109</v>
      </c>
      <c r="H46" s="1">
        <f t="shared" si="15"/>
        <v>2040</v>
      </c>
      <c r="I46" s="17">
        <f>SUM(H156:I161)</f>
        <v>22</v>
      </c>
      <c r="J46" s="12"/>
      <c r="K46" s="12"/>
      <c r="N46" s="1" t="s">
        <v>109</v>
      </c>
      <c r="O46" s="1">
        <f t="shared" si="16"/>
        <v>2040</v>
      </c>
      <c r="P46" s="17">
        <f t="shared" si="17"/>
        <v>22</v>
      </c>
      <c r="Q46" s="17">
        <f>SUM(O156:P161)</f>
        <v>22</v>
      </c>
    </row>
    <row r="47" spans="1:17" x14ac:dyDescent="0.15">
      <c r="A47" s="2" t="s">
        <v>6</v>
      </c>
      <c r="B47" s="17">
        <f>ROUND(VLOOKUP(B$39&amp;"_1",管理者用人口入力シート!A:X,D47,FALSE),0)</f>
        <v>5</v>
      </c>
      <c r="C47" s="17">
        <f>ROUND(VLOOKUP(B$39&amp;"_2",管理者用人口入力シート!A:X,D47,FALSE),0)</f>
        <v>2</v>
      </c>
      <c r="D47" s="2">
        <v>10</v>
      </c>
    </row>
    <row r="48" spans="1:17" x14ac:dyDescent="0.15">
      <c r="A48" s="2" t="s">
        <v>7</v>
      </c>
      <c r="B48" s="17">
        <f>ROUND(VLOOKUP(B$39&amp;"_1",管理者用人口入力シート!A:X,D48,FALSE),0)</f>
        <v>0</v>
      </c>
      <c r="C48" s="17">
        <f>ROUND(VLOOKUP(B$39&amp;"_2",管理者用人口入力シート!A:X,D48,FALSE),0)</f>
        <v>1</v>
      </c>
      <c r="D48" s="2">
        <v>11</v>
      </c>
      <c r="G48" s="69" t="s">
        <v>85</v>
      </c>
      <c r="N48" s="69" t="s">
        <v>85</v>
      </c>
    </row>
    <row r="49" spans="1:17" x14ac:dyDescent="0.15">
      <c r="A49" s="2" t="s">
        <v>8</v>
      </c>
      <c r="B49" s="17">
        <f>ROUND(VLOOKUP(B$39&amp;"_1",管理者用人口入力シート!A:X,D49,FALSE),0)</f>
        <v>1</v>
      </c>
      <c r="C49" s="17">
        <f>ROUND(VLOOKUP(B$39&amp;"_2",管理者用人口入力シート!A:X,D49,FALSE),0)</f>
        <v>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v>
      </c>
      <c r="C50" s="17">
        <f>ROUND(VLOOKUP(B$39&amp;"_2",管理者用人口入力シート!A:X,D50,FALSE),0)</f>
        <v>2</v>
      </c>
      <c r="D50" s="2">
        <v>13</v>
      </c>
      <c r="G50" s="1" t="s">
        <v>58</v>
      </c>
      <c r="H50" s="1">
        <f>H4</f>
        <v>2010</v>
      </c>
      <c r="I50" s="38">
        <f>C30</f>
        <v>0.45</v>
      </c>
      <c r="J50" s="204"/>
      <c r="K50" s="204"/>
      <c r="N50" s="1" t="s">
        <v>58</v>
      </c>
      <c r="O50" s="1">
        <f>O4</f>
        <v>2010</v>
      </c>
      <c r="P50" s="38">
        <f t="shared" ref="P50:P56" si="18">I50</f>
        <v>0.45</v>
      </c>
      <c r="Q50" s="1"/>
    </row>
    <row r="51" spans="1:17" x14ac:dyDescent="0.15">
      <c r="A51" s="2" t="s">
        <v>10</v>
      </c>
      <c r="B51" s="17">
        <f>ROUND(VLOOKUP(B$39&amp;"_1",管理者用人口入力シート!A:X,D51,FALSE),0)</f>
        <v>8</v>
      </c>
      <c r="C51" s="17">
        <f>ROUND(VLOOKUP(B$39&amp;"_2",管理者用人口入力シート!A:X,D51,FALSE),0)</f>
        <v>7</v>
      </c>
      <c r="D51" s="2">
        <v>14</v>
      </c>
      <c r="G51" s="1" t="s">
        <v>57</v>
      </c>
      <c r="H51" s="1">
        <f t="shared" ref="H51:H56" si="19">H5</f>
        <v>2015</v>
      </c>
      <c r="I51" s="38">
        <f>C31</f>
        <v>0.39</v>
      </c>
      <c r="J51" s="204"/>
      <c r="K51" s="204"/>
      <c r="N51" s="1" t="s">
        <v>57</v>
      </c>
      <c r="O51" s="1">
        <f t="shared" ref="O51:O56" si="20">O5</f>
        <v>2015</v>
      </c>
      <c r="P51" s="38">
        <f t="shared" si="18"/>
        <v>0.39</v>
      </c>
      <c r="Q51" s="1"/>
    </row>
    <row r="52" spans="1:17" x14ac:dyDescent="0.15">
      <c r="A52" s="2" t="s">
        <v>11</v>
      </c>
      <c r="B52" s="17">
        <f>ROUND(VLOOKUP(B$39&amp;"_1",管理者用人口入力シート!A:X,D52,FALSE),0)</f>
        <v>6</v>
      </c>
      <c r="C52" s="17">
        <f>ROUND(VLOOKUP(B$39&amp;"_2",管理者用人口入力シート!A:X,D52,FALSE),0)</f>
        <v>1</v>
      </c>
      <c r="D52" s="2">
        <v>15</v>
      </c>
      <c r="G52" s="1" t="s">
        <v>62</v>
      </c>
      <c r="H52" s="1">
        <f t="shared" si="19"/>
        <v>2020</v>
      </c>
      <c r="I52" s="38">
        <f>C32</f>
        <v>0.38</v>
      </c>
      <c r="J52" s="204"/>
      <c r="K52" s="204"/>
      <c r="N52" s="1" t="s">
        <v>62</v>
      </c>
      <c r="O52" s="1">
        <f t="shared" si="20"/>
        <v>2020</v>
      </c>
      <c r="P52" s="38">
        <f t="shared" si="18"/>
        <v>0.38</v>
      </c>
      <c r="Q52" s="1"/>
    </row>
    <row r="53" spans="1:17" x14ac:dyDescent="0.15">
      <c r="A53" s="2" t="s">
        <v>12</v>
      </c>
      <c r="B53" s="17">
        <f>ROUND(VLOOKUP(B$39&amp;"_1",管理者用人口入力シート!A:X,D53,FALSE),0)</f>
        <v>3</v>
      </c>
      <c r="C53" s="17">
        <f>ROUND(VLOOKUP(B$39&amp;"_2",管理者用人口入力シート!A:X,D53,FALSE),0)</f>
        <v>4</v>
      </c>
      <c r="D53" s="2">
        <v>16</v>
      </c>
      <c r="G53" s="1" t="s">
        <v>106</v>
      </c>
      <c r="H53" s="1">
        <f t="shared" si="19"/>
        <v>2025</v>
      </c>
      <c r="I53" s="38">
        <f>ROUND((SUM(H82:I89)/SUM(H69:I89)),2)</f>
        <v>0.42</v>
      </c>
      <c r="J53" s="204"/>
      <c r="K53" s="204"/>
      <c r="L53" s="70"/>
      <c r="M53" s="70"/>
      <c r="N53" s="1" t="s">
        <v>106</v>
      </c>
      <c r="O53" s="1">
        <f t="shared" si="20"/>
        <v>2025</v>
      </c>
      <c r="P53" s="38">
        <f t="shared" si="18"/>
        <v>0.42</v>
      </c>
      <c r="Q53" s="38">
        <f>ROUND((SUM(O82:P89)/SUM(O69:P89)),2)</f>
        <v>0.38</v>
      </c>
    </row>
    <row r="54" spans="1:17" x14ac:dyDescent="0.15">
      <c r="A54" s="2" t="s">
        <v>13</v>
      </c>
      <c r="B54" s="17">
        <f>ROUND(VLOOKUP(B$39&amp;"_1",管理者用人口入力シート!A:X,D54,FALSE),0)</f>
        <v>2</v>
      </c>
      <c r="C54" s="17">
        <f>ROUND(VLOOKUP(B$39&amp;"_2",管理者用人口入力シート!A:X,D54,FALSE),0)</f>
        <v>1</v>
      </c>
      <c r="D54" s="2">
        <v>17</v>
      </c>
      <c r="G54" s="1" t="s">
        <v>107</v>
      </c>
      <c r="H54" s="1">
        <f t="shared" si="19"/>
        <v>2030</v>
      </c>
      <c r="I54" s="38">
        <f>ROUND((SUM(H106:I113)/SUM(H93:I113)),2)</f>
        <v>0.41</v>
      </c>
      <c r="J54" s="204"/>
      <c r="K54" s="204"/>
      <c r="N54" s="1" t="s">
        <v>107</v>
      </c>
      <c r="O54" s="1">
        <f t="shared" si="20"/>
        <v>2030</v>
      </c>
      <c r="P54" s="38">
        <f t="shared" si="18"/>
        <v>0.41</v>
      </c>
      <c r="Q54" s="38">
        <f>ROUND((SUM(O106:P113)/SUM(O93:P113)),2)</f>
        <v>0.33</v>
      </c>
    </row>
    <row r="55" spans="1:17" x14ac:dyDescent="0.15">
      <c r="A55" s="2" t="s">
        <v>14</v>
      </c>
      <c r="B55" s="17">
        <f>ROUND(VLOOKUP(B$39&amp;"_1",管理者用人口入力シート!A:X,D55,FALSE),0)</f>
        <v>5</v>
      </c>
      <c r="C55" s="17">
        <f>ROUND(VLOOKUP(B$39&amp;"_2",管理者用人口入力シート!A:X,D55,FALSE),0)</f>
        <v>10</v>
      </c>
      <c r="D55" s="2">
        <v>18</v>
      </c>
      <c r="G55" s="1" t="s">
        <v>108</v>
      </c>
      <c r="H55" s="1">
        <f t="shared" si="19"/>
        <v>2035</v>
      </c>
      <c r="I55" s="38">
        <f>ROUND((SUM(H130:I137)/SUM(H117:I137)),2)</f>
        <v>0.4</v>
      </c>
      <c r="J55" s="204"/>
      <c r="K55" s="204"/>
      <c r="N55" s="1" t="s">
        <v>108</v>
      </c>
      <c r="O55" s="1">
        <f t="shared" si="20"/>
        <v>2035</v>
      </c>
      <c r="P55" s="38">
        <f t="shared" si="18"/>
        <v>0.4</v>
      </c>
      <c r="Q55" s="38">
        <f>ROUND((SUM(O130:P137)/SUM(O117:P137)),2)</f>
        <v>0.28999999999999998</v>
      </c>
    </row>
    <row r="56" spans="1:17" x14ac:dyDescent="0.15">
      <c r="A56" s="2" t="s">
        <v>15</v>
      </c>
      <c r="B56" s="17">
        <f>ROUND(VLOOKUP(B$39&amp;"_1",管理者用人口入力シート!A:X,D56,FALSE),0)</f>
        <v>6</v>
      </c>
      <c r="C56" s="17">
        <f>ROUND(VLOOKUP(B$39&amp;"_2",管理者用人口入力シート!A:X,D56,FALSE),0)</f>
        <v>11</v>
      </c>
      <c r="D56" s="2">
        <v>19</v>
      </c>
      <c r="G56" s="1" t="s">
        <v>109</v>
      </c>
      <c r="H56" s="1">
        <f t="shared" si="19"/>
        <v>2040</v>
      </c>
      <c r="I56" s="38">
        <f>ROUND((SUM(H154:I161)/SUM(H141:I161)),2)</f>
        <v>0.35</v>
      </c>
      <c r="J56" s="204"/>
      <c r="K56" s="204"/>
      <c r="N56" s="1" t="s">
        <v>109</v>
      </c>
      <c r="O56" s="1">
        <f t="shared" si="20"/>
        <v>2040</v>
      </c>
      <c r="P56" s="38">
        <f t="shared" si="18"/>
        <v>0.35</v>
      </c>
      <c r="Q56" s="38">
        <f>ROUND((SUM(O154:P161)/SUM(O141:P161)),2)</f>
        <v>0.22</v>
      </c>
    </row>
    <row r="57" spans="1:17" x14ac:dyDescent="0.15">
      <c r="A57" s="2" t="s">
        <v>16</v>
      </c>
      <c r="B57" s="17">
        <f>ROUND(VLOOKUP(B$39&amp;"_1",管理者用人口入力シート!A:X,D57,FALSE),0)</f>
        <v>8</v>
      </c>
      <c r="C57" s="17">
        <f>ROUND(VLOOKUP(B$39&amp;"_2",管理者用人口入力シート!A:X,D57,FALSE),0)</f>
        <v>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v>
      </c>
      <c r="C58" s="17">
        <f>ROUND(VLOOKUP(B$39&amp;"_2",管理者用人口入力シート!A:X,D58,FALSE),0)</f>
        <v>4</v>
      </c>
      <c r="D58" s="2">
        <v>21</v>
      </c>
      <c r="G58" s="1" t="s">
        <v>58</v>
      </c>
      <c r="H58" s="1">
        <f>H4</f>
        <v>2010</v>
      </c>
      <c r="I58" s="38">
        <f>C34</f>
        <v>0.31</v>
      </c>
      <c r="J58" s="204"/>
      <c r="K58" s="204"/>
      <c r="N58" s="1" t="s">
        <v>58</v>
      </c>
      <c r="O58" s="1">
        <f>O4</f>
        <v>2010</v>
      </c>
      <c r="P58" s="38">
        <f t="shared" ref="P58:P64" si="21">I58</f>
        <v>0.31</v>
      </c>
      <c r="Q58" s="1"/>
    </row>
    <row r="59" spans="1:17" x14ac:dyDescent="0.15">
      <c r="A59" s="2" t="s">
        <v>18</v>
      </c>
      <c r="B59" s="17">
        <f>ROUND(VLOOKUP(B$39&amp;"_1",管理者用人口入力シート!A:X,D59,FALSE),0)</f>
        <v>2</v>
      </c>
      <c r="C59" s="17">
        <f>ROUND(VLOOKUP(B$39&amp;"_2",管理者用人口入力シート!A:X,D59,FALSE),0)</f>
        <v>1</v>
      </c>
      <c r="D59" s="2">
        <v>22</v>
      </c>
      <c r="G59" s="1" t="s">
        <v>57</v>
      </c>
      <c r="H59" s="1">
        <f t="shared" ref="H59:H64" si="22">H5</f>
        <v>2015</v>
      </c>
      <c r="I59" s="38">
        <f>C35</f>
        <v>0.31</v>
      </c>
      <c r="J59" s="204"/>
      <c r="K59" s="204"/>
      <c r="N59" s="1" t="s">
        <v>57</v>
      </c>
      <c r="O59" s="1">
        <f t="shared" ref="O59:O64" si="23">O5</f>
        <v>2015</v>
      </c>
      <c r="P59" s="38">
        <f t="shared" si="21"/>
        <v>0.31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22"/>
        <v>2020</v>
      </c>
      <c r="I60" s="38">
        <f>C36</f>
        <v>0.26</v>
      </c>
      <c r="J60" s="204"/>
      <c r="K60" s="204"/>
      <c r="N60" s="1" t="s">
        <v>62</v>
      </c>
      <c r="O60" s="1">
        <f t="shared" si="23"/>
        <v>2020</v>
      </c>
      <c r="P60" s="38">
        <f t="shared" si="21"/>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0.22</v>
      </c>
      <c r="J61" s="204"/>
      <c r="K61" s="204"/>
      <c r="N61" s="1" t="s">
        <v>106</v>
      </c>
      <c r="O61" s="1">
        <f t="shared" si="23"/>
        <v>2025</v>
      </c>
      <c r="P61" s="38">
        <f t="shared" si="21"/>
        <v>0.22</v>
      </c>
      <c r="Q61" s="38">
        <f>ROUND((SUM(O84:P89)/SUM(O69:P89)),2)</f>
        <v>0.2</v>
      </c>
    </row>
    <row r="62" spans="1:17" x14ac:dyDescent="0.15">
      <c r="G62" s="1" t="s">
        <v>107</v>
      </c>
      <c r="H62" s="1">
        <f t="shared" si="22"/>
        <v>2030</v>
      </c>
      <c r="I62" s="38">
        <f>ROUND((SUM(H108:I113)/SUM(H93:I113)),2)</f>
        <v>0.17</v>
      </c>
      <c r="J62" s="204"/>
      <c r="K62" s="204"/>
      <c r="N62" s="1" t="s">
        <v>107</v>
      </c>
      <c r="O62" s="1">
        <f t="shared" si="23"/>
        <v>2030</v>
      </c>
      <c r="P62" s="38">
        <f t="shared" si="21"/>
        <v>0.17</v>
      </c>
      <c r="Q62" s="38">
        <f>ROUND((SUM(O108:P113)/SUM(O93:P113)),2)</f>
        <v>0.14000000000000001</v>
      </c>
    </row>
    <row r="63" spans="1:17" x14ac:dyDescent="0.15">
      <c r="A63" s="2" t="s">
        <v>384</v>
      </c>
      <c r="B63" s="314">
        <f>管理者入力シート!B6</f>
        <v>2015</v>
      </c>
      <c r="C63" s="315"/>
      <c r="D63" s="2" t="s">
        <v>114</v>
      </c>
      <c r="G63" s="1" t="s">
        <v>108</v>
      </c>
      <c r="H63" s="1">
        <f t="shared" si="22"/>
        <v>2035</v>
      </c>
      <c r="I63" s="38">
        <f>ROUND((SUM(H132:I137)/SUM(H117:I137)),2)</f>
        <v>0.25</v>
      </c>
      <c r="J63" s="204"/>
      <c r="K63" s="204"/>
      <c r="N63" s="1" t="s">
        <v>108</v>
      </c>
      <c r="O63" s="1">
        <f t="shared" si="23"/>
        <v>2035</v>
      </c>
      <c r="P63" s="38">
        <f t="shared" si="21"/>
        <v>0.25</v>
      </c>
      <c r="Q63" s="38">
        <f>ROUND((SUM(O132:P137)/SUM(O117:P137)),2)</f>
        <v>0.18</v>
      </c>
    </row>
    <row r="64" spans="1:17" x14ac:dyDescent="0.15">
      <c r="A64" s="2" t="s">
        <v>115</v>
      </c>
      <c r="B64" s="18" t="s">
        <v>21</v>
      </c>
      <c r="C64" s="18" t="s">
        <v>22</v>
      </c>
      <c r="G64" s="1" t="s">
        <v>109</v>
      </c>
      <c r="H64" s="1">
        <f t="shared" si="22"/>
        <v>2040</v>
      </c>
      <c r="I64" s="38">
        <f>ROUND((SUM(H156:I161)/SUM(H141:I161)),2)</f>
        <v>0.27</v>
      </c>
      <c r="J64" s="204"/>
      <c r="K64" s="204"/>
      <c r="N64" s="1" t="s">
        <v>109</v>
      </c>
      <c r="O64" s="1">
        <f t="shared" si="23"/>
        <v>2040</v>
      </c>
      <c r="P64" s="38">
        <f t="shared" si="21"/>
        <v>0.27</v>
      </c>
      <c r="Q64" s="38">
        <f>ROUND((SUM(O156:P161)/SUM(O141:P161)),2)</f>
        <v>0.16</v>
      </c>
    </row>
    <row r="65" spans="1:21" x14ac:dyDescent="0.15">
      <c r="A65" s="2" t="s">
        <v>0</v>
      </c>
      <c r="B65" s="17">
        <f>ROUND(VLOOKUP(B$63&amp;"_1",管理者用人口入力シート!A:X,D65,FALSE),0)</f>
        <v>7</v>
      </c>
      <c r="C65" s="17">
        <f>ROUND(VLOOKUP(B$63&amp;"_2",管理者用人口入力シート!A:X,D65,FALSE),0)</f>
        <v>1</v>
      </c>
      <c r="D65" s="2">
        <v>4</v>
      </c>
    </row>
    <row r="66" spans="1:21" x14ac:dyDescent="0.15">
      <c r="A66" s="2" t="s">
        <v>1</v>
      </c>
      <c r="B66" s="17">
        <f>ROUND(VLOOKUP(B$63&amp;"_1",管理者用人口入力シート!A:X,D66,FALSE),0)</f>
        <v>5</v>
      </c>
      <c r="C66" s="17">
        <f>ROUND(VLOOKUP(B$63&amp;"_2",管理者用人口入力シート!A:X,D66,FALSE),0)</f>
        <v>5</v>
      </c>
      <c r="D66" s="2">
        <v>5</v>
      </c>
      <c r="G66" s="69" t="s">
        <v>113</v>
      </c>
      <c r="N66" s="69" t="s">
        <v>113</v>
      </c>
    </row>
    <row r="67" spans="1:21" x14ac:dyDescent="0.15">
      <c r="A67" s="2" t="s">
        <v>2</v>
      </c>
      <c r="B67" s="17">
        <f>ROUND(VLOOKUP(B$63&amp;"_1",管理者用人口入力シート!A:X,D67,FALSE),0)</f>
        <v>1</v>
      </c>
      <c r="C67" s="17">
        <f>ROUND(VLOOKUP(B$63&amp;"_2",管理者用人口入力シート!A:X,D67,FALSE),0)</f>
        <v>1</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2</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5"/>
    </row>
    <row r="70" spans="1:21" x14ac:dyDescent="0.15">
      <c r="A70" s="2" t="s">
        <v>5</v>
      </c>
      <c r="B70" s="17">
        <f>ROUND(VLOOKUP(B$63&amp;"_1",管理者用人口入力シート!A:X,D70,FALSE),0)</f>
        <v>2</v>
      </c>
      <c r="C70" s="17">
        <f>ROUND(VLOOKUP(B$63&amp;"_2",管理者用人口入力シート!A:X,D70,FALSE),0)</f>
        <v>1</v>
      </c>
      <c r="D70" s="2">
        <v>9</v>
      </c>
      <c r="G70" s="2" t="s">
        <v>1</v>
      </c>
      <c r="H70" s="17">
        <f>ROUND(VLOOKUP(H$67&amp;"_1",管理者用人口入力シート!BH:CE,J70,FALSE),0)</f>
        <v>1</v>
      </c>
      <c r="I70" s="17">
        <f>ROUND(VLOOKUP(H$67&amp;"_2",管理者用人口入力シート!BH:CE,J70,FALSE),0)</f>
        <v>3</v>
      </c>
      <c r="J70" s="2">
        <v>5</v>
      </c>
      <c r="K70" s="12"/>
      <c r="N70" s="2" t="s">
        <v>1</v>
      </c>
      <c r="O70" s="17">
        <f>ROUND(VLOOKUP(O$67&amp;"_1",管理者用人口入力シート!CO:DL,Q70,FALSE),0)</f>
        <v>1</v>
      </c>
      <c r="P70" s="17">
        <f>ROUND(VLOOKUP(O$67&amp;"_2",管理者用人口入力シート!CO:DL,Q70,FALSE),0)</f>
        <v>3</v>
      </c>
      <c r="Q70" s="2">
        <v>5</v>
      </c>
      <c r="U70" s="85"/>
    </row>
    <row r="71" spans="1:21" x14ac:dyDescent="0.15">
      <c r="A71" s="2" t="s">
        <v>6</v>
      </c>
      <c r="B71" s="17">
        <f>ROUND(VLOOKUP(B$63&amp;"_1",管理者用人口入力シート!A:X,D71,FALSE),0)</f>
        <v>2</v>
      </c>
      <c r="C71" s="17">
        <f>ROUND(VLOOKUP(B$63&amp;"_2",管理者用人口入力シート!A:X,D71,FALSE),0)</f>
        <v>3</v>
      </c>
      <c r="D71" s="2">
        <v>10</v>
      </c>
      <c r="G71" s="2" t="s">
        <v>2</v>
      </c>
      <c r="H71" s="17">
        <f>ROUND(VLOOKUP(H$67&amp;"_1",管理者用人口入力シート!BH:CE,J71,FALSE),0)</f>
        <v>3</v>
      </c>
      <c r="I71" s="17">
        <f>ROUND(VLOOKUP(H$67&amp;"_2",管理者用人口入力シート!BH:CE,J71,FALSE),0)</f>
        <v>1</v>
      </c>
      <c r="J71" s="2">
        <v>6</v>
      </c>
      <c r="K71" s="12"/>
      <c r="N71" s="2" t="s">
        <v>2</v>
      </c>
      <c r="O71" s="17">
        <f>ROUND(VLOOKUP(O$67&amp;"_1",管理者用人口入力シート!CO:DL,Q71,FALSE),0)</f>
        <v>4</v>
      </c>
      <c r="P71" s="17">
        <f>ROUND(VLOOKUP(O$67&amp;"_2",管理者用人口入力シート!CO:DL,Q71,FALSE),0)</f>
        <v>2</v>
      </c>
      <c r="Q71" s="2">
        <v>6</v>
      </c>
      <c r="U71" s="85"/>
    </row>
    <row r="72" spans="1:21" x14ac:dyDescent="0.15">
      <c r="A72" s="2" t="s">
        <v>7</v>
      </c>
      <c r="B72" s="17">
        <f>ROUND(VLOOKUP(B$63&amp;"_1",管理者用人口入力シート!A:X,D72,FALSE),0)</f>
        <v>6</v>
      </c>
      <c r="C72" s="17">
        <f>ROUND(VLOOKUP(B$63&amp;"_2",管理者用人口入力シート!A:X,D72,FALSE),0)</f>
        <v>2</v>
      </c>
      <c r="D72" s="2">
        <v>11</v>
      </c>
      <c r="G72" s="2" t="s">
        <v>3</v>
      </c>
      <c r="H72" s="17">
        <f>ROUND(VLOOKUP(H$67&amp;"_1",管理者用人口入力シート!BH:CE,J72,FALSE),0)</f>
        <v>2</v>
      </c>
      <c r="I72" s="17">
        <f>ROUND(VLOOKUP(H$67&amp;"_2",管理者用人口入力シート!BH:CE,J72,FALSE),0)</f>
        <v>3</v>
      </c>
      <c r="J72" s="2">
        <v>7</v>
      </c>
      <c r="K72" s="12"/>
      <c r="N72" s="2" t="s">
        <v>3</v>
      </c>
      <c r="O72" s="17">
        <f>ROUND(VLOOKUP(O$67&amp;"_1",管理者用人口入力シート!CO:DL,Q72,FALSE),0)</f>
        <v>2</v>
      </c>
      <c r="P72" s="17">
        <f>ROUND(VLOOKUP(O$67&amp;"_2",管理者用人口入力シート!CO:DL,Q72,FALSE),0)</f>
        <v>3</v>
      </c>
      <c r="Q72" s="2">
        <v>7</v>
      </c>
      <c r="U72" s="85"/>
    </row>
    <row r="73" spans="1:21" x14ac:dyDescent="0.15">
      <c r="A73" s="2" t="s">
        <v>8</v>
      </c>
      <c r="B73" s="17">
        <f>ROUND(VLOOKUP(B$63&amp;"_1",管理者用人口入力シート!A:X,D73,FALSE),0)</f>
        <v>0</v>
      </c>
      <c r="C73" s="17">
        <f>ROUND(VLOOKUP(B$63&amp;"_2",管理者用人口入力シート!A:X,D73,FALSE),0)</f>
        <v>1</v>
      </c>
      <c r="D73" s="2">
        <v>12</v>
      </c>
      <c r="G73" s="2" t="s">
        <v>4</v>
      </c>
      <c r="H73" s="17">
        <f>ROUND(VLOOKUP(H$67&amp;"_1",管理者用人口入力シート!BH:CE,J73,FALSE),0)</f>
        <v>1</v>
      </c>
      <c r="I73" s="17">
        <f>ROUND(VLOOKUP(H$67&amp;"_2",管理者用人口入力シート!BH:CE,J73,FALSE),0)</f>
        <v>0</v>
      </c>
      <c r="J73" s="2">
        <v>8</v>
      </c>
      <c r="K73" s="12"/>
      <c r="N73" s="2" t="s">
        <v>4</v>
      </c>
      <c r="O73" s="17">
        <f>ROUND(VLOOKUP(O$67&amp;"_1",管理者用人口入力シート!CO:DL,Q73,FALSE),0)</f>
        <v>1</v>
      </c>
      <c r="P73" s="17">
        <f>ROUND(VLOOKUP(O$67&amp;"_2",管理者用人口入力シート!CO:DL,Q73,FALSE),0)</f>
        <v>0</v>
      </c>
      <c r="Q73" s="2">
        <v>8</v>
      </c>
      <c r="U73" s="85"/>
    </row>
    <row r="74" spans="1:21" x14ac:dyDescent="0.15">
      <c r="A74" s="2" t="s">
        <v>9</v>
      </c>
      <c r="B74" s="17">
        <f>ROUND(VLOOKUP(B$63&amp;"_1",管理者用人口入力シート!A:X,D74,FALSE),0)</f>
        <v>2</v>
      </c>
      <c r="C74" s="17">
        <f>ROUND(VLOOKUP(B$63&amp;"_2",管理者用人口入力シート!A:X,D74,FALSE),0)</f>
        <v>4</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6</v>
      </c>
      <c r="C75" s="17">
        <f>ROUND(VLOOKUP(B$63&amp;"_2",管理者用人口入力シート!A:X,D75,FALSE),0)</f>
        <v>2</v>
      </c>
      <c r="D75" s="2">
        <v>14</v>
      </c>
      <c r="G75" s="2" t="s">
        <v>6</v>
      </c>
      <c r="H75" s="17">
        <f>ROUND(VLOOKUP(H$67&amp;"_1",管理者用人口入力シート!BH:CE,J75,FALSE),0)</f>
        <v>1</v>
      </c>
      <c r="I75" s="17">
        <f>ROUND(VLOOKUP(H$67&amp;"_2",管理者用人口入力シート!BH:CE,J75,FALSE),0)</f>
        <v>2</v>
      </c>
      <c r="J75" s="2">
        <v>10</v>
      </c>
      <c r="K75" s="12"/>
      <c r="N75" s="2" t="s">
        <v>6</v>
      </c>
      <c r="O75" s="17">
        <f>ROUND(VLOOKUP(O$67&amp;"_1",管理者用人口入力シート!CO:DL,Q75,FALSE),0)</f>
        <v>1</v>
      </c>
      <c r="P75" s="17">
        <f>ROUND(VLOOKUP(O$67&amp;"_2",管理者用人口入力シート!CO:DL,Q75,FALSE),0)</f>
        <v>2</v>
      </c>
      <c r="Q75" s="2">
        <v>10</v>
      </c>
      <c r="U75" s="85"/>
    </row>
    <row r="76" spans="1:21" x14ac:dyDescent="0.15">
      <c r="A76" s="2" t="s">
        <v>11</v>
      </c>
      <c r="B76" s="17">
        <f>ROUND(VLOOKUP(B$63&amp;"_1",管理者用人口入力シート!A:X,D76,FALSE),0)</f>
        <v>8</v>
      </c>
      <c r="C76" s="17">
        <f>ROUND(VLOOKUP(B$63&amp;"_2",管理者用人口入力シート!A:X,D76,FALSE),0)</f>
        <v>7</v>
      </c>
      <c r="D76" s="2">
        <v>15</v>
      </c>
      <c r="G76" s="2" t="s">
        <v>7</v>
      </c>
      <c r="H76" s="17">
        <f>ROUND(VLOOKUP(H$67&amp;"_1",管理者用人口入力シート!BH:CE,J76,FALSE),0)</f>
        <v>4</v>
      </c>
      <c r="I76" s="17">
        <f>ROUND(VLOOKUP(H$67&amp;"_2",管理者用人口入力シート!BH:CE,J76,FALSE),0)</f>
        <v>1</v>
      </c>
      <c r="J76" s="2">
        <v>11</v>
      </c>
      <c r="K76" s="12"/>
      <c r="N76" s="2" t="s">
        <v>7</v>
      </c>
      <c r="O76" s="17">
        <f>ROUND(VLOOKUP(O$67&amp;"_1",管理者用人口入力シート!CO:DL,Q76,FALSE),0)</f>
        <v>4</v>
      </c>
      <c r="P76" s="17">
        <f>ROUND(VLOOKUP(O$67&amp;"_2",管理者用人口入力シート!CO:DL,Q76,FALSE),0)</f>
        <v>1</v>
      </c>
      <c r="Q76" s="2">
        <v>11</v>
      </c>
      <c r="U76" s="85"/>
    </row>
    <row r="77" spans="1:21" x14ac:dyDescent="0.15">
      <c r="A77" s="2" t="s">
        <v>12</v>
      </c>
      <c r="B77" s="17">
        <f>ROUND(VLOOKUP(B$63&amp;"_1",管理者用人口入力シート!A:X,D77,FALSE),0)</f>
        <v>6</v>
      </c>
      <c r="C77" s="17">
        <f>ROUND(VLOOKUP(B$63&amp;"_2",管理者用人口入力シート!A:X,D77,FALSE),0)</f>
        <v>1</v>
      </c>
      <c r="D77" s="2">
        <v>16</v>
      </c>
      <c r="G77" s="2" t="s">
        <v>8</v>
      </c>
      <c r="H77" s="17">
        <f>ROUND(VLOOKUP(H$67&amp;"_1",管理者用人口入力シート!BH:CE,J77,FALSE),0)</f>
        <v>3</v>
      </c>
      <c r="I77" s="17">
        <f>ROUND(VLOOKUP(H$67&amp;"_2",管理者用人口入力シート!BH:CE,J77,FALSE),0)</f>
        <v>3</v>
      </c>
      <c r="J77" s="2">
        <v>12</v>
      </c>
      <c r="K77" s="12"/>
      <c r="N77" s="2" t="s">
        <v>8</v>
      </c>
      <c r="O77" s="17">
        <f>ROUND(VLOOKUP(O$67&amp;"_1",管理者用人口入力シート!CO:DL,Q77,FALSE),0)</f>
        <v>3</v>
      </c>
      <c r="P77" s="17">
        <f>ROUND(VLOOKUP(O$67&amp;"_2",管理者用人口入力シート!CO:DL,Q77,FALSE),0)</f>
        <v>4</v>
      </c>
      <c r="Q77" s="2">
        <v>12</v>
      </c>
      <c r="U77" s="85"/>
    </row>
    <row r="78" spans="1:21" x14ac:dyDescent="0.15">
      <c r="A78" s="2" t="s">
        <v>13</v>
      </c>
      <c r="B78" s="17">
        <f>ROUND(VLOOKUP(B$63&amp;"_1",管理者用人口入力シート!A:X,D78,FALSE),0)</f>
        <v>3</v>
      </c>
      <c r="C78" s="17">
        <f>ROUND(VLOOKUP(B$63&amp;"_2",管理者用人口入力シート!A:X,D78,FALSE),0)</f>
        <v>4</v>
      </c>
      <c r="D78" s="2">
        <v>17</v>
      </c>
      <c r="G78" s="2" t="s">
        <v>9</v>
      </c>
      <c r="H78" s="17">
        <f>ROUND(VLOOKUP(H$67&amp;"_1",管理者用人口入力シート!BH:CE,J78,FALSE),0)</f>
        <v>7</v>
      </c>
      <c r="I78" s="17">
        <f>ROUND(VLOOKUP(H$67&amp;"_2",管理者用人口入力シート!BH:CE,J78,FALSE),0)</f>
        <v>2</v>
      </c>
      <c r="J78" s="2">
        <v>13</v>
      </c>
      <c r="K78" s="12"/>
      <c r="N78" s="2" t="s">
        <v>9</v>
      </c>
      <c r="O78" s="17">
        <f>ROUND(VLOOKUP(O$67&amp;"_1",管理者用人口入力シート!CO:DL,Q78,FALSE),0)</f>
        <v>7</v>
      </c>
      <c r="P78" s="17">
        <f>ROUND(VLOOKUP(O$67&amp;"_2",管理者用人口入力シート!CO:DL,Q78,FALSE),0)</f>
        <v>2</v>
      </c>
      <c r="Q78" s="2">
        <v>13</v>
      </c>
      <c r="U78" s="85"/>
    </row>
    <row r="79" spans="1:21" x14ac:dyDescent="0.15">
      <c r="A79" s="2" t="s">
        <v>14</v>
      </c>
      <c r="B79" s="17">
        <f>ROUND(VLOOKUP(B$63&amp;"_1",管理者用人口入力シート!A:X,D79,FALSE),0)</f>
        <v>2</v>
      </c>
      <c r="C79" s="17">
        <f>ROUND(VLOOKUP(B$63&amp;"_2",管理者用人口入力シート!A:X,D79,FALSE),0)</f>
        <v>0</v>
      </c>
      <c r="D79" s="2">
        <v>18</v>
      </c>
      <c r="G79" s="2" t="s">
        <v>10</v>
      </c>
      <c r="H79" s="17">
        <f>ROUND(VLOOKUP(H$67&amp;"_1",管理者用人口入力シート!BH:CE,J79,FALSE),0)</f>
        <v>0</v>
      </c>
      <c r="I79" s="17">
        <f>ROUND(VLOOKUP(H$67&amp;"_2",管理者用人口入力シート!BH:CE,J79,FALSE),0)</f>
        <v>1</v>
      </c>
      <c r="J79" s="2">
        <v>14</v>
      </c>
      <c r="K79" s="12"/>
      <c r="N79" s="2" t="s">
        <v>10</v>
      </c>
      <c r="O79" s="17">
        <f>ROUND(VLOOKUP(O$67&amp;"_1",管理者用人口入力シート!CO:DL,Q79,FALSE),0)</f>
        <v>0</v>
      </c>
      <c r="P79" s="17">
        <f>ROUND(VLOOKUP(O$67&amp;"_2",管理者用人口入力シート!CO:DL,Q79,FALSE),0)</f>
        <v>1</v>
      </c>
      <c r="Q79" s="2">
        <v>14</v>
      </c>
      <c r="U79" s="85"/>
    </row>
    <row r="80" spans="1:21" x14ac:dyDescent="0.15">
      <c r="A80" s="2" t="s">
        <v>15</v>
      </c>
      <c r="B80" s="17">
        <f>ROUND(VLOOKUP(B$63&amp;"_1",管理者用人口入力シート!A:X,D80,FALSE),0)</f>
        <v>3</v>
      </c>
      <c r="C80" s="17">
        <f>ROUND(VLOOKUP(B$63&amp;"_2",管理者用人口入力シート!A:X,D80,FALSE),0)</f>
        <v>9</v>
      </c>
      <c r="D80" s="2">
        <v>19</v>
      </c>
      <c r="G80" s="2" t="s">
        <v>11</v>
      </c>
      <c r="H80" s="17">
        <f>ROUND(VLOOKUP(H$67&amp;"_1",管理者用人口入力シート!BH:CE,J80,FALSE),0)</f>
        <v>2</v>
      </c>
      <c r="I80" s="17">
        <f>ROUND(VLOOKUP(H$67&amp;"_2",管理者用人口入力シート!BH:CE,J80,FALSE),0)</f>
        <v>4</v>
      </c>
      <c r="J80" s="2">
        <v>15</v>
      </c>
      <c r="K80" s="12"/>
      <c r="N80" s="2" t="s">
        <v>11</v>
      </c>
      <c r="O80" s="17">
        <f>ROUND(VLOOKUP(O$67&amp;"_1",管理者用人口入力シート!CO:DL,Q80,FALSE),0)</f>
        <v>2</v>
      </c>
      <c r="P80" s="17">
        <f>ROUND(VLOOKUP(O$67&amp;"_2",管理者用人口入力シート!CO:DL,Q80,FALSE),0)</f>
        <v>4</v>
      </c>
      <c r="Q80" s="2">
        <v>15</v>
      </c>
      <c r="U80" s="85"/>
    </row>
    <row r="81" spans="1:21" x14ac:dyDescent="0.15">
      <c r="A81" s="2" t="s">
        <v>16</v>
      </c>
      <c r="B81" s="17">
        <f>ROUND(VLOOKUP(B$63&amp;"_1",管理者用人口入力シート!A:X,D81,FALSE),0)</f>
        <v>5</v>
      </c>
      <c r="C81" s="17">
        <f>ROUND(VLOOKUP(B$63&amp;"_2",管理者用人口入力シート!A:X,D81,FALSE),0)</f>
        <v>10</v>
      </c>
      <c r="D81" s="2">
        <v>20</v>
      </c>
      <c r="G81" s="2" t="s">
        <v>12</v>
      </c>
      <c r="H81" s="17">
        <f>ROUND(VLOOKUP(H$67&amp;"_1",管理者用人口入力シート!BH:CE,J81,FALSE),0)</f>
        <v>6</v>
      </c>
      <c r="I81" s="17">
        <f>ROUND(VLOOKUP(H$67&amp;"_2",管理者用人口入力シート!BH:CE,J81,FALSE),0)</f>
        <v>2</v>
      </c>
      <c r="J81" s="2">
        <v>16</v>
      </c>
      <c r="K81" s="12"/>
      <c r="N81" s="2" t="s">
        <v>12</v>
      </c>
      <c r="O81" s="17">
        <f>ROUND(VLOOKUP(O$67&amp;"_1",管理者用人口入力シート!CO:DL,Q81,FALSE),0)</f>
        <v>6</v>
      </c>
      <c r="P81" s="17">
        <f>ROUND(VLOOKUP(O$67&amp;"_2",管理者用人口入力シート!CO:DL,Q81,FALSE),0)</f>
        <v>2</v>
      </c>
      <c r="Q81" s="2">
        <v>16</v>
      </c>
      <c r="U81" s="85"/>
    </row>
    <row r="82" spans="1:21" x14ac:dyDescent="0.15">
      <c r="A82" s="2" t="s">
        <v>17</v>
      </c>
      <c r="B82" s="17">
        <f>ROUND(VLOOKUP(B$63&amp;"_1",管理者用人口入力シート!A:X,D82,FALSE),0)</f>
        <v>6</v>
      </c>
      <c r="C82" s="17">
        <f>ROUND(VLOOKUP(B$63&amp;"_2",管理者用人口入力シート!A:X,D82,FALSE),0)</f>
        <v>5</v>
      </c>
      <c r="D82" s="2">
        <v>21</v>
      </c>
      <c r="G82" s="2" t="s">
        <v>13</v>
      </c>
      <c r="H82" s="17">
        <f>ROUND(VLOOKUP(H$67&amp;"_1",管理者用人口入力シート!BH:CE,J82,FALSE),0)</f>
        <v>6</v>
      </c>
      <c r="I82" s="17">
        <f>ROUND(VLOOKUP(H$67&amp;"_2",管理者用人口入力シート!BH:CE,J82,FALSE),0)</f>
        <v>7</v>
      </c>
      <c r="J82" s="2">
        <v>17</v>
      </c>
      <c r="K82" s="12"/>
      <c r="N82" s="2" t="s">
        <v>13</v>
      </c>
      <c r="O82" s="17">
        <f>ROUND(VLOOKUP(O$67&amp;"_1",管理者用人口入力シート!CO:DL,Q82,FALSE),0)</f>
        <v>6</v>
      </c>
      <c r="P82" s="17">
        <f>ROUND(VLOOKUP(O$67&amp;"_2",管理者用人口入力シート!CO:DL,Q82,FALSE),0)</f>
        <v>7</v>
      </c>
      <c r="Q82" s="2">
        <v>17</v>
      </c>
      <c r="U82" s="85"/>
    </row>
    <row r="83" spans="1:21" x14ac:dyDescent="0.15">
      <c r="A83" s="2" t="s">
        <v>18</v>
      </c>
      <c r="B83" s="17">
        <f>ROUND(VLOOKUP(B$63&amp;"_1",管理者用人口入力シート!A:X,D83,FALSE),0)</f>
        <v>0</v>
      </c>
      <c r="C83" s="17">
        <f>ROUND(VLOOKUP(B$63&amp;"_2",管理者用人口入力シート!A:X,D83,FALSE),0)</f>
        <v>1</v>
      </c>
      <c r="D83" s="2">
        <v>22</v>
      </c>
      <c r="G83" s="2" t="s">
        <v>14</v>
      </c>
      <c r="H83" s="17">
        <f>ROUND(VLOOKUP(H$67&amp;"_1",管理者用人口入力シート!BH:CE,J83,FALSE),0)</f>
        <v>5</v>
      </c>
      <c r="I83" s="17">
        <f>ROUND(VLOOKUP(H$67&amp;"_2",管理者用人口入力シート!BH:CE,J83,FALSE),0)</f>
        <v>1</v>
      </c>
      <c r="J83" s="2">
        <v>18</v>
      </c>
      <c r="K83" s="12"/>
      <c r="N83" s="2" t="s">
        <v>14</v>
      </c>
      <c r="O83" s="17">
        <f>ROUND(VLOOKUP(O$67&amp;"_1",管理者用人口入力シート!CO:DL,Q83,FALSE),0)</f>
        <v>5</v>
      </c>
      <c r="P83" s="17">
        <f>ROUND(VLOOKUP(O$67&amp;"_2",管理者用人口入力シート!CO:DL,Q83,FALSE),0)</f>
        <v>1</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2</v>
      </c>
      <c r="I84" s="17">
        <f>ROUND(VLOOKUP(H$67&amp;"_2",管理者用人口入力シート!BH:CE,J84,FALSE),0)</f>
        <v>4</v>
      </c>
      <c r="J84" s="2">
        <v>19</v>
      </c>
      <c r="K84" s="12"/>
      <c r="N84" s="2" t="s">
        <v>15</v>
      </c>
      <c r="O84" s="17">
        <f>ROUND(VLOOKUP(O$67&amp;"_1",管理者用人口入力シート!CO:DL,Q84,FALSE),0)</f>
        <v>2</v>
      </c>
      <c r="P84" s="17">
        <f>ROUND(VLOOKUP(O$67&amp;"_2",管理者用人口入力シート!CO:DL,Q84,FALSE),0)</f>
        <v>4</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1</v>
      </c>
      <c r="J85" s="2">
        <v>20</v>
      </c>
      <c r="K85" s="12"/>
      <c r="N85" s="2" t="s">
        <v>16</v>
      </c>
      <c r="O85" s="17">
        <f>ROUND(VLOOKUP(O$67&amp;"_1",管理者用人口入力シート!CO:DL,Q85,FALSE),0)</f>
        <v>1</v>
      </c>
      <c r="P85" s="17">
        <f>ROUND(VLOOKUP(O$67&amp;"_2",管理者用人口入力シート!CO:DL,Q85,FALSE),0)</f>
        <v>1</v>
      </c>
      <c r="Q85" s="2">
        <v>20</v>
      </c>
      <c r="U85" s="85"/>
    </row>
    <row r="86" spans="1:21" x14ac:dyDescent="0.15">
      <c r="G86" s="2" t="s">
        <v>17</v>
      </c>
      <c r="H86" s="17">
        <f>ROUND(VLOOKUP(H$67&amp;"_1",管理者用人口入力シート!BH:CE,J86,FALSE),0)</f>
        <v>2</v>
      </c>
      <c r="I86" s="17">
        <f>ROUND(VLOOKUP(H$67&amp;"_2",管理者用人口入力シート!BH:CE,J86,FALSE),0)</f>
        <v>5</v>
      </c>
      <c r="J86" s="2">
        <v>21</v>
      </c>
      <c r="K86" s="12"/>
      <c r="N86" s="2" t="s">
        <v>17</v>
      </c>
      <c r="O86" s="17">
        <f>ROUND(VLOOKUP(O$67&amp;"_1",管理者用人口入力シート!CO:DL,Q86,FALSE),0)</f>
        <v>2</v>
      </c>
      <c r="P86" s="17">
        <f>ROUND(VLOOKUP(O$67&amp;"_2",管理者用人口入力シート!CO:DL,Q86,FALSE),0)</f>
        <v>5</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2</v>
      </c>
      <c r="J87" s="2">
        <v>22</v>
      </c>
      <c r="K87" s="12"/>
      <c r="N87" s="2" t="s">
        <v>18</v>
      </c>
      <c r="O87" s="17">
        <f>ROUND(VLOOKUP(O$67&amp;"_1",管理者用人口入力シート!CO:DL,Q87,FALSE),0)</f>
        <v>3</v>
      </c>
      <c r="P87" s="17">
        <f>ROUND(VLOOKUP(O$67&amp;"_2",管理者用人口入力シート!CO:DL,Q87,FALSE),0)</f>
        <v>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1</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5</v>
      </c>
      <c r="C90" s="17">
        <f>ROUND(VLOOKUP(B$87&amp;"_2",管理者用人口入力シート!A:X,D90,FALSE),0)</f>
        <v>2</v>
      </c>
      <c r="D90" s="2">
        <v>5</v>
      </c>
    </row>
    <row r="91" spans="1:21" x14ac:dyDescent="0.15">
      <c r="A91" s="2" t="s">
        <v>2</v>
      </c>
      <c r="B91" s="17">
        <f>ROUND(VLOOKUP(B$87&amp;"_1",管理者用人口入力シート!A:X,D91,FALSE),0)</f>
        <v>2</v>
      </c>
      <c r="C91" s="17">
        <f>ROUND(VLOOKUP(B$87&amp;"_2",管理者用人口入力シート!A:X,D91,FALSE),0)</f>
        <v>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1</v>
      </c>
      <c r="I93" s="17">
        <f>ROUND(VLOOKUP(H$91&amp;"_2",管理者用人口入力シート!BH:CE,J93,FALSE),0)</f>
        <v>2</v>
      </c>
      <c r="J93" s="2">
        <v>4</v>
      </c>
      <c r="K93" s="12"/>
      <c r="N93" s="2" t="s">
        <v>0</v>
      </c>
      <c r="O93" s="17">
        <f>ROUND(VLOOKUP(O$91&amp;"_1",管理者用人口入力シート!CO:DL,Q93,FALSE),0)</f>
        <v>3</v>
      </c>
      <c r="P93" s="17">
        <f>ROUND(VLOOKUP(O$91&amp;"_2",管理者用人口入力シート!CO:DL,Q93,FALSE),0)</f>
        <v>4</v>
      </c>
      <c r="Q93" s="2">
        <v>4</v>
      </c>
      <c r="T93" s="85"/>
    </row>
    <row r="94" spans="1:21" x14ac:dyDescent="0.15">
      <c r="A94" s="2" t="s">
        <v>5</v>
      </c>
      <c r="B94" s="17">
        <f>ROUND(VLOOKUP(B$87&amp;"_1",管理者用人口入力シート!A:X,D94,FALSE),0)</f>
        <v>1</v>
      </c>
      <c r="C94" s="17">
        <f>ROUND(VLOOKUP(B$87&amp;"_2",管理者用人口入力シート!A:X,D94,FALSE),0)</f>
        <v>2</v>
      </c>
      <c r="D94" s="2">
        <v>9</v>
      </c>
      <c r="G94" s="2" t="s">
        <v>1</v>
      </c>
      <c r="H94" s="17">
        <f>ROUND(VLOOKUP(H$91&amp;"_1",管理者用人口入力シート!BH:CE,J94,FALSE),0)</f>
        <v>1</v>
      </c>
      <c r="I94" s="17">
        <f>ROUND(VLOOKUP(H$91&amp;"_2",管理者用人口入力シート!BH:CE,J94,FALSE),0)</f>
        <v>2</v>
      </c>
      <c r="J94" s="2">
        <v>5</v>
      </c>
      <c r="K94" s="12"/>
      <c r="N94" s="2" t="s">
        <v>1</v>
      </c>
      <c r="O94" s="17">
        <f>ROUND(VLOOKUP(O$91&amp;"_1",管理者用人口入力シート!CO:DL,Q94,FALSE),0)</f>
        <v>2</v>
      </c>
      <c r="P94" s="17">
        <f>ROUND(VLOOKUP(O$91&amp;"_2",管理者用人口入力シート!CO:DL,Q94,FALSE),0)</f>
        <v>3</v>
      </c>
      <c r="Q94" s="2">
        <v>5</v>
      </c>
      <c r="T94" s="85"/>
    </row>
    <row r="95" spans="1:21" x14ac:dyDescent="0.15">
      <c r="A95" s="2" t="s">
        <v>6</v>
      </c>
      <c r="B95" s="17">
        <f>ROUND(VLOOKUP(B$87&amp;"_1",管理者用人口入力シート!A:X,D95,FALSE),0)</f>
        <v>3</v>
      </c>
      <c r="C95" s="17">
        <f>ROUND(VLOOKUP(B$87&amp;"_2",管理者用人口入力シート!A:X,D95,FALSE),0)</f>
        <v>1</v>
      </c>
      <c r="D95" s="2">
        <v>10</v>
      </c>
      <c r="G95" s="2" t="s">
        <v>2</v>
      </c>
      <c r="H95" s="17">
        <f>ROUND(VLOOKUP(H$91&amp;"_1",管理者用人口入力シート!BH:CE,J95,FALSE),0)</f>
        <v>1</v>
      </c>
      <c r="I95" s="17">
        <f>ROUND(VLOOKUP(H$91&amp;"_2",管理者用人口入力シート!BH:CE,J95,FALSE),0)</f>
        <v>2</v>
      </c>
      <c r="J95" s="2">
        <v>6</v>
      </c>
      <c r="K95" s="12"/>
      <c r="N95" s="2" t="s">
        <v>2</v>
      </c>
      <c r="O95" s="17">
        <f>ROUND(VLOOKUP(O$91&amp;"_1",管理者用人口入力シート!CO:DL,Q95,FALSE),0)</f>
        <v>2</v>
      </c>
      <c r="P95" s="17">
        <f>ROUND(VLOOKUP(O$91&amp;"_2",管理者用人口入力シート!CO:DL,Q95,FALSE),0)</f>
        <v>3</v>
      </c>
      <c r="Q95" s="2">
        <v>6</v>
      </c>
      <c r="T95" s="85"/>
    </row>
    <row r="96" spans="1:21" x14ac:dyDescent="0.15">
      <c r="A96" s="2" t="s">
        <v>7</v>
      </c>
      <c r="B96" s="17">
        <f>ROUND(VLOOKUP(B$87&amp;"_1",管理者用人口入力シート!A:X,D96,FALSE),0)</f>
        <v>3</v>
      </c>
      <c r="C96" s="17">
        <f>ROUND(VLOOKUP(B$87&amp;"_2",管理者用人口入力シート!A:X,D96,FALSE),0)</f>
        <v>3</v>
      </c>
      <c r="D96" s="2">
        <v>11</v>
      </c>
      <c r="G96" s="2" t="s">
        <v>3</v>
      </c>
      <c r="H96" s="17">
        <f>ROUND(VLOOKUP(H$91&amp;"_1",管理者用人口入力シート!BH:CE,J96,FALSE),0)</f>
        <v>3</v>
      </c>
      <c r="I96" s="17">
        <f>ROUND(VLOOKUP(H$91&amp;"_2",管理者用人口入力シート!BH:CE,J96,FALSE),0)</f>
        <v>1</v>
      </c>
      <c r="J96" s="2">
        <v>7</v>
      </c>
      <c r="K96" s="12"/>
      <c r="N96" s="2" t="s">
        <v>3</v>
      </c>
      <c r="O96" s="17">
        <f>ROUND(VLOOKUP(O$91&amp;"_1",管理者用人口入力シート!CO:DL,Q96,FALSE),0)</f>
        <v>4</v>
      </c>
      <c r="P96" s="17">
        <f>ROUND(VLOOKUP(O$91&amp;"_2",管理者用人口入力シート!CO:DL,Q96,FALSE),0)</f>
        <v>2</v>
      </c>
      <c r="Q96" s="2">
        <v>7</v>
      </c>
      <c r="T96" s="85"/>
    </row>
    <row r="97" spans="1:20" x14ac:dyDescent="0.15">
      <c r="A97" s="2" t="s">
        <v>8</v>
      </c>
      <c r="B97" s="17">
        <f>ROUND(VLOOKUP(B$87&amp;"_1",管理者用人口入力シート!A:X,D97,FALSE),0)</f>
        <v>5</v>
      </c>
      <c r="C97" s="17">
        <f>ROUND(VLOOKUP(B$87&amp;"_2",管理者用人口入力シート!A:X,D97,FALSE),0)</f>
        <v>2</v>
      </c>
      <c r="D97" s="2">
        <v>12</v>
      </c>
      <c r="G97" s="2" t="s">
        <v>4</v>
      </c>
      <c r="H97" s="17">
        <f>ROUND(VLOOKUP(H$91&amp;"_1",管理者用人口入力シート!BH:CE,J97,FALSE),0)</f>
        <v>2</v>
      </c>
      <c r="I97" s="17">
        <f>ROUND(VLOOKUP(H$91&amp;"_2",管理者用人口入力シート!BH:CE,J97,FALSE),0)</f>
        <v>4</v>
      </c>
      <c r="J97" s="2">
        <v>8</v>
      </c>
      <c r="K97" s="12"/>
      <c r="N97" s="2" t="s">
        <v>4</v>
      </c>
      <c r="O97" s="17">
        <f>ROUND(VLOOKUP(O$91&amp;"_1",管理者用人口入力シート!CO:DL,Q97,FALSE),0)</f>
        <v>2</v>
      </c>
      <c r="P97" s="17">
        <f>ROUND(VLOOKUP(O$91&amp;"_2",管理者用人口入力シート!CO:DL,Q97,FALSE),0)</f>
        <v>4</v>
      </c>
      <c r="Q97" s="2">
        <v>8</v>
      </c>
      <c r="T97" s="85"/>
    </row>
    <row r="98" spans="1:20" x14ac:dyDescent="0.15">
      <c r="A98" s="2" t="s">
        <v>9</v>
      </c>
      <c r="B98" s="17">
        <f>ROUND(VLOOKUP(B$87&amp;"_1",管理者用人口入力シート!A:X,D98,FALSE),0)</f>
        <v>0</v>
      </c>
      <c r="C98" s="17">
        <f>ROUND(VLOOKUP(B$87&amp;"_2",管理者用人口入力シート!A:X,D98,FALSE),0)</f>
        <v>1</v>
      </c>
      <c r="D98" s="2">
        <v>13</v>
      </c>
      <c r="G98" s="2" t="s">
        <v>5</v>
      </c>
      <c r="H98" s="17">
        <f>ROUND(VLOOKUP(H$91&amp;"_1",管理者用人口入力シート!BH:CE,J98,FALSE),0)</f>
        <v>1</v>
      </c>
      <c r="I98" s="17">
        <f>ROUND(VLOOKUP(H$91&amp;"_2",管理者用人口入力シート!BH:CE,J98,FALSE),0)</f>
        <v>0</v>
      </c>
      <c r="J98" s="2">
        <v>9</v>
      </c>
      <c r="K98" s="12"/>
      <c r="N98" s="2" t="s">
        <v>5</v>
      </c>
      <c r="O98" s="17">
        <f>ROUND(VLOOKUP(O$91&amp;"_1",管理者用人口入力シート!CO:DL,Q98,FALSE),0)</f>
        <v>3</v>
      </c>
      <c r="P98" s="17">
        <f>ROUND(VLOOKUP(O$91&amp;"_2",管理者用人口入力シート!CO:DL,Q98,FALSE),0)</f>
        <v>2</v>
      </c>
      <c r="Q98" s="2">
        <v>9</v>
      </c>
      <c r="T98" s="85"/>
    </row>
    <row r="99" spans="1:20" x14ac:dyDescent="0.15">
      <c r="A99" s="2" t="s">
        <v>10</v>
      </c>
      <c r="B99" s="17">
        <f>ROUND(VLOOKUP(B$87&amp;"_1",管理者用人口入力シート!A:X,D99,FALSE),0)</f>
        <v>2</v>
      </c>
      <c r="C99" s="17">
        <f>ROUND(VLOOKUP(B$87&amp;"_2",管理者用人口入力シート!A:X,D99,FALSE),0)</f>
        <v>4</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5"/>
    </row>
    <row r="100" spans="1:20" x14ac:dyDescent="0.15">
      <c r="A100" s="2" t="s">
        <v>11</v>
      </c>
      <c r="B100" s="17">
        <f>ROUND(VLOOKUP(B$87&amp;"_1",管理者用人口入力シート!A:X,D100,FALSE),0)</f>
        <v>6</v>
      </c>
      <c r="C100" s="17">
        <f>ROUND(VLOOKUP(B$87&amp;"_2",管理者用人口入力シート!A:X,D100,FALSE),0)</f>
        <v>2</v>
      </c>
      <c r="D100" s="2">
        <v>15</v>
      </c>
      <c r="G100" s="2" t="s">
        <v>7</v>
      </c>
      <c r="H100" s="17">
        <f>ROUND(VLOOKUP(H$91&amp;"_1",管理者用人口入力シート!BH:CE,J100,FALSE),0)</f>
        <v>1</v>
      </c>
      <c r="I100" s="17">
        <f>ROUND(VLOOKUP(H$91&amp;"_2",管理者用人口入力シート!BH:CE,J100,FALSE),0)</f>
        <v>2</v>
      </c>
      <c r="J100" s="2">
        <v>11</v>
      </c>
      <c r="K100" s="12"/>
      <c r="N100" s="2" t="s">
        <v>7</v>
      </c>
      <c r="O100" s="17">
        <f>ROUND(VLOOKUP(O$91&amp;"_1",管理者用人口入力シート!CO:DL,Q100,FALSE),0)</f>
        <v>1</v>
      </c>
      <c r="P100" s="17">
        <f>ROUND(VLOOKUP(O$91&amp;"_2",管理者用人口入力シート!CO:DL,Q100,FALSE),0)</f>
        <v>2</v>
      </c>
      <c r="Q100" s="2">
        <v>11</v>
      </c>
      <c r="T100" s="85"/>
    </row>
    <row r="101" spans="1:20" x14ac:dyDescent="0.15">
      <c r="A101" s="2" t="s">
        <v>12</v>
      </c>
      <c r="B101" s="17">
        <f>ROUND(VLOOKUP(B$87&amp;"_1",管理者用人口入力シート!A:X,D101,FALSE),0)</f>
        <v>7</v>
      </c>
      <c r="C101" s="17">
        <f>ROUND(VLOOKUP(B$87&amp;"_2",管理者用人口入力シート!A:X,D101,FALSE),0)</f>
        <v>7</v>
      </c>
      <c r="D101" s="2">
        <v>16</v>
      </c>
      <c r="G101" s="2" t="s">
        <v>8</v>
      </c>
      <c r="H101" s="17">
        <f>ROUND(VLOOKUP(H$91&amp;"_1",管理者用人口入力シート!BH:CE,J101,FALSE),0)</f>
        <v>4</v>
      </c>
      <c r="I101" s="17">
        <f>ROUND(VLOOKUP(H$91&amp;"_2",管理者用人口入力シート!BH:CE,J101,FALSE),0)</f>
        <v>1</v>
      </c>
      <c r="J101" s="2">
        <v>12</v>
      </c>
      <c r="K101" s="12"/>
      <c r="N101" s="2" t="s">
        <v>8</v>
      </c>
      <c r="O101" s="17">
        <f>ROUND(VLOOKUP(O$91&amp;"_1",管理者用人口入力シート!CO:DL,Q101,FALSE),0)</f>
        <v>4</v>
      </c>
      <c r="P101" s="17">
        <f>ROUND(VLOOKUP(O$91&amp;"_2",管理者用人口入力シート!CO:DL,Q101,FALSE),0)</f>
        <v>2</v>
      </c>
      <c r="Q101" s="2">
        <v>12</v>
      </c>
      <c r="T101" s="85"/>
    </row>
    <row r="102" spans="1:20" x14ac:dyDescent="0.15">
      <c r="A102" s="2" t="s">
        <v>13</v>
      </c>
      <c r="B102" s="17">
        <f>ROUND(VLOOKUP(B$87&amp;"_1",管理者用人口入力シート!A:X,D102,FALSE),0)</f>
        <v>5</v>
      </c>
      <c r="C102" s="17">
        <f>ROUND(VLOOKUP(B$87&amp;"_2",管理者用人口入力シート!A:X,D102,FALSE),0)</f>
        <v>1</v>
      </c>
      <c r="D102" s="2">
        <v>17</v>
      </c>
      <c r="G102" s="2" t="s">
        <v>9</v>
      </c>
      <c r="H102" s="17">
        <f>ROUND(VLOOKUP(H$91&amp;"_1",管理者用人口入力シート!BH:CE,J102,FALSE),0)</f>
        <v>4</v>
      </c>
      <c r="I102" s="17">
        <f>ROUND(VLOOKUP(H$91&amp;"_2",管理者用人口入力シート!BH:CE,J102,FALSE),0)</f>
        <v>3</v>
      </c>
      <c r="J102" s="2">
        <v>13</v>
      </c>
      <c r="K102" s="12"/>
      <c r="N102" s="2" t="s">
        <v>9</v>
      </c>
      <c r="O102" s="17">
        <f>ROUND(VLOOKUP(O$91&amp;"_1",管理者用人口入力シート!CO:DL,Q102,FALSE),0)</f>
        <v>4</v>
      </c>
      <c r="P102" s="17">
        <f>ROUND(VLOOKUP(O$91&amp;"_2",管理者用人口入力シート!CO:DL,Q102,FALSE),0)</f>
        <v>5</v>
      </c>
      <c r="Q102" s="2">
        <v>13</v>
      </c>
      <c r="T102" s="85"/>
    </row>
    <row r="103" spans="1:20" x14ac:dyDescent="0.15">
      <c r="A103" s="2" t="s">
        <v>14</v>
      </c>
      <c r="B103" s="17">
        <f>ROUND(VLOOKUP(B$87&amp;"_1",管理者用人口入力シート!A:X,D103,FALSE),0)</f>
        <v>3</v>
      </c>
      <c r="C103" s="17">
        <f>ROUND(VLOOKUP(B$87&amp;"_2",管理者用人口入力シート!A:X,D103,FALSE),0)</f>
        <v>4</v>
      </c>
      <c r="D103" s="2">
        <v>18</v>
      </c>
      <c r="G103" s="2" t="s">
        <v>10</v>
      </c>
      <c r="H103" s="17">
        <f>ROUND(VLOOKUP(H$91&amp;"_1",管理者用人口入力シート!BH:CE,J103,FALSE),0)</f>
        <v>7</v>
      </c>
      <c r="I103" s="17">
        <f>ROUND(VLOOKUP(H$91&amp;"_2",管理者用人口入力シート!BH:CE,J103,FALSE),0)</f>
        <v>2</v>
      </c>
      <c r="J103" s="2">
        <v>14</v>
      </c>
      <c r="K103" s="12"/>
      <c r="N103" s="2" t="s">
        <v>10</v>
      </c>
      <c r="O103" s="17">
        <f>ROUND(VLOOKUP(O$91&amp;"_1",管理者用人口入力シート!CO:DL,Q103,FALSE),0)</f>
        <v>7</v>
      </c>
      <c r="P103" s="17">
        <f>ROUND(VLOOKUP(O$91&amp;"_2",管理者用人口入力シート!CO:DL,Q103,FALSE),0)</f>
        <v>2</v>
      </c>
      <c r="Q103" s="2">
        <v>14</v>
      </c>
      <c r="T103" s="85"/>
    </row>
    <row r="104" spans="1:20" x14ac:dyDescent="0.15">
      <c r="A104" s="2" t="s">
        <v>15</v>
      </c>
      <c r="B104" s="17">
        <f>ROUND(VLOOKUP(B$87&amp;"_1",管理者用人口入力シート!A:X,D104,FALSE),0)</f>
        <v>2</v>
      </c>
      <c r="C104" s="17">
        <f>ROUND(VLOOKUP(B$87&amp;"_2",管理者用人口入力シート!A:X,D104,FALSE),0)</f>
        <v>1</v>
      </c>
      <c r="D104" s="2">
        <v>19</v>
      </c>
      <c r="G104" s="2" t="s">
        <v>11</v>
      </c>
      <c r="H104" s="17">
        <f>ROUND(VLOOKUP(H$91&amp;"_1",管理者用人口入力シート!BH:CE,J104,FALSE),0)</f>
        <v>0</v>
      </c>
      <c r="I104" s="17">
        <f>ROUND(VLOOKUP(H$91&amp;"_2",管理者用人口入力シート!BH:CE,J104,FALSE),0)</f>
        <v>1</v>
      </c>
      <c r="J104" s="2">
        <v>15</v>
      </c>
      <c r="K104" s="12"/>
      <c r="N104" s="2" t="s">
        <v>11</v>
      </c>
      <c r="O104" s="17">
        <f>ROUND(VLOOKUP(O$91&amp;"_1",管理者用人口入力シート!CO:DL,Q104,FALSE),0)</f>
        <v>0</v>
      </c>
      <c r="P104" s="17">
        <f>ROUND(VLOOKUP(O$91&amp;"_2",管理者用人口入力シート!CO:DL,Q104,FALSE),0)</f>
        <v>1</v>
      </c>
      <c r="Q104" s="2">
        <v>15</v>
      </c>
      <c r="T104" s="85"/>
    </row>
    <row r="105" spans="1:20" x14ac:dyDescent="0.15">
      <c r="A105" s="2" t="s">
        <v>16</v>
      </c>
      <c r="B105" s="17">
        <f>ROUND(VLOOKUP(B$87&amp;"_1",管理者用人口入力シート!A:X,D105,FALSE),0)</f>
        <v>2</v>
      </c>
      <c r="C105" s="17">
        <f>ROUND(VLOOKUP(B$87&amp;"_2",管理者用人口入力シート!A:X,D105,FALSE),0)</f>
        <v>8</v>
      </c>
      <c r="D105" s="2">
        <v>20</v>
      </c>
      <c r="G105" s="2" t="s">
        <v>12</v>
      </c>
      <c r="H105" s="17">
        <f>ROUND(VLOOKUP(H$91&amp;"_1",管理者用人口入力シート!BH:CE,J105,FALSE),0)</f>
        <v>2</v>
      </c>
      <c r="I105" s="17">
        <f>ROUND(VLOOKUP(H$91&amp;"_2",管理者用人口入力シート!BH:CE,J105,FALSE),0)</f>
        <v>4</v>
      </c>
      <c r="J105" s="2">
        <v>16</v>
      </c>
      <c r="K105" s="12"/>
      <c r="N105" s="2" t="s">
        <v>12</v>
      </c>
      <c r="O105" s="17">
        <f>ROUND(VLOOKUP(O$91&amp;"_1",管理者用人口入力シート!CO:DL,Q105,FALSE),0)</f>
        <v>2</v>
      </c>
      <c r="P105" s="17">
        <f>ROUND(VLOOKUP(O$91&amp;"_2",管理者用人口入力シート!CO:DL,Q105,FALSE),0)</f>
        <v>4</v>
      </c>
      <c r="Q105" s="2">
        <v>16</v>
      </c>
      <c r="T105" s="85"/>
    </row>
    <row r="106" spans="1:20" x14ac:dyDescent="0.15">
      <c r="A106" s="2" t="s">
        <v>17</v>
      </c>
      <c r="B106" s="17">
        <f>ROUND(VLOOKUP(B$87&amp;"_1",管理者用人口入力シート!A:X,D106,FALSE),0)</f>
        <v>5</v>
      </c>
      <c r="C106" s="17">
        <f>ROUND(VLOOKUP(B$87&amp;"_2",管理者用人口入力シート!A:X,D106,FALSE),0)</f>
        <v>5</v>
      </c>
      <c r="D106" s="2">
        <v>21</v>
      </c>
      <c r="G106" s="2" t="s">
        <v>13</v>
      </c>
      <c r="H106" s="17">
        <f>ROUND(VLOOKUP(H$91&amp;"_1",管理者用人口入力シート!BH:CE,J106,FALSE),0)</f>
        <v>5</v>
      </c>
      <c r="I106" s="17">
        <f>ROUND(VLOOKUP(H$91&amp;"_2",管理者用人口入力シート!BH:CE,J106,FALSE),0)</f>
        <v>2</v>
      </c>
      <c r="J106" s="2">
        <v>17</v>
      </c>
      <c r="K106" s="12"/>
      <c r="N106" s="2" t="s">
        <v>13</v>
      </c>
      <c r="O106" s="17">
        <f>ROUND(VLOOKUP(O$91&amp;"_1",管理者用人口入力シート!CO:DL,Q106,FALSE),0)</f>
        <v>5</v>
      </c>
      <c r="P106" s="17">
        <f>ROUND(VLOOKUP(O$91&amp;"_2",管理者用人口入力シート!CO:DL,Q106,FALSE),0)</f>
        <v>2</v>
      </c>
      <c r="Q106" s="2">
        <v>17</v>
      </c>
      <c r="T106" s="85"/>
    </row>
    <row r="107" spans="1:20" x14ac:dyDescent="0.15">
      <c r="A107" s="2" t="s">
        <v>18</v>
      </c>
      <c r="B107" s="17">
        <f>ROUND(VLOOKUP(B$87&amp;"_1",管理者用人口入力シート!A:X,D107,FALSE),0)</f>
        <v>2</v>
      </c>
      <c r="C107" s="17">
        <f>ROUND(VLOOKUP(B$87&amp;"_2",管理者用人口入力シート!A:X,D107,FALSE),0)</f>
        <v>2</v>
      </c>
      <c r="D107" s="2">
        <v>22</v>
      </c>
      <c r="G107" s="2" t="s">
        <v>14</v>
      </c>
      <c r="H107" s="17">
        <f>ROUND(VLOOKUP(H$91&amp;"_1",管理者用人口入力シート!BH:CE,J107,FALSE),0)</f>
        <v>6</v>
      </c>
      <c r="I107" s="17">
        <f>ROUND(VLOOKUP(H$91&amp;"_2",管理者用人口入力シート!BH:CE,J107,FALSE),0)</f>
        <v>7</v>
      </c>
      <c r="J107" s="2">
        <v>18</v>
      </c>
      <c r="K107" s="12"/>
      <c r="N107" s="2" t="s">
        <v>14</v>
      </c>
      <c r="O107" s="17">
        <f>ROUND(VLOOKUP(O$91&amp;"_1",管理者用人口入力シート!CO:DL,Q107,FALSE),0)</f>
        <v>6</v>
      </c>
      <c r="P107" s="17">
        <f>ROUND(VLOOKUP(O$91&amp;"_2",管理者用人口入力シート!CO:DL,Q107,FALSE),0)</f>
        <v>7</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4</v>
      </c>
      <c r="I108" s="17">
        <f>ROUND(VLOOKUP(H$91&amp;"_2",管理者用人口入力シート!BH:CE,J108,FALSE),0)</f>
        <v>1</v>
      </c>
      <c r="J108" s="2">
        <v>19</v>
      </c>
      <c r="K108" s="12"/>
      <c r="N108" s="2" t="s">
        <v>15</v>
      </c>
      <c r="O108" s="17">
        <f>ROUND(VLOOKUP(O$91&amp;"_1",管理者用人口入力シート!CO:DL,Q108,FALSE),0)</f>
        <v>4</v>
      </c>
      <c r="P108" s="17">
        <f>ROUND(VLOOKUP(O$91&amp;"_2",管理者用人口入力シート!CO:DL,Q108,FALSE),0)</f>
        <v>1</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v>
      </c>
      <c r="I109" s="17">
        <f>ROUND(VLOOKUP(H$91&amp;"_2",管理者用人口入力シート!BH:CE,J109,FALSE),0)</f>
        <v>3</v>
      </c>
      <c r="J109" s="2">
        <v>20</v>
      </c>
      <c r="K109" s="12"/>
      <c r="N109" s="2" t="s">
        <v>16</v>
      </c>
      <c r="O109" s="17">
        <f>ROUND(VLOOKUP(O$91&amp;"_1",管理者用人口入力シート!CO:DL,Q109,FALSE),0)</f>
        <v>2</v>
      </c>
      <c r="P109" s="17">
        <f>ROUND(VLOOKUP(O$91&amp;"_2",管理者用人口入力シート!CO:DL,Q109,FALSE),0)</f>
        <v>3</v>
      </c>
      <c r="Q109" s="2">
        <v>20</v>
      </c>
      <c r="T109" s="85"/>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5"/>
    </row>
    <row r="111" spans="1:20" x14ac:dyDescent="0.15">
      <c r="G111" s="2" t="s">
        <v>18</v>
      </c>
      <c r="H111" s="17">
        <f>ROUND(VLOOKUP(H$91&amp;"_1",管理者用人口入力シート!BH:CE,J111,FALSE),0)</f>
        <v>1</v>
      </c>
      <c r="I111" s="17">
        <f>ROUND(VLOOKUP(H$91&amp;"_2",管理者用人口入力シート!BH:CE,J111,FALSE),0)</f>
        <v>2</v>
      </c>
      <c r="J111" s="2">
        <v>22</v>
      </c>
      <c r="K111" s="12"/>
      <c r="N111" s="2" t="s">
        <v>18</v>
      </c>
      <c r="O111" s="17">
        <f>ROUND(VLOOKUP(O$91&amp;"_1",管理者用人口入力シート!CO:DL,Q111,FALSE),0)</f>
        <v>1</v>
      </c>
      <c r="P111" s="17">
        <f>ROUND(VLOOKUP(O$91&amp;"_2",管理者用人口入力シート!CO:DL,Q111,FALSE),0)</f>
        <v>2</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2</v>
      </c>
      <c r="J117" s="2">
        <v>4</v>
      </c>
      <c r="N117" s="2" t="s">
        <v>0</v>
      </c>
      <c r="O117" s="17">
        <f>ROUND(VLOOKUP(O$115&amp;"_1",管理者用人口入力シート!CO:DL,Q117,FALSE),0)</f>
        <v>3</v>
      </c>
      <c r="P117" s="17">
        <f>ROUND(VLOOKUP(O$115&amp;"_2",管理者用人口入力シート!CO:DL,Q117,FALSE),0)</f>
        <v>5</v>
      </c>
      <c r="Q117" s="2">
        <v>4</v>
      </c>
      <c r="T117" s="85"/>
    </row>
    <row r="118" spans="7:20" x14ac:dyDescent="0.15">
      <c r="G118" s="2" t="s">
        <v>1</v>
      </c>
      <c r="H118" s="17">
        <f>ROUND(VLOOKUP(H$115&amp;"_1",管理者用人口入力シート!BH:CE,J118,FALSE),0)</f>
        <v>1</v>
      </c>
      <c r="I118" s="17">
        <f>ROUND(VLOOKUP(H$115&amp;"_2",管理者用人口入力シート!BH:CE,J118,FALSE),0)</f>
        <v>3</v>
      </c>
      <c r="J118" s="2">
        <v>5</v>
      </c>
      <c r="N118" s="2" t="s">
        <v>1</v>
      </c>
      <c r="O118" s="17">
        <f>ROUND(VLOOKUP(O$115&amp;"_1",管理者用人口入力シート!CO:DL,Q118,FALSE),0)</f>
        <v>3</v>
      </c>
      <c r="P118" s="17">
        <f>ROUND(VLOOKUP(O$115&amp;"_2",管理者用人口入力シート!CO:DL,Q118,FALSE),0)</f>
        <v>7</v>
      </c>
      <c r="Q118" s="2">
        <v>5</v>
      </c>
      <c r="T118" s="85"/>
    </row>
    <row r="119" spans="7:20" x14ac:dyDescent="0.15">
      <c r="G119" s="2" t="s">
        <v>2</v>
      </c>
      <c r="H119" s="17">
        <f>ROUND(VLOOKUP(H$115&amp;"_1",管理者用人口入力シート!BH:CE,J119,FALSE),0)</f>
        <v>0</v>
      </c>
      <c r="I119" s="17">
        <f>ROUND(VLOOKUP(H$115&amp;"_2",管理者用人口入力シート!BH:CE,J119,FALSE),0)</f>
        <v>1</v>
      </c>
      <c r="J119" s="2">
        <v>6</v>
      </c>
      <c r="N119" s="2" t="s">
        <v>2</v>
      </c>
      <c r="O119" s="17">
        <f>ROUND(VLOOKUP(O$115&amp;"_1",管理者用人口入力シート!CO:DL,Q119,FALSE),0)</f>
        <v>2</v>
      </c>
      <c r="P119" s="17">
        <f>ROUND(VLOOKUP(O$115&amp;"_2",管理者用人口入力シート!CO:DL,Q119,FALSE),0)</f>
        <v>3</v>
      </c>
      <c r="Q119" s="2">
        <v>6</v>
      </c>
      <c r="T119" s="85"/>
    </row>
    <row r="120" spans="7:20" x14ac:dyDescent="0.15">
      <c r="G120" s="2" t="s">
        <v>3</v>
      </c>
      <c r="H120" s="17">
        <f>ROUND(VLOOKUP(H$115&amp;"_1",管理者用人口入力シート!BH:CE,J120,FALSE),0)</f>
        <v>1</v>
      </c>
      <c r="I120" s="17">
        <f>ROUND(VLOOKUP(H$115&amp;"_2",管理者用人口入力シート!BH:CE,J120,FALSE),0)</f>
        <v>2</v>
      </c>
      <c r="J120" s="2">
        <v>7</v>
      </c>
      <c r="N120" s="2" t="s">
        <v>3</v>
      </c>
      <c r="O120" s="17">
        <f>ROUND(VLOOKUP(O$115&amp;"_1",管理者用人口入力シート!CO:DL,Q120,FALSE),0)</f>
        <v>2</v>
      </c>
      <c r="P120" s="17">
        <f>ROUND(VLOOKUP(O$115&amp;"_2",管理者用人口入力シート!CO:DL,Q120,FALSE),0)</f>
        <v>3</v>
      </c>
      <c r="Q120" s="2">
        <v>7</v>
      </c>
      <c r="T120" s="85"/>
    </row>
    <row r="121" spans="7:20" x14ac:dyDescent="0.15">
      <c r="G121" s="2" t="s">
        <v>4</v>
      </c>
      <c r="H121" s="17">
        <f>ROUND(VLOOKUP(H$115&amp;"_1",管理者用人口入力シート!BH:CE,J121,FALSE),0)</f>
        <v>3</v>
      </c>
      <c r="I121" s="17">
        <f>ROUND(VLOOKUP(H$115&amp;"_2",管理者用人口入力シート!BH:CE,J121,FALSE),0)</f>
        <v>2</v>
      </c>
      <c r="J121" s="2">
        <v>8</v>
      </c>
      <c r="N121" s="2" t="s">
        <v>4</v>
      </c>
      <c r="O121" s="17">
        <f>ROUND(VLOOKUP(O$115&amp;"_1",管理者用人口入力シート!CO:DL,Q121,FALSE),0)</f>
        <v>4</v>
      </c>
      <c r="P121" s="17">
        <f>ROUND(VLOOKUP(O$115&amp;"_2",管理者用人口入力シート!CO:DL,Q121,FALSE),0)</f>
        <v>3</v>
      </c>
      <c r="Q121" s="2">
        <v>8</v>
      </c>
      <c r="T121" s="85"/>
    </row>
    <row r="122" spans="7:20" x14ac:dyDescent="0.15">
      <c r="G122" s="2" t="s">
        <v>5</v>
      </c>
      <c r="H122" s="17">
        <f>ROUND(VLOOKUP(H$115&amp;"_1",管理者用人口入力シート!BH:CE,J122,FALSE),0)</f>
        <v>3</v>
      </c>
      <c r="I122" s="17">
        <f>ROUND(VLOOKUP(H$115&amp;"_2",管理者用人口入力シート!BH:CE,J122,FALSE),0)</f>
        <v>4</v>
      </c>
      <c r="J122" s="2">
        <v>9</v>
      </c>
      <c r="N122" s="2" t="s">
        <v>5</v>
      </c>
      <c r="O122" s="17">
        <f>ROUND(VLOOKUP(O$115&amp;"_1",管理者用人口入力シート!CO:DL,Q122,FALSE),0)</f>
        <v>5</v>
      </c>
      <c r="P122" s="17">
        <f>ROUND(VLOOKUP(O$115&amp;"_2",管理者用人口入力シート!CO:DL,Q122,FALSE),0)</f>
        <v>6</v>
      </c>
      <c r="Q122" s="2">
        <v>9</v>
      </c>
      <c r="T122" s="85"/>
    </row>
    <row r="123" spans="7:20" x14ac:dyDescent="0.15">
      <c r="G123" s="2" t="s">
        <v>6</v>
      </c>
      <c r="H123" s="17">
        <f>ROUND(VLOOKUP(H$115&amp;"_1",管理者用人口入力シート!BH:CE,J123,FALSE),0)</f>
        <v>1</v>
      </c>
      <c r="I123" s="17">
        <f>ROUND(VLOOKUP(H$115&amp;"_2",管理者用人口入力シート!BH:CE,J123,FALSE),0)</f>
        <v>0</v>
      </c>
      <c r="J123" s="2">
        <v>10</v>
      </c>
      <c r="N123" s="2" t="s">
        <v>6</v>
      </c>
      <c r="O123" s="17">
        <f>ROUND(VLOOKUP(O$115&amp;"_1",管理者用人口入力シート!CO:DL,Q123,FALSE),0)</f>
        <v>3</v>
      </c>
      <c r="P123" s="17">
        <f>ROUND(VLOOKUP(O$115&amp;"_2",管理者用人口入力シート!CO:DL,Q123,FALSE),0)</f>
        <v>2</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2</v>
      </c>
      <c r="Q124" s="2">
        <v>11</v>
      </c>
      <c r="T124" s="85"/>
    </row>
    <row r="125" spans="7:20" x14ac:dyDescent="0.15">
      <c r="G125" s="2" t="s">
        <v>8</v>
      </c>
      <c r="H125" s="17">
        <f>ROUND(VLOOKUP(H$115&amp;"_1",管理者用人口入力シート!BH:CE,J125,FALSE),0)</f>
        <v>1</v>
      </c>
      <c r="I125" s="17">
        <f>ROUND(VLOOKUP(H$115&amp;"_2",管理者用人口入力シート!BH:CE,J125,FALSE),0)</f>
        <v>2</v>
      </c>
      <c r="J125" s="2">
        <v>12</v>
      </c>
      <c r="N125" s="2" t="s">
        <v>8</v>
      </c>
      <c r="O125" s="17">
        <f>ROUND(VLOOKUP(O$115&amp;"_1",管理者用人口入力シート!CO:DL,Q125,FALSE),0)</f>
        <v>1</v>
      </c>
      <c r="P125" s="17">
        <f>ROUND(VLOOKUP(O$115&amp;"_2",管理者用人口入力シート!CO:DL,Q125,FALSE),0)</f>
        <v>3</v>
      </c>
      <c r="Q125" s="2">
        <v>12</v>
      </c>
      <c r="T125" s="85"/>
    </row>
    <row r="126" spans="7:20" x14ac:dyDescent="0.15">
      <c r="G126" s="2" t="s">
        <v>9</v>
      </c>
      <c r="H126" s="17">
        <f>ROUND(VLOOKUP(H$115&amp;"_1",管理者用人口入力シート!BH:CE,J126,FALSE),0)</f>
        <v>5</v>
      </c>
      <c r="I126" s="17">
        <f>ROUND(VLOOKUP(H$115&amp;"_2",管理者用人口入力シート!BH:CE,J126,FALSE),0)</f>
        <v>1</v>
      </c>
      <c r="J126" s="2">
        <v>13</v>
      </c>
      <c r="N126" s="2" t="s">
        <v>9</v>
      </c>
      <c r="O126" s="17">
        <f>ROUND(VLOOKUP(O$115&amp;"_1",管理者用人口入力シート!CO:DL,Q126,FALSE),0)</f>
        <v>5</v>
      </c>
      <c r="P126" s="17">
        <f>ROUND(VLOOKUP(O$115&amp;"_2",管理者用人口入力シート!CO:DL,Q126,FALSE),0)</f>
        <v>2</v>
      </c>
      <c r="Q126" s="2">
        <v>13</v>
      </c>
      <c r="T126" s="85"/>
    </row>
    <row r="127" spans="7:20" x14ac:dyDescent="0.15">
      <c r="G127" s="2" t="s">
        <v>10</v>
      </c>
      <c r="H127" s="17">
        <f>ROUND(VLOOKUP(H$115&amp;"_1",管理者用人口入力シート!BH:CE,J127,FALSE),0)</f>
        <v>4</v>
      </c>
      <c r="I127" s="17">
        <f>ROUND(VLOOKUP(H$115&amp;"_2",管理者用人口入力シート!BH:CE,J127,FALSE),0)</f>
        <v>3</v>
      </c>
      <c r="J127" s="2">
        <v>14</v>
      </c>
      <c r="N127" s="2" t="s">
        <v>10</v>
      </c>
      <c r="O127" s="17">
        <f>ROUND(VLOOKUP(O$115&amp;"_1",管理者用人口入力シート!CO:DL,Q127,FALSE),0)</f>
        <v>4</v>
      </c>
      <c r="P127" s="17">
        <f>ROUND(VLOOKUP(O$115&amp;"_2",管理者用人口入力シート!CO:DL,Q127,FALSE),0)</f>
        <v>5</v>
      </c>
      <c r="Q127" s="2">
        <v>14</v>
      </c>
      <c r="T127" s="85"/>
    </row>
    <row r="128" spans="7:20" x14ac:dyDescent="0.15">
      <c r="G128" s="2" t="s">
        <v>11</v>
      </c>
      <c r="H128" s="17">
        <f>ROUND(VLOOKUP(H$115&amp;"_1",管理者用人口入力シート!BH:CE,J128,FALSE),0)</f>
        <v>7</v>
      </c>
      <c r="I128" s="17">
        <f>ROUND(VLOOKUP(H$115&amp;"_2",管理者用人口入力シート!BH:CE,J128,FALSE),0)</f>
        <v>2</v>
      </c>
      <c r="J128" s="2">
        <v>15</v>
      </c>
      <c r="N128" s="2" t="s">
        <v>11</v>
      </c>
      <c r="O128" s="17">
        <f>ROUND(VLOOKUP(O$115&amp;"_1",管理者用人口入力シート!CO:DL,Q128,FALSE),0)</f>
        <v>7</v>
      </c>
      <c r="P128" s="17">
        <f>ROUND(VLOOKUP(O$115&amp;"_2",管理者用人口入力シート!CO:DL,Q128,FALSE),0)</f>
        <v>2</v>
      </c>
      <c r="Q128" s="2">
        <v>15</v>
      </c>
      <c r="T128" s="85"/>
    </row>
    <row r="129" spans="7:20" x14ac:dyDescent="0.15">
      <c r="G129" s="2" t="s">
        <v>12</v>
      </c>
      <c r="H129" s="17">
        <f>ROUND(VLOOKUP(H$115&amp;"_1",管理者用人口入力シート!BH:CE,J129,FALSE),0)</f>
        <v>0</v>
      </c>
      <c r="I129" s="17">
        <f>ROUND(VLOOKUP(H$115&amp;"_2",管理者用人口入力シート!BH:CE,J129,FALSE),0)</f>
        <v>1</v>
      </c>
      <c r="J129" s="2">
        <v>16</v>
      </c>
      <c r="N129" s="2" t="s">
        <v>12</v>
      </c>
      <c r="O129" s="17">
        <f>ROUND(VLOOKUP(O$115&amp;"_1",管理者用人口入力シート!CO:DL,Q129,FALSE),0)</f>
        <v>0</v>
      </c>
      <c r="P129" s="17">
        <f>ROUND(VLOOKUP(O$115&amp;"_2",管理者用人口入力シート!CO:DL,Q129,FALSE),0)</f>
        <v>1</v>
      </c>
      <c r="Q129" s="2">
        <v>16</v>
      </c>
      <c r="T129" s="85"/>
    </row>
    <row r="130" spans="7:20" x14ac:dyDescent="0.15">
      <c r="G130" s="2" t="s">
        <v>13</v>
      </c>
      <c r="H130" s="17">
        <f>ROUND(VLOOKUP(H$115&amp;"_1",管理者用人口入力シート!BH:CE,J130,FALSE),0)</f>
        <v>2</v>
      </c>
      <c r="I130" s="17">
        <f>ROUND(VLOOKUP(H$115&amp;"_2",管理者用人口入力シート!BH:CE,J130,FALSE),0)</f>
        <v>4</v>
      </c>
      <c r="J130" s="2">
        <v>17</v>
      </c>
      <c r="N130" s="2" t="s">
        <v>13</v>
      </c>
      <c r="O130" s="17">
        <f>ROUND(VLOOKUP(O$115&amp;"_1",管理者用人口入力シート!CO:DL,Q130,FALSE),0)</f>
        <v>2</v>
      </c>
      <c r="P130" s="17">
        <f>ROUND(VLOOKUP(O$115&amp;"_2",管理者用人口入力シート!CO:DL,Q130,FALSE),0)</f>
        <v>4</v>
      </c>
      <c r="Q130" s="2">
        <v>17</v>
      </c>
      <c r="T130" s="85"/>
    </row>
    <row r="131" spans="7:20" x14ac:dyDescent="0.15">
      <c r="G131" s="2" t="s">
        <v>14</v>
      </c>
      <c r="H131" s="17">
        <f>ROUND(VLOOKUP(H$115&amp;"_1",管理者用人口入力シート!BH:CE,J131,FALSE),0)</f>
        <v>5</v>
      </c>
      <c r="I131" s="17">
        <f>ROUND(VLOOKUP(H$115&amp;"_2",管理者用人口入力シート!BH:CE,J131,FALSE),0)</f>
        <v>2</v>
      </c>
      <c r="J131" s="2">
        <v>18</v>
      </c>
      <c r="N131" s="2" t="s">
        <v>14</v>
      </c>
      <c r="O131" s="17">
        <f>ROUND(VLOOKUP(O$115&amp;"_1",管理者用人口入力シート!CO:DL,Q131,FALSE),0)</f>
        <v>5</v>
      </c>
      <c r="P131" s="17">
        <f>ROUND(VLOOKUP(O$115&amp;"_2",管理者用人口入力シート!CO:DL,Q131,FALSE),0)</f>
        <v>2</v>
      </c>
      <c r="Q131" s="2">
        <v>18</v>
      </c>
      <c r="T131" s="85"/>
    </row>
    <row r="132" spans="7:20" x14ac:dyDescent="0.15">
      <c r="G132" s="2" t="s">
        <v>15</v>
      </c>
      <c r="H132" s="17">
        <f>ROUND(VLOOKUP(H$115&amp;"_1",管理者用人口入力シート!BH:CE,J132,FALSE),0)</f>
        <v>5</v>
      </c>
      <c r="I132" s="17">
        <f>ROUND(VLOOKUP(H$115&amp;"_2",管理者用人口入力シート!BH:CE,J132,FALSE),0)</f>
        <v>7</v>
      </c>
      <c r="J132" s="2">
        <v>19</v>
      </c>
      <c r="N132" s="2" t="s">
        <v>15</v>
      </c>
      <c r="O132" s="17">
        <f>ROUND(VLOOKUP(O$115&amp;"_1",管理者用人口入力シート!CO:DL,Q132,FALSE),0)</f>
        <v>5</v>
      </c>
      <c r="P132" s="17">
        <f>ROUND(VLOOKUP(O$115&amp;"_2",管理者用人口入力シート!CO:DL,Q132,FALSE),0)</f>
        <v>7</v>
      </c>
      <c r="Q132" s="2">
        <v>19</v>
      </c>
      <c r="T132" s="85"/>
    </row>
    <row r="133" spans="7:20" x14ac:dyDescent="0.15">
      <c r="G133" s="2" t="s">
        <v>16</v>
      </c>
      <c r="H133" s="17">
        <f>ROUND(VLOOKUP(H$115&amp;"_1",管理者用人口入力シート!BH:CE,J133,FALSE),0)</f>
        <v>3</v>
      </c>
      <c r="I133" s="17">
        <f>ROUND(VLOOKUP(H$115&amp;"_2",管理者用人口入力シート!BH:CE,J133,FALSE),0)</f>
        <v>1</v>
      </c>
      <c r="J133" s="2">
        <v>20</v>
      </c>
      <c r="N133" s="2" t="s">
        <v>16</v>
      </c>
      <c r="O133" s="17">
        <f>ROUND(VLOOKUP(O$115&amp;"_1",管理者用人口入力シート!CO:DL,Q133,FALSE),0)</f>
        <v>3</v>
      </c>
      <c r="P133" s="17">
        <f>ROUND(VLOOKUP(O$115&amp;"_2",管理者用人口入力シート!CO:DL,Q133,FALSE),0)</f>
        <v>1</v>
      </c>
      <c r="Q133" s="2">
        <v>20</v>
      </c>
      <c r="T133" s="85"/>
    </row>
    <row r="134" spans="7:20" x14ac:dyDescent="0.15">
      <c r="G134" s="2" t="s">
        <v>17</v>
      </c>
      <c r="H134" s="17">
        <f>ROUND(VLOOKUP(H$115&amp;"_1",管理者用人口入力シート!BH:CE,J134,FALSE),0)</f>
        <v>2</v>
      </c>
      <c r="I134" s="17">
        <f>ROUND(VLOOKUP(H$115&amp;"_2",管理者用人口入力シート!BH:CE,J134,FALSE),0)</f>
        <v>2</v>
      </c>
      <c r="J134" s="2">
        <v>21</v>
      </c>
      <c r="N134" s="2" t="s">
        <v>17</v>
      </c>
      <c r="O134" s="17">
        <f>ROUND(VLOOKUP(O$115&amp;"_1",管理者用人口入力シート!CO:DL,Q134,FALSE),0)</f>
        <v>2</v>
      </c>
      <c r="P134" s="17">
        <f>ROUND(VLOOKUP(O$115&amp;"_2",管理者用人口入力シート!CO:DL,Q134,FALSE),0)</f>
        <v>2</v>
      </c>
      <c r="Q134" s="2">
        <v>21</v>
      </c>
      <c r="T134" s="85"/>
    </row>
    <row r="135" spans="7:20" x14ac:dyDescent="0.15">
      <c r="G135" s="2" t="s">
        <v>18</v>
      </c>
      <c r="H135" s="17">
        <f>ROUND(VLOOKUP(H$115&amp;"_1",管理者用人口入力シート!BH:CE,J135,FALSE),0)</f>
        <v>1</v>
      </c>
      <c r="I135" s="17">
        <f>ROUND(VLOOKUP(H$115&amp;"_2",管理者用人口入力シート!BH:CE,J135,FALSE),0)</f>
        <v>0</v>
      </c>
      <c r="J135" s="2">
        <v>22</v>
      </c>
      <c r="N135" s="2" t="s">
        <v>18</v>
      </c>
      <c r="O135" s="17">
        <f>ROUND(VLOOKUP(O$115&amp;"_1",管理者用人口入力シート!CO:DL,Q135,FALSE),0)</f>
        <v>1</v>
      </c>
      <c r="P135" s="17">
        <f>ROUND(VLOOKUP(O$115&amp;"_2",管理者用人口入力シート!CO:DL,Q135,FALSE),0)</f>
        <v>0</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3</v>
      </c>
      <c r="J141" s="2">
        <v>4</v>
      </c>
      <c r="N141" s="2" t="s">
        <v>0</v>
      </c>
      <c r="O141" s="17">
        <f>ROUND(VLOOKUP(O$139&amp;"_1",管理者用人口入力シート!CO:DL,Q141,FALSE),0)</f>
        <v>4</v>
      </c>
      <c r="P141" s="17">
        <f>ROUND(VLOOKUP(O$139&amp;"_2",管理者用人口入力シート!CO:DL,Q141,FALSE),0)</f>
        <v>7</v>
      </c>
      <c r="Q141" s="2">
        <v>4</v>
      </c>
    </row>
    <row r="142" spans="7:20" x14ac:dyDescent="0.15">
      <c r="G142" s="2" t="s">
        <v>1</v>
      </c>
      <c r="H142" s="17">
        <f>ROUND(VLOOKUP(H$139&amp;"_1",管理者用人口入力シート!BH:CE,J142,FALSE),0)</f>
        <v>1</v>
      </c>
      <c r="I142" s="17">
        <f>ROUND(VLOOKUP(H$139&amp;"_2",管理者用人口入力シート!BH:CE,J142,FALSE),0)</f>
        <v>3</v>
      </c>
      <c r="J142" s="2">
        <v>5</v>
      </c>
      <c r="N142" s="2" t="s">
        <v>1</v>
      </c>
      <c r="O142" s="17">
        <f>ROUND(VLOOKUP(O$139&amp;"_1",管理者用人口入力シート!CO:DL,Q142,FALSE),0)</f>
        <v>3</v>
      </c>
      <c r="P142" s="17">
        <f>ROUND(VLOOKUP(O$139&amp;"_2",管理者用人口入力シート!CO:DL,Q142,FALSE),0)</f>
        <v>9</v>
      </c>
      <c r="Q142" s="2">
        <v>5</v>
      </c>
    </row>
    <row r="143" spans="7:20" x14ac:dyDescent="0.15">
      <c r="G143" s="2" t="s">
        <v>2</v>
      </c>
      <c r="H143" s="17">
        <f>ROUND(VLOOKUP(H$139&amp;"_1",管理者用人口入力シート!BH:CE,J143,FALSE),0)</f>
        <v>1</v>
      </c>
      <c r="I143" s="17">
        <f>ROUND(VLOOKUP(H$139&amp;"_2",管理者用人口入力シート!BH:CE,J143,FALSE),0)</f>
        <v>2</v>
      </c>
      <c r="J143" s="2">
        <v>6</v>
      </c>
      <c r="N143" s="2" t="s">
        <v>2</v>
      </c>
      <c r="O143" s="17">
        <f>ROUND(VLOOKUP(O$139&amp;"_1",管理者用人口入力シート!CO:DL,Q143,FALSE),0)</f>
        <v>3</v>
      </c>
      <c r="P143" s="17">
        <f>ROUND(VLOOKUP(O$139&amp;"_2",管理者用人口入力シート!CO:DL,Q143,FALSE),0)</f>
        <v>5</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2</v>
      </c>
      <c r="P144" s="17">
        <f>ROUND(VLOOKUP(O$139&amp;"_2",管理者用人口入力シート!CO:DL,Q144,FALSE),0)</f>
        <v>3</v>
      </c>
      <c r="Q144" s="2">
        <v>7</v>
      </c>
    </row>
    <row r="145" spans="7:17" x14ac:dyDescent="0.15">
      <c r="G145" s="2" t="s">
        <v>4</v>
      </c>
      <c r="H145" s="17">
        <f>ROUND(VLOOKUP(H$139&amp;"_1",管理者用人口入力シート!BH:CE,J145,FALSE),0)</f>
        <v>1</v>
      </c>
      <c r="I145" s="17">
        <f>ROUND(VLOOKUP(H$139&amp;"_2",管理者用人口入力シート!BH:CE,J145,FALSE),0)</f>
        <v>2</v>
      </c>
      <c r="J145" s="2">
        <v>8</v>
      </c>
      <c r="N145" s="2" t="s">
        <v>4</v>
      </c>
      <c r="O145" s="17">
        <f>ROUND(VLOOKUP(O$139&amp;"_1",管理者用人口入力シート!CO:DL,Q145,FALSE),0)</f>
        <v>2</v>
      </c>
      <c r="P145" s="17">
        <f>ROUND(VLOOKUP(O$139&amp;"_2",管理者用人口入力シート!CO:DL,Q145,FALSE),0)</f>
        <v>4</v>
      </c>
      <c r="Q145" s="2">
        <v>8</v>
      </c>
    </row>
    <row r="146" spans="7:17" x14ac:dyDescent="0.15">
      <c r="G146" s="2" t="s">
        <v>5</v>
      </c>
      <c r="H146" s="17">
        <f>ROUND(VLOOKUP(H$139&amp;"_1",管理者用人口入力シート!BH:CE,J146,FALSE),0)</f>
        <v>4</v>
      </c>
      <c r="I146" s="17">
        <f>ROUND(VLOOKUP(H$139&amp;"_2",管理者用人口入力シート!BH:CE,J146,FALSE),0)</f>
        <v>2</v>
      </c>
      <c r="J146" s="2">
        <v>9</v>
      </c>
      <c r="N146" s="2" t="s">
        <v>5</v>
      </c>
      <c r="O146" s="17">
        <f>ROUND(VLOOKUP(O$139&amp;"_1",管理者用人口入力シート!CO:DL,Q146,FALSE),0)</f>
        <v>8</v>
      </c>
      <c r="P146" s="17">
        <f>ROUND(VLOOKUP(O$139&amp;"_2",管理者用人口入力シート!CO:DL,Q146,FALSE),0)</f>
        <v>5</v>
      </c>
      <c r="Q146" s="2">
        <v>9</v>
      </c>
    </row>
    <row r="147" spans="7:17" x14ac:dyDescent="0.15">
      <c r="G147" s="2" t="s">
        <v>6</v>
      </c>
      <c r="H147" s="17">
        <f>ROUND(VLOOKUP(H$139&amp;"_1",管理者用人口入力シート!BH:CE,J147,FALSE),0)</f>
        <v>2</v>
      </c>
      <c r="I147" s="17">
        <f>ROUND(VLOOKUP(H$139&amp;"_2",管理者用人口入力シート!BH:CE,J147,FALSE),0)</f>
        <v>4</v>
      </c>
      <c r="J147" s="2">
        <v>10</v>
      </c>
      <c r="N147" s="2" t="s">
        <v>6</v>
      </c>
      <c r="O147" s="17">
        <f>ROUND(VLOOKUP(O$139&amp;"_1",管理者用人口入力シート!CO:DL,Q147,FALSE),0)</f>
        <v>4</v>
      </c>
      <c r="P147" s="17">
        <f>ROUND(VLOOKUP(O$139&amp;"_2",管理者用人口入力シート!CO:DL,Q147,FALSE),0)</f>
        <v>6</v>
      </c>
      <c r="Q147" s="2">
        <v>10</v>
      </c>
    </row>
    <row r="148" spans="7:17" x14ac:dyDescent="0.15">
      <c r="G148" s="2" t="s">
        <v>7</v>
      </c>
      <c r="H148" s="17">
        <f>ROUND(VLOOKUP(H$139&amp;"_1",管理者用人口入力シート!BH:CE,J148,FALSE),0)</f>
        <v>1</v>
      </c>
      <c r="I148" s="17">
        <f>ROUND(VLOOKUP(H$139&amp;"_2",管理者用人口入力シート!BH:CE,J148,FALSE),0)</f>
        <v>0</v>
      </c>
      <c r="J148" s="2">
        <v>11</v>
      </c>
      <c r="N148" s="2" t="s">
        <v>7</v>
      </c>
      <c r="O148" s="17">
        <f>ROUND(VLOOKUP(O$139&amp;"_1",管理者用人口入力シート!CO:DL,Q148,FALSE),0)</f>
        <v>4</v>
      </c>
      <c r="P148" s="17">
        <f>ROUND(VLOOKUP(O$139&amp;"_2",管理者用人口入力シート!CO:DL,Q148,FALSE),0)</f>
        <v>2</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2</v>
      </c>
      <c r="P149" s="17">
        <f>ROUND(VLOOKUP(O$139&amp;"_2",管理者用人口入力シート!CO:DL,Q149,FALSE),0)</f>
        <v>3</v>
      </c>
      <c r="Q149" s="2">
        <v>12</v>
      </c>
    </row>
    <row r="150" spans="7:17" x14ac:dyDescent="0.15">
      <c r="G150" s="2" t="s">
        <v>9</v>
      </c>
      <c r="H150" s="17">
        <f>ROUND(VLOOKUP(H$139&amp;"_1",管理者用人口入力シート!BH:CE,J150,FALSE),0)</f>
        <v>1</v>
      </c>
      <c r="I150" s="17">
        <f>ROUND(VLOOKUP(H$139&amp;"_2",管理者用人口入力シート!BH:CE,J150,FALSE),0)</f>
        <v>2</v>
      </c>
      <c r="J150" s="2">
        <v>13</v>
      </c>
      <c r="N150" s="2" t="s">
        <v>9</v>
      </c>
      <c r="O150" s="17">
        <f>ROUND(VLOOKUP(O$139&amp;"_1",管理者用人口入力シート!CO:DL,Q150,FALSE),0)</f>
        <v>1</v>
      </c>
      <c r="P150" s="17">
        <f>ROUND(VLOOKUP(O$139&amp;"_2",管理者用人口入力シート!CO:DL,Q150,FALSE),0)</f>
        <v>3</v>
      </c>
      <c r="Q150" s="2">
        <v>13</v>
      </c>
    </row>
    <row r="151" spans="7:17" x14ac:dyDescent="0.15">
      <c r="G151" s="2" t="s">
        <v>10</v>
      </c>
      <c r="H151" s="17">
        <f>ROUND(VLOOKUP(H$139&amp;"_1",管理者用人口入力シート!BH:CE,J151,FALSE),0)</f>
        <v>5</v>
      </c>
      <c r="I151" s="17">
        <f>ROUND(VLOOKUP(H$139&amp;"_2",管理者用人口入力シート!BH:CE,J151,FALSE),0)</f>
        <v>1</v>
      </c>
      <c r="J151" s="2">
        <v>14</v>
      </c>
      <c r="N151" s="2" t="s">
        <v>10</v>
      </c>
      <c r="O151" s="17">
        <f>ROUND(VLOOKUP(O$139&amp;"_1",管理者用人口入力シート!CO:DL,Q151,FALSE),0)</f>
        <v>5</v>
      </c>
      <c r="P151" s="17">
        <f>ROUND(VLOOKUP(O$139&amp;"_2",管理者用人口入力シート!CO:DL,Q151,FALSE),0)</f>
        <v>2</v>
      </c>
      <c r="Q151" s="2">
        <v>14</v>
      </c>
    </row>
    <row r="152" spans="7:17" x14ac:dyDescent="0.15">
      <c r="G152" s="2" t="s">
        <v>11</v>
      </c>
      <c r="H152" s="17">
        <f>ROUND(VLOOKUP(H$139&amp;"_1",管理者用人口入力シート!BH:CE,J152,FALSE),0)</f>
        <v>4</v>
      </c>
      <c r="I152" s="17">
        <f>ROUND(VLOOKUP(H$139&amp;"_2",管理者用人口入力シート!BH:CE,J152,FALSE),0)</f>
        <v>3</v>
      </c>
      <c r="J152" s="2">
        <v>15</v>
      </c>
      <c r="N152" s="2" t="s">
        <v>11</v>
      </c>
      <c r="O152" s="17">
        <f>ROUND(VLOOKUP(O$139&amp;"_1",管理者用人口入力シート!CO:DL,Q152,FALSE),0)</f>
        <v>4</v>
      </c>
      <c r="P152" s="17">
        <f>ROUND(VLOOKUP(O$139&amp;"_2",管理者用人口入力シート!CO:DL,Q152,FALSE),0)</f>
        <v>5</v>
      </c>
      <c r="Q152" s="2">
        <v>15</v>
      </c>
    </row>
    <row r="153" spans="7:17" x14ac:dyDescent="0.15">
      <c r="G153" s="2" t="s">
        <v>12</v>
      </c>
      <c r="H153" s="17">
        <f>ROUND(VLOOKUP(H$139&amp;"_1",管理者用人口入力シート!BH:CE,J153,FALSE),0)</f>
        <v>7</v>
      </c>
      <c r="I153" s="17">
        <f>ROUND(VLOOKUP(H$139&amp;"_2",管理者用人口入力シート!BH:CE,J153,FALSE),0)</f>
        <v>2</v>
      </c>
      <c r="J153" s="2">
        <v>16</v>
      </c>
      <c r="N153" s="2" t="s">
        <v>12</v>
      </c>
      <c r="O153" s="17">
        <f>ROUND(VLOOKUP(O$139&amp;"_1",管理者用人口入力シート!CO:DL,Q153,FALSE),0)</f>
        <v>7</v>
      </c>
      <c r="P153" s="17">
        <f>ROUND(VLOOKUP(O$139&amp;"_2",管理者用人口入力シート!CO:DL,Q153,FALSE),0)</f>
        <v>2</v>
      </c>
      <c r="Q153" s="2">
        <v>16</v>
      </c>
    </row>
    <row r="154" spans="7:17" x14ac:dyDescent="0.15">
      <c r="G154" s="2" t="s">
        <v>13</v>
      </c>
      <c r="H154" s="17">
        <f>ROUND(VLOOKUP(H$139&amp;"_1",管理者用人口入力シート!BH:CE,J154,FALSE),0)</f>
        <v>0</v>
      </c>
      <c r="I154" s="17">
        <f>ROUND(VLOOKUP(H$139&amp;"_2",管理者用人口入力シート!BH:CE,J154,FALSE),0)</f>
        <v>1</v>
      </c>
      <c r="J154" s="2">
        <v>17</v>
      </c>
      <c r="N154" s="2" t="s">
        <v>13</v>
      </c>
      <c r="O154" s="17">
        <f>ROUND(VLOOKUP(O$139&amp;"_1",管理者用人口入力シート!CO:DL,Q154,FALSE),0)</f>
        <v>0</v>
      </c>
      <c r="P154" s="17">
        <f>ROUND(VLOOKUP(O$139&amp;"_2",管理者用人口入力シート!CO:DL,Q154,FALSE),0)</f>
        <v>1</v>
      </c>
      <c r="Q154" s="2">
        <v>17</v>
      </c>
    </row>
    <row r="155" spans="7:17" x14ac:dyDescent="0.15">
      <c r="G155" s="2" t="s">
        <v>14</v>
      </c>
      <c r="H155" s="17">
        <f>ROUND(VLOOKUP(H$139&amp;"_1",管理者用人口入力シート!BH:CE,J155,FALSE),0)</f>
        <v>2</v>
      </c>
      <c r="I155" s="17">
        <f>ROUND(VLOOKUP(H$139&amp;"_2",管理者用人口入力シート!BH:CE,J155,FALSE),0)</f>
        <v>4</v>
      </c>
      <c r="J155" s="2">
        <v>18</v>
      </c>
      <c r="N155" s="2" t="s">
        <v>14</v>
      </c>
      <c r="O155" s="17">
        <f>ROUND(VLOOKUP(O$139&amp;"_1",管理者用人口入力シート!CO:DL,Q155,FALSE),0)</f>
        <v>2</v>
      </c>
      <c r="P155" s="17">
        <f>ROUND(VLOOKUP(O$139&amp;"_2",管理者用人口入力シート!CO:DL,Q155,FALSE),0)</f>
        <v>4</v>
      </c>
      <c r="Q155" s="2">
        <v>18</v>
      </c>
    </row>
    <row r="156" spans="7:17" x14ac:dyDescent="0.15">
      <c r="G156" s="2" t="s">
        <v>15</v>
      </c>
      <c r="H156" s="17">
        <f>ROUND(VLOOKUP(H$139&amp;"_1",管理者用人口入力シート!BH:CE,J156,FALSE),0)</f>
        <v>4</v>
      </c>
      <c r="I156" s="17">
        <f>ROUND(VLOOKUP(H$139&amp;"_2",管理者用人口入力シート!BH:CE,J156,FALSE),0)</f>
        <v>2</v>
      </c>
      <c r="J156" s="2">
        <v>19</v>
      </c>
      <c r="N156" s="2" t="s">
        <v>15</v>
      </c>
      <c r="O156" s="17">
        <f>ROUND(VLOOKUP(O$139&amp;"_1",管理者用人口入力シート!CO:DL,Q156,FALSE),0)</f>
        <v>4</v>
      </c>
      <c r="P156" s="17">
        <f>ROUND(VLOOKUP(O$139&amp;"_2",管理者用人口入力シート!CO:DL,Q156,FALSE),0)</f>
        <v>2</v>
      </c>
      <c r="Q156" s="2">
        <v>19</v>
      </c>
    </row>
    <row r="157" spans="7:17" x14ac:dyDescent="0.15">
      <c r="G157" s="2" t="s">
        <v>16</v>
      </c>
      <c r="H157" s="17">
        <f>ROUND(VLOOKUP(H$139&amp;"_1",管理者用人口入力シート!BH:CE,J157,FALSE),0)</f>
        <v>4</v>
      </c>
      <c r="I157" s="17">
        <f>ROUND(VLOOKUP(H$139&amp;"_2",管理者用人口入力シート!BH:CE,J157,FALSE),0)</f>
        <v>6</v>
      </c>
      <c r="J157" s="2">
        <v>20</v>
      </c>
      <c r="N157" s="2" t="s">
        <v>16</v>
      </c>
      <c r="O157" s="17">
        <f>ROUND(VLOOKUP(O$139&amp;"_1",管理者用人口入力シート!CO:DL,Q157,FALSE),0)</f>
        <v>4</v>
      </c>
      <c r="P157" s="17">
        <f>ROUND(VLOOKUP(O$139&amp;"_2",管理者用人口入力シート!CO:DL,Q157,FALSE),0)</f>
        <v>6</v>
      </c>
      <c r="Q157" s="2">
        <v>20</v>
      </c>
    </row>
    <row r="158" spans="7:17" x14ac:dyDescent="0.15">
      <c r="G158" s="2" t="s">
        <v>17</v>
      </c>
      <c r="H158" s="17">
        <f>ROUND(VLOOKUP(H$139&amp;"_1",管理者用人口入力シート!BH:CE,J158,FALSE),0)</f>
        <v>3</v>
      </c>
      <c r="I158" s="17">
        <f>ROUND(VLOOKUP(H$139&amp;"_2",管理者用人口入力シート!BH:CE,J158,FALSE),0)</f>
        <v>1</v>
      </c>
      <c r="J158" s="2">
        <v>21</v>
      </c>
      <c r="N158" s="2" t="s">
        <v>17</v>
      </c>
      <c r="O158" s="17">
        <f>ROUND(VLOOKUP(O$139&amp;"_1",管理者用人口入力シート!CO:DL,Q158,FALSE),0)</f>
        <v>3</v>
      </c>
      <c r="P158" s="17">
        <f>ROUND(VLOOKUP(O$139&amp;"_2",管理者用人口入力シート!CO:DL,Q158,FALSE),0)</f>
        <v>1</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3</v>
      </c>
      <c r="J165" s="2">
        <v>4</v>
      </c>
      <c r="N165" s="2" t="s">
        <v>0</v>
      </c>
      <c r="O165" s="17">
        <f>ROUND(VLOOKUP(O$163&amp;"_1",管理者用人口入力シート!CO:DL,Q165,FALSE),0)</f>
        <v>4</v>
      </c>
      <c r="P165" s="17">
        <f>ROUND(VLOOKUP(O$163&amp;"_2",管理者用人口入力シート!CO:DL,Q165,FALSE),0)</f>
        <v>8</v>
      </c>
      <c r="Q165" s="2">
        <v>4</v>
      </c>
    </row>
    <row r="166" spans="7:17" x14ac:dyDescent="0.15">
      <c r="G166" s="2" t="s">
        <v>1</v>
      </c>
      <c r="H166" s="17">
        <f>ROUND(VLOOKUP(H$163&amp;"_1",管理者用人口入力シート!BH:CE,J166,FALSE),0)</f>
        <v>1</v>
      </c>
      <c r="I166" s="17">
        <f>ROUND(VLOOKUP(H$163&amp;"_2",管理者用人口入力シート!BH:CE,J166,FALSE),0)</f>
        <v>4</v>
      </c>
      <c r="J166" s="2">
        <v>5</v>
      </c>
      <c r="N166" s="2" t="s">
        <v>1</v>
      </c>
      <c r="O166" s="17">
        <f>ROUND(VLOOKUP(O$163&amp;"_1",管理者用人口入力シート!CO:DL,Q166,FALSE),0)</f>
        <v>4</v>
      </c>
      <c r="P166" s="17">
        <f>ROUND(VLOOKUP(O$163&amp;"_2",管理者用人口入力シート!CO:DL,Q166,FALSE),0)</f>
        <v>11</v>
      </c>
      <c r="Q166" s="2">
        <v>5</v>
      </c>
    </row>
    <row r="167" spans="7:17" x14ac:dyDescent="0.15">
      <c r="G167" s="2" t="s">
        <v>2</v>
      </c>
      <c r="H167" s="17">
        <f>ROUND(VLOOKUP(H$163&amp;"_1",管理者用人口入力シート!BH:CE,J167,FALSE),0)</f>
        <v>1</v>
      </c>
      <c r="I167" s="17">
        <f>ROUND(VLOOKUP(H$163&amp;"_2",管理者用人口入力シート!BH:CE,J167,FALSE),0)</f>
        <v>2</v>
      </c>
      <c r="J167" s="2">
        <v>6</v>
      </c>
      <c r="N167" s="2" t="s">
        <v>2</v>
      </c>
      <c r="O167" s="17">
        <f>ROUND(VLOOKUP(O$163&amp;"_1",管理者用人口入力シート!CO:DL,Q167,FALSE),0)</f>
        <v>3</v>
      </c>
      <c r="P167" s="17">
        <f>ROUND(VLOOKUP(O$163&amp;"_2",管理者用人口入力シート!CO:DL,Q167,FALSE),0)</f>
        <v>6</v>
      </c>
      <c r="Q167" s="2">
        <v>6</v>
      </c>
    </row>
    <row r="168" spans="7:17" x14ac:dyDescent="0.15">
      <c r="G168" s="2" t="s">
        <v>3</v>
      </c>
      <c r="H168" s="17">
        <f>ROUND(VLOOKUP(H$163&amp;"_1",管理者用人口入力シート!BH:CE,J168,FALSE),0)</f>
        <v>1</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5</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4</v>
      </c>
      <c r="Q169" s="2">
        <v>8</v>
      </c>
    </row>
    <row r="170" spans="7:17" x14ac:dyDescent="0.15">
      <c r="G170" s="2" t="s">
        <v>5</v>
      </c>
      <c r="H170" s="17">
        <f>ROUND(VLOOKUP(H$163&amp;"_1",管理者用人口入力シート!BH:CE,J170,FALSE),0)</f>
        <v>1</v>
      </c>
      <c r="I170" s="17">
        <f>ROUND(VLOOKUP(H$163&amp;"_2",管理者用人口入力シート!BH:CE,J170,FALSE),0)</f>
        <v>2</v>
      </c>
      <c r="J170" s="2">
        <v>9</v>
      </c>
      <c r="N170" s="2" t="s">
        <v>5</v>
      </c>
      <c r="O170" s="17">
        <f>ROUND(VLOOKUP(O$163&amp;"_1",管理者用人口入力シート!CO:DL,Q170,FALSE),0)</f>
        <v>4</v>
      </c>
      <c r="P170" s="17">
        <f>ROUND(VLOOKUP(O$163&amp;"_2",管理者用人口入力シート!CO:DL,Q170,FALSE),0)</f>
        <v>6</v>
      </c>
      <c r="Q170" s="2">
        <v>9</v>
      </c>
    </row>
    <row r="171" spans="7:17" x14ac:dyDescent="0.15">
      <c r="G171" s="2" t="s">
        <v>6</v>
      </c>
      <c r="H171" s="17">
        <f>ROUND(VLOOKUP(H$163&amp;"_1",管理者用人口入力シート!BH:CE,J171,FALSE),0)</f>
        <v>3</v>
      </c>
      <c r="I171" s="17">
        <f>ROUND(VLOOKUP(H$163&amp;"_2",管理者用人口入力シート!BH:CE,J171,FALSE),0)</f>
        <v>2</v>
      </c>
      <c r="J171" s="2">
        <v>10</v>
      </c>
      <c r="N171" s="2" t="s">
        <v>6</v>
      </c>
      <c r="O171" s="17">
        <f>ROUND(VLOOKUP(O$163&amp;"_1",管理者用人口入力シート!CO:DL,Q171,FALSE),0)</f>
        <v>6</v>
      </c>
      <c r="P171" s="17">
        <f>ROUND(VLOOKUP(O$163&amp;"_2",管理者用人口入力シート!CO:DL,Q171,FALSE),0)</f>
        <v>5</v>
      </c>
      <c r="Q171" s="2">
        <v>10</v>
      </c>
    </row>
    <row r="172" spans="7:17" x14ac:dyDescent="0.15">
      <c r="G172" s="2" t="s">
        <v>7</v>
      </c>
      <c r="H172" s="17">
        <f>ROUND(VLOOKUP(H$163&amp;"_1",管理者用人口入力シート!BH:CE,J172,FALSE),0)</f>
        <v>3</v>
      </c>
      <c r="I172" s="17">
        <f>ROUND(VLOOKUP(H$163&amp;"_2",管理者用人口入力シート!BH:CE,J172,FALSE),0)</f>
        <v>4</v>
      </c>
      <c r="J172" s="2">
        <v>11</v>
      </c>
      <c r="N172" s="2" t="s">
        <v>7</v>
      </c>
      <c r="O172" s="17">
        <f>ROUND(VLOOKUP(O$163&amp;"_1",管理者用人口入力シート!CO:DL,Q172,FALSE),0)</f>
        <v>5</v>
      </c>
      <c r="P172" s="17">
        <f>ROUND(VLOOKUP(O$163&amp;"_2",管理者用人口入力シート!CO:DL,Q172,FALSE),0)</f>
        <v>6</v>
      </c>
      <c r="Q172" s="2">
        <v>11</v>
      </c>
    </row>
    <row r="173" spans="7:17" x14ac:dyDescent="0.15">
      <c r="G173" s="2" t="s">
        <v>8</v>
      </c>
      <c r="H173" s="17">
        <f>ROUND(VLOOKUP(H$163&amp;"_1",管理者用人口入力シート!BH:CE,J173,FALSE),0)</f>
        <v>1</v>
      </c>
      <c r="I173" s="17">
        <f>ROUND(VLOOKUP(H$163&amp;"_2",管理者用人口入力シート!BH:CE,J173,FALSE),0)</f>
        <v>0</v>
      </c>
      <c r="J173" s="2">
        <v>12</v>
      </c>
      <c r="N173" s="2" t="s">
        <v>8</v>
      </c>
      <c r="O173" s="17">
        <f>ROUND(VLOOKUP(O$163&amp;"_1",管理者用人口入力シート!CO:DL,Q173,FALSE),0)</f>
        <v>3</v>
      </c>
      <c r="P173" s="17">
        <f>ROUND(VLOOKUP(O$163&amp;"_2",管理者用人口入力シート!CO:DL,Q173,FALSE),0)</f>
        <v>3</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3</v>
      </c>
      <c r="P174" s="17">
        <f>ROUND(VLOOKUP(O$163&amp;"_2",管理者用人口入力シート!CO:DL,Q174,FALSE),0)</f>
        <v>3</v>
      </c>
      <c r="Q174" s="2">
        <v>13</v>
      </c>
    </row>
    <row r="175" spans="7:17" x14ac:dyDescent="0.15">
      <c r="G175" s="2" t="s">
        <v>10</v>
      </c>
      <c r="H175" s="17">
        <f>ROUND(VLOOKUP(H$163&amp;"_1",管理者用人口入力シート!BH:CE,J175,FALSE),0)</f>
        <v>1</v>
      </c>
      <c r="I175" s="17">
        <f>ROUND(VLOOKUP(H$163&amp;"_2",管理者用人口入力シート!BH:CE,J175,FALSE),0)</f>
        <v>2</v>
      </c>
      <c r="J175" s="2">
        <v>14</v>
      </c>
      <c r="N175" s="2" t="s">
        <v>10</v>
      </c>
      <c r="O175" s="17">
        <f>ROUND(VLOOKUP(O$163&amp;"_1",管理者用人口入力シート!CO:DL,Q175,FALSE),0)</f>
        <v>1</v>
      </c>
      <c r="P175" s="17">
        <f>ROUND(VLOOKUP(O$163&amp;"_2",管理者用人口入力シート!CO:DL,Q175,FALSE),0)</f>
        <v>3</v>
      </c>
      <c r="Q175" s="2">
        <v>14</v>
      </c>
    </row>
    <row r="176" spans="7:17" x14ac:dyDescent="0.15">
      <c r="G176" s="2" t="s">
        <v>11</v>
      </c>
      <c r="H176" s="17">
        <f>ROUND(VLOOKUP(H$163&amp;"_1",管理者用人口入力シート!BH:CE,J176,FALSE),0)</f>
        <v>5</v>
      </c>
      <c r="I176" s="17">
        <f>ROUND(VLOOKUP(H$163&amp;"_2",管理者用人口入力シート!BH:CE,J176,FALSE),0)</f>
        <v>1</v>
      </c>
      <c r="J176" s="2">
        <v>15</v>
      </c>
      <c r="N176" s="2" t="s">
        <v>11</v>
      </c>
      <c r="O176" s="17">
        <f>ROUND(VLOOKUP(O$163&amp;"_1",管理者用人口入力シート!CO:DL,Q176,FALSE),0)</f>
        <v>5</v>
      </c>
      <c r="P176" s="17">
        <f>ROUND(VLOOKUP(O$163&amp;"_2",管理者用人口入力シート!CO:DL,Q176,FALSE),0)</f>
        <v>2</v>
      </c>
      <c r="Q176" s="2">
        <v>15</v>
      </c>
    </row>
    <row r="177" spans="7:17" x14ac:dyDescent="0.15">
      <c r="G177" s="2" t="s">
        <v>12</v>
      </c>
      <c r="H177" s="17">
        <f>ROUND(VLOOKUP(H$163&amp;"_1",管理者用人口入力シート!BH:CE,J177,FALSE),0)</f>
        <v>4</v>
      </c>
      <c r="I177" s="17">
        <f>ROUND(VLOOKUP(H$163&amp;"_2",管理者用人口入力シート!BH:CE,J177,FALSE),0)</f>
        <v>3</v>
      </c>
      <c r="J177" s="2">
        <v>16</v>
      </c>
      <c r="N177" s="2" t="s">
        <v>12</v>
      </c>
      <c r="O177" s="17">
        <f>ROUND(VLOOKUP(O$163&amp;"_1",管理者用人口入力シート!CO:DL,Q177,FALSE),0)</f>
        <v>4</v>
      </c>
      <c r="P177" s="17">
        <f>ROUND(VLOOKUP(O$163&amp;"_2",管理者用人口入力シート!CO:DL,Q177,FALSE),0)</f>
        <v>5</v>
      </c>
      <c r="Q177" s="2">
        <v>16</v>
      </c>
    </row>
    <row r="178" spans="7:17" x14ac:dyDescent="0.15">
      <c r="G178" s="2" t="s">
        <v>13</v>
      </c>
      <c r="H178" s="17">
        <f>ROUND(VLOOKUP(H$163&amp;"_1",管理者用人口入力シート!BH:CE,J178,FALSE),0)</f>
        <v>6</v>
      </c>
      <c r="I178" s="17">
        <f>ROUND(VLOOKUP(H$163&amp;"_2",管理者用人口入力シート!BH:CE,J178,FALSE),0)</f>
        <v>2</v>
      </c>
      <c r="J178" s="2">
        <v>17</v>
      </c>
      <c r="N178" s="2" t="s">
        <v>13</v>
      </c>
      <c r="O178" s="17">
        <f>ROUND(VLOOKUP(O$163&amp;"_1",管理者用人口入力シート!CO:DL,Q178,FALSE),0)</f>
        <v>6</v>
      </c>
      <c r="P178" s="17">
        <f>ROUND(VLOOKUP(O$163&amp;"_2",管理者用人口入力シート!CO:DL,Q178,FALSE),0)</f>
        <v>2</v>
      </c>
      <c r="Q178" s="2">
        <v>17</v>
      </c>
    </row>
    <row r="179" spans="7:17" x14ac:dyDescent="0.15">
      <c r="G179" s="2" t="s">
        <v>14</v>
      </c>
      <c r="H179" s="17">
        <f>ROUND(VLOOKUP(H$163&amp;"_1",管理者用人口入力シート!BH:CE,J179,FALSE),0)</f>
        <v>0</v>
      </c>
      <c r="I179" s="17">
        <f>ROUND(VLOOKUP(H$163&amp;"_2",管理者用人口入力シート!BH:CE,J179,FALSE),0)</f>
        <v>1</v>
      </c>
      <c r="J179" s="2">
        <v>18</v>
      </c>
      <c r="N179" s="2" t="s">
        <v>14</v>
      </c>
      <c r="O179" s="17">
        <f>ROUND(VLOOKUP(O$163&amp;"_1",管理者用人口入力シート!CO:DL,Q179,FALSE),0)</f>
        <v>0</v>
      </c>
      <c r="P179" s="17">
        <f>ROUND(VLOOKUP(O$163&amp;"_2",管理者用人口入力シート!CO:DL,Q179,FALSE),0)</f>
        <v>1</v>
      </c>
      <c r="Q179" s="2">
        <v>18</v>
      </c>
    </row>
    <row r="180" spans="7:17" x14ac:dyDescent="0.15">
      <c r="G180" s="2" t="s">
        <v>15</v>
      </c>
      <c r="H180" s="17">
        <f>ROUND(VLOOKUP(H$163&amp;"_1",管理者用人口入力シート!BH:CE,J180,FALSE),0)</f>
        <v>1</v>
      </c>
      <c r="I180" s="17">
        <f>ROUND(VLOOKUP(H$163&amp;"_2",管理者用人口入力シート!BH:CE,J180,FALSE),0)</f>
        <v>4</v>
      </c>
      <c r="J180" s="2">
        <v>19</v>
      </c>
      <c r="N180" s="2" t="s">
        <v>15</v>
      </c>
      <c r="O180" s="17">
        <f>ROUND(VLOOKUP(O$163&amp;"_1",管理者用人口入力シート!CO:DL,Q180,FALSE),0)</f>
        <v>1</v>
      </c>
      <c r="P180" s="17">
        <f>ROUND(VLOOKUP(O$163&amp;"_2",管理者用人口入力シート!CO:DL,Q180,FALSE),0)</f>
        <v>4</v>
      </c>
      <c r="Q180" s="2">
        <v>19</v>
      </c>
    </row>
    <row r="181" spans="7:17" x14ac:dyDescent="0.15">
      <c r="G181" s="2" t="s">
        <v>16</v>
      </c>
      <c r="H181" s="17">
        <f>ROUND(VLOOKUP(H$163&amp;"_1",管理者用人口入力シート!BH:CE,J181,FALSE),0)</f>
        <v>3</v>
      </c>
      <c r="I181" s="17">
        <f>ROUND(VLOOKUP(H$163&amp;"_2",管理者用人口入力シート!BH:CE,J181,FALSE),0)</f>
        <v>2</v>
      </c>
      <c r="J181" s="2">
        <v>20</v>
      </c>
      <c r="N181" s="2" t="s">
        <v>16</v>
      </c>
      <c r="O181" s="17">
        <f>ROUND(VLOOKUP(O$163&amp;"_1",管理者用人口入力シート!CO:DL,Q181,FALSE),0)</f>
        <v>3</v>
      </c>
      <c r="P181" s="17">
        <f>ROUND(VLOOKUP(O$163&amp;"_2",管理者用人口入力シート!CO:DL,Q181,FALSE),0)</f>
        <v>2</v>
      </c>
      <c r="Q181" s="2">
        <v>20</v>
      </c>
    </row>
    <row r="182" spans="7:17" x14ac:dyDescent="0.15">
      <c r="G182" s="2" t="s">
        <v>17</v>
      </c>
      <c r="H182" s="17">
        <f>ROUND(VLOOKUP(H$163&amp;"_1",管理者用人口入力シート!BH:CE,J182,FALSE),0)</f>
        <v>3</v>
      </c>
      <c r="I182" s="17">
        <f>ROUND(VLOOKUP(H$163&amp;"_2",管理者用人口入力シート!BH:CE,J182,FALSE),0)</f>
        <v>4</v>
      </c>
      <c r="J182" s="2">
        <v>21</v>
      </c>
      <c r="N182" s="2" t="s">
        <v>17</v>
      </c>
      <c r="O182" s="17">
        <f>ROUND(VLOOKUP(O$163&amp;"_1",管理者用人口入力シート!CO:DL,Q182,FALSE),0)</f>
        <v>3</v>
      </c>
      <c r="P182" s="17">
        <f>ROUND(VLOOKUP(O$163&amp;"_2",管理者用人口入力シート!CO:DL,Q182,FALSE),0)</f>
        <v>4</v>
      </c>
      <c r="Q182" s="2">
        <v>21</v>
      </c>
    </row>
    <row r="183" spans="7:17" x14ac:dyDescent="0.15">
      <c r="G183" s="2" t="s">
        <v>18</v>
      </c>
      <c r="H183" s="17">
        <f>ROUND(VLOOKUP(H$163&amp;"_1",管理者用人口入力シート!BH:CE,J183,FALSE),0)</f>
        <v>1</v>
      </c>
      <c r="I183" s="17">
        <f>ROUND(VLOOKUP(H$163&amp;"_2",管理者用人口入力シート!BH:CE,J183,FALSE),0)</f>
        <v>0</v>
      </c>
      <c r="J183" s="2">
        <v>22</v>
      </c>
      <c r="N183" s="2" t="s">
        <v>18</v>
      </c>
      <c r="O183" s="17">
        <f>ROUND(VLOOKUP(O$163&amp;"_1",管理者用人口入力シート!CO:DL,Q183,FALSE),0)</f>
        <v>1</v>
      </c>
      <c r="P183" s="17">
        <f>ROUND(VLOOKUP(O$163&amp;"_2",管理者用人口入力シート!CO:DL,Q183,FALSE),0)</f>
        <v>0</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3</v>
      </c>
      <c r="J189" s="2">
        <v>4</v>
      </c>
      <c r="N189" s="2" t="s">
        <v>0</v>
      </c>
      <c r="O189" s="17">
        <f>ROUND(VLOOKUP(O$187&amp;"_1",管理者用人口入力シート!CO:DL,Q189,FALSE),0)</f>
        <v>5</v>
      </c>
      <c r="P189" s="17">
        <f>ROUND(VLOOKUP(O$187&amp;"_2",管理者用人口入力シート!CO:DL,Q189,FALSE),0)</f>
        <v>9</v>
      </c>
      <c r="Q189" s="2">
        <v>4</v>
      </c>
    </row>
    <row r="190" spans="7:17" x14ac:dyDescent="0.15">
      <c r="G190" s="2" t="s">
        <v>1</v>
      </c>
      <c r="H190" s="17">
        <f>ROUND(VLOOKUP(H$187&amp;"_1",管理者用人口入力シート!BH:CE,J190,FALSE),0)</f>
        <v>2</v>
      </c>
      <c r="I190" s="17">
        <f>ROUND(VLOOKUP(H$187&amp;"_2",管理者用人口入力シート!BH:CE,J190,FALSE),0)</f>
        <v>5</v>
      </c>
      <c r="J190" s="2">
        <v>5</v>
      </c>
      <c r="N190" s="2" t="s">
        <v>1</v>
      </c>
      <c r="O190" s="17">
        <f>ROUND(VLOOKUP(O$187&amp;"_1",管理者用人口入力シート!CO:DL,Q190,FALSE),0)</f>
        <v>5</v>
      </c>
      <c r="P190" s="17">
        <f>ROUND(VLOOKUP(O$187&amp;"_2",管理者用人口入力シート!CO:DL,Q190,FALSE),0)</f>
        <v>13</v>
      </c>
      <c r="Q190" s="2">
        <v>5</v>
      </c>
    </row>
    <row r="191" spans="7:17" x14ac:dyDescent="0.15">
      <c r="G191" s="2" t="s">
        <v>2</v>
      </c>
      <c r="H191" s="17">
        <f>ROUND(VLOOKUP(H$187&amp;"_1",管理者用人口入力シート!BH:CE,J191,FALSE),0)</f>
        <v>1</v>
      </c>
      <c r="I191" s="17">
        <f>ROUND(VLOOKUP(H$187&amp;"_2",管理者用人口入力シート!BH:CE,J191,FALSE),0)</f>
        <v>2</v>
      </c>
      <c r="J191" s="2">
        <v>6</v>
      </c>
      <c r="N191" s="2" t="s">
        <v>2</v>
      </c>
      <c r="O191" s="17">
        <f>ROUND(VLOOKUP(O$187&amp;"_1",管理者用人口入力シート!CO:DL,Q191,FALSE),0)</f>
        <v>4</v>
      </c>
      <c r="P191" s="17">
        <f>ROUND(VLOOKUP(O$187&amp;"_2",管理者用人口入力シート!CO:DL,Q191,FALSE),0)</f>
        <v>7</v>
      </c>
      <c r="Q191" s="2">
        <v>6</v>
      </c>
    </row>
    <row r="192" spans="7:17" x14ac:dyDescent="0.15">
      <c r="G192" s="2" t="s">
        <v>3</v>
      </c>
      <c r="H192" s="17">
        <f>ROUND(VLOOKUP(H$187&amp;"_1",管理者用人口入力シート!BH:CE,J192,FALSE),0)</f>
        <v>1</v>
      </c>
      <c r="I192" s="17">
        <f>ROUND(VLOOKUP(H$187&amp;"_2",管理者用人口入力シート!BH:CE,J192,FALSE),0)</f>
        <v>2</v>
      </c>
      <c r="J192" s="2">
        <v>7</v>
      </c>
      <c r="N192" s="2" t="s">
        <v>3</v>
      </c>
      <c r="O192" s="17">
        <f>ROUND(VLOOKUP(O$187&amp;"_1",管理者用人口入力シート!CO:DL,Q192,FALSE),0)</f>
        <v>3</v>
      </c>
      <c r="P192" s="17">
        <f>ROUND(VLOOKUP(O$187&amp;"_2",管理者用人口入力シート!CO:DL,Q192,FALSE),0)</f>
        <v>6</v>
      </c>
      <c r="Q192" s="2">
        <v>7</v>
      </c>
    </row>
    <row r="193" spans="7:17" x14ac:dyDescent="0.15">
      <c r="G193" s="2" t="s">
        <v>4</v>
      </c>
      <c r="H193" s="17">
        <f>ROUND(VLOOKUP(H$187&amp;"_1",管理者用人口入力シート!BH:CE,J193,FALSE),0)</f>
        <v>1</v>
      </c>
      <c r="I193" s="17">
        <f>ROUND(VLOOKUP(H$187&amp;"_2",管理者用人口入力シート!BH:CE,J193,FALSE),0)</f>
        <v>3</v>
      </c>
      <c r="J193" s="2">
        <v>8</v>
      </c>
      <c r="N193" s="2" t="s">
        <v>4</v>
      </c>
      <c r="O193" s="17">
        <f>ROUND(VLOOKUP(O$187&amp;"_1",管理者用人口入力シート!CO:DL,Q193,FALSE),0)</f>
        <v>3</v>
      </c>
      <c r="P193" s="17">
        <f>ROUND(VLOOKUP(O$187&amp;"_2",管理者用人口入力シート!CO:DL,Q193,FALSE),0)</f>
        <v>7</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5</v>
      </c>
      <c r="P194" s="17">
        <f>ROUND(VLOOKUP(O$187&amp;"_2",管理者用人口入力シート!CO:DL,Q194,FALSE),0)</f>
        <v>6</v>
      </c>
      <c r="Q194" s="2">
        <v>9</v>
      </c>
    </row>
    <row r="195" spans="7:17" x14ac:dyDescent="0.15">
      <c r="G195" s="2" t="s">
        <v>6</v>
      </c>
      <c r="H195" s="17">
        <f>ROUND(VLOOKUP(H$187&amp;"_1",管理者用人口入力シート!BH:CE,J195,FALSE),0)</f>
        <v>1</v>
      </c>
      <c r="I195" s="17">
        <f>ROUND(VLOOKUP(H$187&amp;"_2",管理者用人口入力シート!BH:CE,J195,FALSE),0)</f>
        <v>2</v>
      </c>
      <c r="J195" s="2">
        <v>10</v>
      </c>
      <c r="N195" s="2" t="s">
        <v>6</v>
      </c>
      <c r="O195" s="17">
        <f>ROUND(VLOOKUP(O$187&amp;"_1",管理者用人口入力シート!CO:DL,Q195,FALSE),0)</f>
        <v>3</v>
      </c>
      <c r="P195" s="17">
        <f>ROUND(VLOOKUP(O$187&amp;"_2",管理者用人口入力シート!CO:DL,Q195,FALSE),0)</f>
        <v>6</v>
      </c>
      <c r="Q195" s="2">
        <v>10</v>
      </c>
    </row>
    <row r="196" spans="7:17" x14ac:dyDescent="0.15">
      <c r="G196" s="2" t="s">
        <v>7</v>
      </c>
      <c r="H196" s="17">
        <f>ROUND(VLOOKUP(H$187&amp;"_1",管理者用人口入力シート!BH:CE,J196,FALSE),0)</f>
        <v>5</v>
      </c>
      <c r="I196" s="17">
        <f>ROUND(VLOOKUP(H$187&amp;"_2",管理者用人口入力シート!BH:CE,J196,FALSE),0)</f>
        <v>2</v>
      </c>
      <c r="J196" s="2">
        <v>11</v>
      </c>
      <c r="N196" s="2" t="s">
        <v>7</v>
      </c>
      <c r="O196" s="17">
        <f>ROUND(VLOOKUP(O$187&amp;"_1",管理者用人口入力シート!CO:DL,Q196,FALSE),0)</f>
        <v>8</v>
      </c>
      <c r="P196" s="17">
        <f>ROUND(VLOOKUP(O$187&amp;"_2",管理者用人口入力シート!CO:DL,Q196,FALSE),0)</f>
        <v>5</v>
      </c>
      <c r="Q196" s="2">
        <v>11</v>
      </c>
    </row>
    <row r="197" spans="7:17" x14ac:dyDescent="0.15">
      <c r="G197" s="2" t="s">
        <v>8</v>
      </c>
      <c r="H197" s="17">
        <f>ROUND(VLOOKUP(H$187&amp;"_1",管理者用人口入力シート!BH:CE,J197,FALSE),0)</f>
        <v>3</v>
      </c>
      <c r="I197" s="17">
        <f>ROUND(VLOOKUP(H$187&amp;"_2",管理者用人口入力シート!BH:CE,J197,FALSE),0)</f>
        <v>4</v>
      </c>
      <c r="J197" s="2">
        <v>12</v>
      </c>
      <c r="N197" s="2" t="s">
        <v>8</v>
      </c>
      <c r="O197" s="17">
        <f>ROUND(VLOOKUP(O$187&amp;"_1",管理者用人口入力シート!CO:DL,Q197,FALSE),0)</f>
        <v>5</v>
      </c>
      <c r="P197" s="17">
        <f>ROUND(VLOOKUP(O$187&amp;"_2",管理者用人口入力シート!CO:DL,Q197,FALSE),0)</f>
        <v>7</v>
      </c>
      <c r="Q197" s="2">
        <v>12</v>
      </c>
    </row>
    <row r="198" spans="7:17" x14ac:dyDescent="0.15">
      <c r="G198" s="2" t="s">
        <v>9</v>
      </c>
      <c r="H198" s="17">
        <f>ROUND(VLOOKUP(H$187&amp;"_1",管理者用人口入力シート!BH:CE,J198,FALSE),0)</f>
        <v>2</v>
      </c>
      <c r="I198" s="17">
        <f>ROUND(VLOOKUP(H$187&amp;"_2",管理者用人口入力シート!BH:CE,J198,FALSE),0)</f>
        <v>0</v>
      </c>
      <c r="J198" s="2">
        <v>13</v>
      </c>
      <c r="N198" s="2" t="s">
        <v>9</v>
      </c>
      <c r="O198" s="17">
        <f>ROUND(VLOOKUP(O$187&amp;"_1",管理者用人口入力シート!CO:DL,Q198,FALSE),0)</f>
        <v>5</v>
      </c>
      <c r="P198" s="17">
        <f>ROUND(VLOOKUP(O$187&amp;"_2",管理者用人口入力シート!CO:DL,Q198,FALSE),0)</f>
        <v>3</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1</v>
      </c>
      <c r="I200" s="17">
        <f>ROUND(VLOOKUP(H$187&amp;"_2",管理者用人口入力シート!BH:CE,J200,FALSE),0)</f>
        <v>2</v>
      </c>
      <c r="J200" s="2">
        <v>15</v>
      </c>
      <c r="N200" s="2" t="s">
        <v>11</v>
      </c>
      <c r="O200" s="17">
        <f>ROUND(VLOOKUP(O$187&amp;"_1",管理者用人口入力シート!CO:DL,Q200,FALSE),0)</f>
        <v>1</v>
      </c>
      <c r="P200" s="17">
        <f>ROUND(VLOOKUP(O$187&amp;"_2",管理者用人口入力シート!CO:DL,Q200,FALSE),0)</f>
        <v>3</v>
      </c>
      <c r="Q200" s="2">
        <v>15</v>
      </c>
    </row>
    <row r="201" spans="7:17" x14ac:dyDescent="0.15">
      <c r="G201" s="2" t="s">
        <v>12</v>
      </c>
      <c r="H201" s="17">
        <f>ROUND(VLOOKUP(H$187&amp;"_1",管理者用人口入力シート!BH:CE,J201,FALSE),0)</f>
        <v>5</v>
      </c>
      <c r="I201" s="17">
        <f>ROUND(VLOOKUP(H$187&amp;"_2",管理者用人口入力シート!BH:CE,J201,FALSE),0)</f>
        <v>1</v>
      </c>
      <c r="J201" s="2">
        <v>16</v>
      </c>
      <c r="N201" s="2" t="s">
        <v>12</v>
      </c>
      <c r="O201" s="17">
        <f>ROUND(VLOOKUP(O$187&amp;"_1",管理者用人口入力シート!CO:DL,Q201,FALSE),0)</f>
        <v>5</v>
      </c>
      <c r="P201" s="17">
        <f>ROUND(VLOOKUP(O$187&amp;"_2",管理者用人口入力シート!CO:DL,Q201,FALSE),0)</f>
        <v>2</v>
      </c>
      <c r="Q201" s="2">
        <v>16</v>
      </c>
    </row>
    <row r="202" spans="7:17" x14ac:dyDescent="0.15">
      <c r="G202" s="2" t="s">
        <v>13</v>
      </c>
      <c r="H202" s="17">
        <f>ROUND(VLOOKUP(H$187&amp;"_1",管理者用人口入力シート!BH:CE,J202,FALSE),0)</f>
        <v>3</v>
      </c>
      <c r="I202" s="17">
        <f>ROUND(VLOOKUP(H$187&amp;"_2",管理者用人口入力シート!BH:CE,J202,FALSE),0)</f>
        <v>3</v>
      </c>
      <c r="J202" s="2">
        <v>17</v>
      </c>
      <c r="N202" s="2" t="s">
        <v>13</v>
      </c>
      <c r="O202" s="17">
        <f>ROUND(VLOOKUP(O$187&amp;"_1",管理者用人口入力シート!CO:DL,Q202,FALSE),0)</f>
        <v>3</v>
      </c>
      <c r="P202" s="17">
        <f>ROUND(VLOOKUP(O$187&amp;"_2",管理者用人口入力シート!CO:DL,Q202,FALSE),0)</f>
        <v>5</v>
      </c>
      <c r="Q202" s="2">
        <v>17</v>
      </c>
    </row>
    <row r="203" spans="7:17" x14ac:dyDescent="0.15">
      <c r="G203" s="2" t="s">
        <v>14</v>
      </c>
      <c r="H203" s="17">
        <f>ROUND(VLOOKUP(H$187&amp;"_1",管理者用人口入力シート!BH:CE,J203,FALSE),0)</f>
        <v>6</v>
      </c>
      <c r="I203" s="17">
        <f>ROUND(VLOOKUP(H$187&amp;"_2",管理者用人口入力シート!BH:CE,J203,FALSE),0)</f>
        <v>2</v>
      </c>
      <c r="J203" s="2">
        <v>18</v>
      </c>
      <c r="N203" s="2" t="s">
        <v>14</v>
      </c>
      <c r="O203" s="17">
        <f>ROUND(VLOOKUP(O$187&amp;"_1",管理者用人口入力シート!CO:DL,Q203,FALSE),0)</f>
        <v>6</v>
      </c>
      <c r="P203" s="17">
        <f>ROUND(VLOOKUP(O$187&amp;"_2",管理者用人口入力シート!CO:DL,Q203,FALSE),0)</f>
        <v>2</v>
      </c>
      <c r="Q203" s="2">
        <v>18</v>
      </c>
    </row>
    <row r="204" spans="7:17" x14ac:dyDescent="0.15">
      <c r="G204" s="2" t="s">
        <v>15</v>
      </c>
      <c r="H204" s="17">
        <f>ROUND(VLOOKUP(H$187&amp;"_1",管理者用人口入力シート!BH:CE,J204,FALSE),0)</f>
        <v>0</v>
      </c>
      <c r="I204" s="17">
        <f>ROUND(VLOOKUP(H$187&amp;"_2",管理者用人口入力シート!BH:CE,J204,FALSE),0)</f>
        <v>1</v>
      </c>
      <c r="J204" s="2">
        <v>19</v>
      </c>
      <c r="N204" s="2" t="s">
        <v>15</v>
      </c>
      <c r="O204" s="17">
        <f>ROUND(VLOOKUP(O$187&amp;"_1",管理者用人口入力シート!CO:DL,Q204,FALSE),0)</f>
        <v>0</v>
      </c>
      <c r="P204" s="17">
        <f>ROUND(VLOOKUP(O$187&amp;"_2",管理者用人口入力シート!CO:DL,Q204,FALSE),0)</f>
        <v>1</v>
      </c>
      <c r="Q204" s="2">
        <v>19</v>
      </c>
    </row>
    <row r="205" spans="7:17" x14ac:dyDescent="0.15">
      <c r="G205" s="2" t="s">
        <v>16</v>
      </c>
      <c r="H205" s="17">
        <f>ROUND(VLOOKUP(H$187&amp;"_1",管理者用人口入力シート!BH:CE,J205,FALSE),0)</f>
        <v>1</v>
      </c>
      <c r="I205" s="17">
        <f>ROUND(VLOOKUP(H$187&amp;"_2",管理者用人口入力シート!BH:CE,J205,FALSE),0)</f>
        <v>3</v>
      </c>
      <c r="J205" s="2">
        <v>20</v>
      </c>
      <c r="N205" s="2" t="s">
        <v>16</v>
      </c>
      <c r="O205" s="17">
        <f>ROUND(VLOOKUP(O$187&amp;"_1",管理者用人口入力シート!CO:DL,Q205,FALSE),0)</f>
        <v>1</v>
      </c>
      <c r="P205" s="17">
        <f>ROUND(VLOOKUP(O$187&amp;"_2",管理者用人口入力シート!CO:DL,Q205,FALSE),0)</f>
        <v>3</v>
      </c>
      <c r="Q205" s="2">
        <v>20</v>
      </c>
    </row>
    <row r="206" spans="7:17" x14ac:dyDescent="0.15">
      <c r="G206" s="2" t="s">
        <v>17</v>
      </c>
      <c r="H206" s="17">
        <f>ROUND(VLOOKUP(H$187&amp;"_1",管理者用人口入力シート!BH:CE,J206,FALSE),0)</f>
        <v>3</v>
      </c>
      <c r="I206" s="17">
        <f>ROUND(VLOOKUP(H$187&amp;"_2",管理者用人口入力シート!BH:CE,J206,FALSE),0)</f>
        <v>1</v>
      </c>
      <c r="J206" s="2">
        <v>21</v>
      </c>
      <c r="N206" s="2" t="s">
        <v>17</v>
      </c>
      <c r="O206" s="17">
        <f>ROUND(VLOOKUP(O$187&amp;"_1",管理者用人口入力シート!CO:DL,Q206,FALSE),0)</f>
        <v>3</v>
      </c>
      <c r="P206" s="17">
        <f>ROUND(VLOOKUP(O$187&amp;"_2",管理者用人口入力シート!CO:DL,Q206,FALSE),0)</f>
        <v>1</v>
      </c>
      <c r="Q206" s="2">
        <v>21</v>
      </c>
    </row>
    <row r="207" spans="7:17" x14ac:dyDescent="0.15">
      <c r="G207" s="2" t="s">
        <v>18</v>
      </c>
      <c r="H207" s="17">
        <f>ROUND(VLOOKUP(H$187&amp;"_1",管理者用人口入力シート!BH:CE,J207,FALSE),0)</f>
        <v>2</v>
      </c>
      <c r="I207" s="17">
        <f>ROUND(VLOOKUP(H$187&amp;"_2",管理者用人口入力シート!BH:CE,J207,FALSE),0)</f>
        <v>1</v>
      </c>
      <c r="J207" s="2">
        <v>22</v>
      </c>
      <c r="N207" s="2" t="s">
        <v>18</v>
      </c>
      <c r="O207" s="17">
        <f>ROUND(VLOOKUP(O$187&amp;"_1",管理者用人口入力シート!CO:DL,Q207,FALSE),0)</f>
        <v>2</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v>
      </c>
      <c r="P214" s="17">
        <f>O93+P93</f>
        <v>7</v>
      </c>
      <c r="Q214" s="2">
        <v>4</v>
      </c>
    </row>
    <row r="215" spans="7:17" x14ac:dyDescent="0.15">
      <c r="N215" s="2" t="s">
        <v>1</v>
      </c>
      <c r="O215" s="17">
        <f t="shared" ref="O215:O233" si="24">H94+I94</f>
        <v>3</v>
      </c>
      <c r="P215" s="17">
        <f t="shared" ref="P215:P233" si="25">O94+P94</f>
        <v>5</v>
      </c>
      <c r="Q215" s="2">
        <v>5</v>
      </c>
    </row>
    <row r="216" spans="7:17" x14ac:dyDescent="0.15">
      <c r="N216" s="2" t="s">
        <v>2</v>
      </c>
      <c r="O216" s="17">
        <f t="shared" si="24"/>
        <v>3</v>
      </c>
      <c r="P216" s="17">
        <f t="shared" si="25"/>
        <v>5</v>
      </c>
      <c r="Q216" s="2">
        <v>6</v>
      </c>
    </row>
    <row r="217" spans="7:17" x14ac:dyDescent="0.15">
      <c r="N217" s="2" t="s">
        <v>3</v>
      </c>
      <c r="O217" s="17">
        <f t="shared" si="24"/>
        <v>4</v>
      </c>
      <c r="P217" s="17">
        <f t="shared" si="25"/>
        <v>6</v>
      </c>
      <c r="Q217" s="2">
        <v>7</v>
      </c>
    </row>
    <row r="218" spans="7:17" x14ac:dyDescent="0.15">
      <c r="N218" s="2" t="s">
        <v>4</v>
      </c>
      <c r="O218" s="17">
        <f t="shared" si="24"/>
        <v>6</v>
      </c>
      <c r="P218" s="17">
        <f t="shared" si="25"/>
        <v>6</v>
      </c>
      <c r="Q218" s="2">
        <v>8</v>
      </c>
    </row>
    <row r="219" spans="7:17" x14ac:dyDescent="0.15">
      <c r="N219" s="2" t="s">
        <v>5</v>
      </c>
      <c r="O219" s="17">
        <f t="shared" si="24"/>
        <v>1</v>
      </c>
      <c r="P219" s="17">
        <f t="shared" si="25"/>
        <v>5</v>
      </c>
      <c r="Q219" s="2">
        <v>9</v>
      </c>
    </row>
    <row r="220" spans="7:17" x14ac:dyDescent="0.15">
      <c r="N220" s="2" t="s">
        <v>6</v>
      </c>
      <c r="O220" s="17">
        <f t="shared" si="24"/>
        <v>0</v>
      </c>
      <c r="P220" s="17">
        <f t="shared" si="25"/>
        <v>4</v>
      </c>
      <c r="Q220" s="2">
        <v>10</v>
      </c>
    </row>
    <row r="221" spans="7:17" x14ac:dyDescent="0.15">
      <c r="N221" s="2" t="s">
        <v>7</v>
      </c>
      <c r="O221" s="17">
        <f t="shared" si="24"/>
        <v>3</v>
      </c>
      <c r="P221" s="17">
        <f t="shared" si="25"/>
        <v>3</v>
      </c>
      <c r="Q221" s="2">
        <v>11</v>
      </c>
    </row>
    <row r="222" spans="7:17" x14ac:dyDescent="0.15">
      <c r="N222" s="2" t="s">
        <v>8</v>
      </c>
      <c r="O222" s="17">
        <f t="shared" si="24"/>
        <v>5</v>
      </c>
      <c r="P222" s="17">
        <f t="shared" si="25"/>
        <v>6</v>
      </c>
      <c r="Q222" s="2">
        <v>12</v>
      </c>
    </row>
    <row r="223" spans="7:17" x14ac:dyDescent="0.15">
      <c r="N223" s="2" t="s">
        <v>9</v>
      </c>
      <c r="O223" s="17">
        <f t="shared" si="24"/>
        <v>7</v>
      </c>
      <c r="P223" s="17">
        <f t="shared" si="25"/>
        <v>9</v>
      </c>
      <c r="Q223" s="2">
        <v>13</v>
      </c>
    </row>
    <row r="224" spans="7:17" x14ac:dyDescent="0.15">
      <c r="N224" s="2" t="s">
        <v>10</v>
      </c>
      <c r="O224" s="17">
        <f t="shared" si="24"/>
        <v>9</v>
      </c>
      <c r="P224" s="17">
        <f t="shared" si="25"/>
        <v>9</v>
      </c>
      <c r="Q224" s="2">
        <v>14</v>
      </c>
    </row>
    <row r="225" spans="14:17" x14ac:dyDescent="0.15">
      <c r="N225" s="2" t="s">
        <v>11</v>
      </c>
      <c r="O225" s="17">
        <f t="shared" si="24"/>
        <v>1</v>
      </c>
      <c r="P225" s="17">
        <f t="shared" si="25"/>
        <v>1</v>
      </c>
      <c r="Q225" s="2">
        <v>15</v>
      </c>
    </row>
    <row r="226" spans="14:17" x14ac:dyDescent="0.15">
      <c r="N226" s="2" t="s">
        <v>12</v>
      </c>
      <c r="O226" s="17">
        <f t="shared" si="24"/>
        <v>6</v>
      </c>
      <c r="P226" s="17">
        <f t="shared" si="25"/>
        <v>6</v>
      </c>
      <c r="Q226" s="2">
        <v>16</v>
      </c>
    </row>
    <row r="227" spans="14:17" x14ac:dyDescent="0.15">
      <c r="N227" s="2" t="s">
        <v>13</v>
      </c>
      <c r="O227" s="17">
        <f t="shared" si="24"/>
        <v>7</v>
      </c>
      <c r="P227" s="17">
        <f t="shared" si="25"/>
        <v>7</v>
      </c>
      <c r="Q227" s="2">
        <v>17</v>
      </c>
    </row>
    <row r="228" spans="14:17" x14ac:dyDescent="0.15">
      <c r="N228" s="2" t="s">
        <v>14</v>
      </c>
      <c r="O228" s="17">
        <f t="shared" si="24"/>
        <v>13</v>
      </c>
      <c r="P228" s="17">
        <f t="shared" si="25"/>
        <v>13</v>
      </c>
      <c r="Q228" s="2">
        <v>18</v>
      </c>
    </row>
    <row r="229" spans="14:17" x14ac:dyDescent="0.15">
      <c r="N229" s="2" t="s">
        <v>15</v>
      </c>
      <c r="O229" s="17">
        <f t="shared" si="24"/>
        <v>5</v>
      </c>
      <c r="P229" s="17">
        <f t="shared" si="25"/>
        <v>5</v>
      </c>
      <c r="Q229" s="2">
        <v>19</v>
      </c>
    </row>
    <row r="230" spans="14:17" x14ac:dyDescent="0.15">
      <c r="N230" s="2" t="s">
        <v>16</v>
      </c>
      <c r="O230" s="17">
        <f t="shared" si="24"/>
        <v>5</v>
      </c>
      <c r="P230" s="17">
        <f t="shared" si="25"/>
        <v>5</v>
      </c>
      <c r="Q230" s="2">
        <v>20</v>
      </c>
    </row>
    <row r="231" spans="14:17" x14ac:dyDescent="0.15">
      <c r="N231" s="2" t="s">
        <v>17</v>
      </c>
      <c r="O231" s="17">
        <f t="shared" si="24"/>
        <v>2</v>
      </c>
      <c r="P231" s="17">
        <f t="shared" si="25"/>
        <v>2</v>
      </c>
      <c r="Q231" s="2">
        <v>21</v>
      </c>
    </row>
    <row r="232" spans="14:17" x14ac:dyDescent="0.15">
      <c r="N232" s="2" t="s">
        <v>18</v>
      </c>
      <c r="O232" s="17">
        <f t="shared" si="24"/>
        <v>3</v>
      </c>
      <c r="P232" s="17">
        <f t="shared" si="25"/>
        <v>3</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4</v>
      </c>
      <c r="P238" s="17">
        <f>O141+P141</f>
        <v>11</v>
      </c>
      <c r="Q238" s="2">
        <v>4</v>
      </c>
    </row>
    <row r="239" spans="14:17" x14ac:dyDescent="0.15">
      <c r="N239" s="2" t="s">
        <v>1</v>
      </c>
      <c r="O239" s="17">
        <f t="shared" ref="O239:O257" si="26">H142+I142</f>
        <v>4</v>
      </c>
      <c r="P239" s="17">
        <f t="shared" ref="P239:P257" si="27">O142+P142</f>
        <v>12</v>
      </c>
      <c r="Q239" s="2">
        <v>5</v>
      </c>
    </row>
    <row r="240" spans="14:17" x14ac:dyDescent="0.15">
      <c r="N240" s="2" t="s">
        <v>2</v>
      </c>
      <c r="O240" s="17">
        <f t="shared" si="26"/>
        <v>3</v>
      </c>
      <c r="P240" s="17">
        <f t="shared" si="27"/>
        <v>8</v>
      </c>
      <c r="Q240" s="2">
        <v>6</v>
      </c>
    </row>
    <row r="241" spans="14:17" x14ac:dyDescent="0.15">
      <c r="N241" s="2" t="s">
        <v>3</v>
      </c>
      <c r="O241" s="17">
        <f t="shared" si="26"/>
        <v>1</v>
      </c>
      <c r="P241" s="17">
        <f t="shared" si="27"/>
        <v>5</v>
      </c>
      <c r="Q241" s="2">
        <v>7</v>
      </c>
    </row>
    <row r="242" spans="14:17" x14ac:dyDescent="0.15">
      <c r="N242" s="2" t="s">
        <v>4</v>
      </c>
      <c r="O242" s="17">
        <f t="shared" si="26"/>
        <v>3</v>
      </c>
      <c r="P242" s="17">
        <f t="shared" si="27"/>
        <v>6</v>
      </c>
      <c r="Q242" s="2">
        <v>8</v>
      </c>
    </row>
    <row r="243" spans="14:17" x14ac:dyDescent="0.15">
      <c r="N243" s="2" t="s">
        <v>5</v>
      </c>
      <c r="O243" s="17">
        <f t="shared" si="26"/>
        <v>6</v>
      </c>
      <c r="P243" s="17">
        <f t="shared" si="27"/>
        <v>13</v>
      </c>
      <c r="Q243" s="2">
        <v>9</v>
      </c>
    </row>
    <row r="244" spans="14:17" x14ac:dyDescent="0.15">
      <c r="N244" s="2" t="s">
        <v>6</v>
      </c>
      <c r="O244" s="17">
        <f t="shared" si="26"/>
        <v>6</v>
      </c>
      <c r="P244" s="17">
        <f t="shared" si="27"/>
        <v>10</v>
      </c>
      <c r="Q244" s="2">
        <v>10</v>
      </c>
    </row>
    <row r="245" spans="14:17" x14ac:dyDescent="0.15">
      <c r="N245" s="2" t="s">
        <v>7</v>
      </c>
      <c r="O245" s="17">
        <f t="shared" si="26"/>
        <v>1</v>
      </c>
      <c r="P245" s="17">
        <f t="shared" si="27"/>
        <v>6</v>
      </c>
      <c r="Q245" s="2">
        <v>11</v>
      </c>
    </row>
    <row r="246" spans="14:17" x14ac:dyDescent="0.15">
      <c r="N246" s="2" t="s">
        <v>8</v>
      </c>
      <c r="O246" s="17">
        <f t="shared" si="26"/>
        <v>0</v>
      </c>
      <c r="P246" s="17">
        <f t="shared" si="27"/>
        <v>5</v>
      </c>
      <c r="Q246" s="2">
        <v>12</v>
      </c>
    </row>
    <row r="247" spans="14:17" x14ac:dyDescent="0.15">
      <c r="N247" s="2" t="s">
        <v>9</v>
      </c>
      <c r="O247" s="17">
        <f t="shared" si="26"/>
        <v>3</v>
      </c>
      <c r="P247" s="17">
        <f t="shared" si="27"/>
        <v>4</v>
      </c>
      <c r="Q247" s="2">
        <v>13</v>
      </c>
    </row>
    <row r="248" spans="14:17" x14ac:dyDescent="0.15">
      <c r="N248" s="2" t="s">
        <v>10</v>
      </c>
      <c r="O248" s="17">
        <f t="shared" si="26"/>
        <v>6</v>
      </c>
      <c r="P248" s="17">
        <f t="shared" si="27"/>
        <v>7</v>
      </c>
      <c r="Q248" s="2">
        <v>14</v>
      </c>
    </row>
    <row r="249" spans="14:17" x14ac:dyDescent="0.15">
      <c r="N249" s="2" t="s">
        <v>11</v>
      </c>
      <c r="O249" s="17">
        <f t="shared" si="26"/>
        <v>7</v>
      </c>
      <c r="P249" s="17">
        <f t="shared" si="27"/>
        <v>9</v>
      </c>
      <c r="Q249" s="2">
        <v>15</v>
      </c>
    </row>
    <row r="250" spans="14:17" x14ac:dyDescent="0.15">
      <c r="N250" s="2" t="s">
        <v>12</v>
      </c>
      <c r="O250" s="17">
        <f t="shared" si="26"/>
        <v>9</v>
      </c>
      <c r="P250" s="17">
        <f t="shared" si="27"/>
        <v>9</v>
      </c>
      <c r="Q250" s="2">
        <v>16</v>
      </c>
    </row>
    <row r="251" spans="14:17" x14ac:dyDescent="0.15">
      <c r="N251" s="2" t="s">
        <v>13</v>
      </c>
      <c r="O251" s="17">
        <f t="shared" si="26"/>
        <v>1</v>
      </c>
      <c r="P251" s="17">
        <f t="shared" si="27"/>
        <v>1</v>
      </c>
      <c r="Q251" s="2">
        <v>17</v>
      </c>
    </row>
    <row r="252" spans="14:17" x14ac:dyDescent="0.15">
      <c r="N252" s="2" t="s">
        <v>14</v>
      </c>
      <c r="O252" s="17">
        <f t="shared" si="26"/>
        <v>6</v>
      </c>
      <c r="P252" s="17">
        <f t="shared" si="27"/>
        <v>6</v>
      </c>
      <c r="Q252" s="2">
        <v>18</v>
      </c>
    </row>
    <row r="253" spans="14:17" x14ac:dyDescent="0.15">
      <c r="N253" s="2" t="s">
        <v>15</v>
      </c>
      <c r="O253" s="17">
        <f t="shared" si="26"/>
        <v>6</v>
      </c>
      <c r="P253" s="17">
        <f t="shared" si="27"/>
        <v>6</v>
      </c>
      <c r="Q253" s="2">
        <v>19</v>
      </c>
    </row>
    <row r="254" spans="14:17" x14ac:dyDescent="0.15">
      <c r="N254" s="2" t="s">
        <v>16</v>
      </c>
      <c r="O254" s="17">
        <f t="shared" si="26"/>
        <v>10</v>
      </c>
      <c r="P254" s="17">
        <f t="shared" si="27"/>
        <v>10</v>
      </c>
      <c r="Q254" s="2">
        <v>20</v>
      </c>
    </row>
    <row r="255" spans="14:17" x14ac:dyDescent="0.15">
      <c r="N255" s="2" t="s">
        <v>17</v>
      </c>
      <c r="O255" s="17">
        <f t="shared" si="26"/>
        <v>4</v>
      </c>
      <c r="P255" s="17">
        <f t="shared" si="27"/>
        <v>4</v>
      </c>
      <c r="Q255" s="2">
        <v>21</v>
      </c>
    </row>
    <row r="256" spans="14:17" x14ac:dyDescent="0.15">
      <c r="N256" s="2" t="s">
        <v>18</v>
      </c>
      <c r="O256" s="17">
        <f t="shared" si="26"/>
        <v>2</v>
      </c>
      <c r="P256" s="17">
        <f t="shared" si="27"/>
        <v>2</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2019-03-19T21:30:46Z</cp:lastPrinted>
  <dcterms:created xsi:type="dcterms:W3CDTF">2018-08-17T00:57:13Z</dcterms:created>
  <dcterms:modified xsi:type="dcterms:W3CDTF">2023-03-06T08:41:05Z</dcterms:modified>
</cp:coreProperties>
</file>