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OdNYpWQC6dAvNk4wPMVpRsLKAYZ2i5NtanyaWgdjmQa3Vi4WbDseaFBU3PftdiZb2fi1qMRCK7QTB91cfNraCg==" workbookSaltValue="EJpuKl/Yp9VAGBEeroLZT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AV8" i="17" s="1"/>
  <c r="BU4" i="17" s="1"/>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EL4" i="17" s="1"/>
  <c r="BB8" i="17"/>
  <c r="CA4" i="17" s="1"/>
  <c r="EP4" i="17" s="1"/>
  <c r="AT8" i="17"/>
  <c r="BS4" i="17" s="1"/>
  <c r="BS5" i="17" s="1"/>
  <c r="O46" i="18"/>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DB4"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EN3" i="17"/>
  <c r="EN20" i="17" s="1"/>
  <c r="EP3" i="17"/>
  <c r="EP20" i="17" s="1"/>
  <c r="CT3" i="17"/>
  <c r="CU6" i="17" s="1"/>
  <c r="EB3" i="17"/>
  <c r="DD4" i="17"/>
  <c r="DB3" i="17"/>
  <c r="EJ3" i="17"/>
  <c r="EJ20" i="17" s="1"/>
  <c r="CS3" i="17"/>
  <c r="CT6" i="17" s="1"/>
  <c r="EA3" i="17"/>
  <c r="EA20" i="17" s="1"/>
  <c r="O35" i="18"/>
  <c r="O17" i="18"/>
  <c r="CT4" i="17"/>
  <c r="BU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U7" i="17"/>
  <c r="BX6" i="17"/>
  <c r="BQ5" i="17"/>
  <c r="BP6" i="17"/>
  <c r="BT6" i="17"/>
  <c r="O42" i="18"/>
  <c r="O60" i="18"/>
  <c r="O52" i="18"/>
  <c r="O24" i="18"/>
  <c r="O34" i="18"/>
  <c r="O16" i="18"/>
  <c r="BT7" i="17" l="1"/>
  <c r="EH4" i="17"/>
  <c r="EI7" i="17" s="1"/>
  <c r="CZ4" i="17"/>
  <c r="DA7" i="17" s="1"/>
  <c r="DH4" i="17"/>
  <c r="DI7" i="17" s="1"/>
  <c r="DJ10" i="17" s="1"/>
  <c r="CA5" i="17"/>
  <c r="EQ4" i="17"/>
  <c r="ER7" i="17" s="1"/>
  <c r="BW5" i="17"/>
  <c r="O75" i="18"/>
  <c r="ER4" i="17"/>
  <c r="ES7" i="17" s="1"/>
  <c r="CC5" i="17"/>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R21" i="17"/>
  <c r="ER22" i="17" s="1"/>
  <c r="EQ7" i="17"/>
  <c r="EP21"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P87" i="18"/>
  <c r="DL5" i="17"/>
  <c r="DA9" i="17"/>
  <c r="DO3" i="17"/>
  <c r="DC6" i="17"/>
  <c r="DD5" i="17"/>
  <c r="DC10"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H5" i="17" l="1"/>
  <c r="CM5" i="17"/>
  <c r="P77" i="18"/>
  <c r="DH7" i="17"/>
  <c r="P85" i="18" s="1"/>
  <c r="CZ5" i="17"/>
  <c r="CJ5" i="17"/>
  <c r="EQ21" i="17"/>
  <c r="EQ22" i="17" s="1"/>
  <c r="ER5" i="17"/>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O8" i="17"/>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P7" i="17" l="1"/>
  <c r="EY21" i="17"/>
  <c r="O247" i="18"/>
  <c r="DH8" i="17"/>
  <c r="DQ8" i="17" s="1"/>
  <c r="DI10" i="17"/>
  <c r="DJ13" i="17" s="1"/>
  <c r="DK16" i="17" s="1"/>
  <c r="EX21" i="17"/>
  <c r="DQ7" i="17"/>
  <c r="DE13" i="17"/>
  <c r="DF16" i="17" s="1"/>
  <c r="DG19" i="17" s="1"/>
  <c r="P204" i="18" s="1"/>
  <c r="BU16" i="17"/>
  <c r="I161" i="18"/>
  <c r="CE14" i="17"/>
  <c r="CD11" i="17"/>
  <c r="I136" i="18"/>
  <c r="BS11" i="17"/>
  <c r="I125" i="18"/>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179" i="18" l="1"/>
  <c r="DP8" i="17"/>
  <c r="P154" i="18"/>
  <c r="I45" i="18"/>
  <c r="P226" i="18"/>
  <c r="P250" i="18"/>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CJ19" i="17" l="1"/>
  <c r="DB17" i="17"/>
  <c r="P175" i="18"/>
  <c r="DC20" i="17"/>
  <c r="O215" i="18"/>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c r="EY14" i="17"/>
  <c r="DW10" i="17"/>
  <c r="DW16" i="17" s="1"/>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F9" i="17" s="1"/>
  <c r="EE12" i="17"/>
  <c r="EE4" i="17"/>
  <c r="EF4" i="17"/>
  <c r="EF21" i="17" s="1"/>
  <c r="EE3" i="17"/>
  <c r="EE13" i="17"/>
  <c r="EE7" i="17"/>
  <c r="C37" i="21"/>
  <c r="EG4" i="17"/>
  <c r="EE10" i="17"/>
  <c r="EG3" i="17"/>
  <c r="EF3" i="17"/>
  <c r="EE9" i="17"/>
  <c r="EF12" i="17" s="1"/>
  <c r="DX18" i="17"/>
  <c r="EF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7" i="17"/>
  <c r="FB7" i="17" s="1"/>
  <c r="EH6" i="17"/>
  <c r="EG20" i="17"/>
  <c r="EG5" i="17"/>
  <c r="EG6" i="17"/>
  <c r="EF20" i="17"/>
  <c r="EF22" i="17" s="1"/>
  <c r="EF5" i="17"/>
  <c r="EG21" i="17"/>
  <c r="EH7" i="17"/>
  <c r="EF29" i="17"/>
  <c r="D38" i="21"/>
  <c r="C38" i="21"/>
  <c r="C39" i="21"/>
  <c r="D39" i="21"/>
  <c r="D37" i="21"/>
  <c r="EE24" i="17"/>
  <c r="EE30" i="17"/>
  <c r="EG10" i="17"/>
  <c r="EF24" i="17"/>
  <c r="EF6" i="17"/>
  <c r="EF8" i="17" s="1"/>
  <c r="EE5" i="17"/>
  <c r="EE20" i="17"/>
  <c r="EU3" i="17"/>
  <c r="FB3" i="17"/>
  <c r="EF10" i="17"/>
  <c r="EF11" i="17" s="1"/>
  <c r="EF13" i="17"/>
  <c r="EF30" i="17" s="1"/>
  <c r="EE27" i="17"/>
  <c r="EG12" i="17"/>
  <c r="EF26" i="17"/>
  <c r="EE21" i="17"/>
  <c r="FB4" i="17"/>
  <c r="EU4" i="17"/>
  <c r="EE29" i="17"/>
  <c r="EE14" i="17"/>
  <c r="EE26" i="17"/>
  <c r="EE11" i="17"/>
  <c r="EE23" i="17"/>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4" i="17" l="1"/>
  <c r="EG8" i="17"/>
  <c r="EE25" i="17"/>
  <c r="EH10" i="17"/>
  <c r="EH27" i="17" s="1"/>
  <c r="EE28" i="17"/>
  <c r="EF31" i="17"/>
  <c r="FB8" i="17"/>
  <c r="FB6" i="17"/>
  <c r="FB24" i="17"/>
  <c r="EF14" i="17"/>
  <c r="DZ7" i="17"/>
  <c r="DZ6" i="17"/>
  <c r="EI10" i="17"/>
  <c r="EH24" i="17"/>
  <c r="EG29" i="17"/>
  <c r="EG13" i="17"/>
  <c r="EG14" i="17" s="1"/>
  <c r="EF27" i="17"/>
  <c r="EF28" i="17" s="1"/>
  <c r="FB12" i="17"/>
  <c r="EZ3" i="17"/>
  <c r="FA3" i="17"/>
  <c r="FB10" i="17"/>
  <c r="EH13" i="17"/>
  <c r="EH30" i="17" s="1"/>
  <c r="EG27" i="17"/>
  <c r="FB20" i="17"/>
  <c r="EU20" i="17"/>
  <c r="EE22" i="17"/>
  <c r="EG23" i="17"/>
  <c r="EH9" i="17"/>
  <c r="EE31" i="17"/>
  <c r="FA4" i="17"/>
  <c r="EZ4" i="17"/>
  <c r="EU5" i="17"/>
  <c r="FB5" i="17"/>
  <c r="EF23" i="17"/>
  <c r="EF25" i="17" s="1"/>
  <c r="EG9" i="17"/>
  <c r="EG22" i="17"/>
  <c r="FB21" i="17"/>
  <c r="EU21" i="17"/>
  <c r="EI9" i="17"/>
  <c r="EH23" i="17"/>
  <c r="EH8" i="17"/>
  <c r="D11" i="19"/>
  <c r="CK18" i="17"/>
  <c r="DS20" i="17"/>
  <c r="DS18" i="17"/>
  <c r="CK19" i="17"/>
  <c r="CL19" i="17"/>
  <c r="CF20" i="17"/>
  <c r="EI13" i="17" l="1"/>
  <c r="EI30" i="17" s="1"/>
  <c r="FB23" i="17"/>
  <c r="FB14" i="17"/>
  <c r="EH25" i="17"/>
  <c r="FB29" i="17"/>
  <c r="EG30" i="17"/>
  <c r="FB30" i="17" s="1"/>
  <c r="FB13" i="17"/>
  <c r="DZ10" i="17"/>
  <c r="DZ9" i="17"/>
  <c r="EJ13" i="17"/>
  <c r="EJ30" i="17" s="1"/>
  <c r="EI27" i="17"/>
  <c r="FA20" i="17"/>
  <c r="EZ20" i="17"/>
  <c r="DZ23" i="17"/>
  <c r="DZ8" i="17"/>
  <c r="EU8" i="17" s="1"/>
  <c r="EU6" i="17"/>
  <c r="EA9" i="17"/>
  <c r="EZ5" i="17"/>
  <c r="FA5" i="17"/>
  <c r="DZ24" i="17"/>
  <c r="EU24" i="17" s="1"/>
  <c r="EA10" i="17"/>
  <c r="EU7" i="17"/>
  <c r="FA21" i="17"/>
  <c r="EZ21" i="17"/>
  <c r="FB22" i="17"/>
  <c r="EU22" i="17"/>
  <c r="FB27" i="17"/>
  <c r="EI11" i="17"/>
  <c r="EJ12" i="17"/>
  <c r="EI26" i="17"/>
  <c r="EG26" i="17"/>
  <c r="FB26" i="17" s="1"/>
  <c r="EH12" i="17"/>
  <c r="EG11" i="17"/>
  <c r="FB11" i="17" s="1"/>
  <c r="FB9" i="17"/>
  <c r="EH26" i="17"/>
  <c r="EH28" i="17" s="1"/>
  <c r="EI12" i="17"/>
  <c r="EH11" i="17"/>
  <c r="EG25" i="17"/>
  <c r="FB25" i="17" s="1"/>
  <c r="CK20" i="17"/>
  <c r="CL20" i="17"/>
  <c r="EH29" i="17" l="1"/>
  <c r="EH31" i="17" s="1"/>
  <c r="EH14" i="17"/>
  <c r="EA12" i="17"/>
  <c r="DZ26" i="17"/>
  <c r="DZ11" i="17"/>
  <c r="EA13" i="17"/>
  <c r="EA30" i="17" s="1"/>
  <c r="DZ27" i="17"/>
  <c r="EU10" i="17"/>
  <c r="FA24" i="17"/>
  <c r="EZ24" i="17"/>
  <c r="EG28" i="17"/>
  <c r="FB28" i="17" s="1"/>
  <c r="DZ13" i="17"/>
  <c r="DZ12" i="17"/>
  <c r="EU9" i="17"/>
  <c r="EA26" i="17"/>
  <c r="EA11" i="17"/>
  <c r="EV11" i="17" s="1"/>
  <c r="EV9" i="17"/>
  <c r="EB12" i="17"/>
  <c r="EJ29" i="17"/>
  <c r="EJ31" i="17" s="1"/>
  <c r="EJ14" i="17"/>
  <c r="EZ6" i="17"/>
  <c r="FA6" i="17"/>
  <c r="EG31" i="17"/>
  <c r="FB31" i="17" s="1"/>
  <c r="EI28" i="17"/>
  <c r="FA22" i="17"/>
  <c r="EZ22" i="17"/>
  <c r="H36" i="21"/>
  <c r="FA8" i="17"/>
  <c r="EZ8" i="17"/>
  <c r="FA7" i="17"/>
  <c r="EZ7" i="17"/>
  <c r="DZ25" i="17"/>
  <c r="EU25" i="17" s="1"/>
  <c r="EU23" i="17"/>
  <c r="EA27" i="17"/>
  <c r="EV27" i="17" s="1"/>
  <c r="EB13" i="17"/>
  <c r="EV10" i="17"/>
  <c r="EI29" i="17"/>
  <c r="EI31" i="17" s="1"/>
  <c r="EI14" i="17"/>
  <c r="EU11" i="17" l="1"/>
  <c r="FA11" i="17" s="1"/>
  <c r="EZ11" i="17"/>
  <c r="EZ10" i="17"/>
  <c r="FA10" i="17"/>
  <c r="EZ23" i="17"/>
  <c r="FA23" i="17"/>
  <c r="EU27" i="17"/>
  <c r="DZ30" i="17"/>
  <c r="EU13" i="17"/>
  <c r="DZ28" i="17"/>
  <c r="EU26" i="17"/>
  <c r="EA28" i="17"/>
  <c r="EV28" i="17" s="1"/>
  <c r="EV26" i="17"/>
  <c r="EA29" i="17"/>
  <c r="EA14" i="17"/>
  <c r="EV12" i="17"/>
  <c r="EB29" i="17"/>
  <c r="EB14" i="17"/>
  <c r="EW14" i="17" s="1"/>
  <c r="EW12" i="17"/>
  <c r="EZ9" i="17"/>
  <c r="FA9" i="17"/>
  <c r="EV13" i="17"/>
  <c r="EB30" i="17"/>
  <c r="EW30" i="17" s="1"/>
  <c r="EW13" i="17"/>
  <c r="FA25" i="17"/>
  <c r="EZ25" i="17"/>
  <c r="H37" i="21"/>
  <c r="DZ29" i="17"/>
  <c r="DZ14" i="17"/>
  <c r="EU12" i="17"/>
  <c r="EU14" i="17" l="1"/>
  <c r="FA14" i="17" s="1"/>
  <c r="FA13" i="17"/>
  <c r="EZ13" i="17"/>
  <c r="EU30" i="17"/>
  <c r="EZ26" i="17"/>
  <c r="FA26" i="17"/>
  <c r="EV30" i="17"/>
  <c r="FA12" i="17"/>
  <c r="EZ12" i="17"/>
  <c r="FA27" i="17"/>
  <c r="EZ27" i="17"/>
  <c r="EB31" i="17"/>
  <c r="EW31" i="17" s="1"/>
  <c r="EW29" i="17"/>
  <c r="DZ31" i="17"/>
  <c r="EU29" i="17"/>
  <c r="EU28" i="17"/>
  <c r="EZ14" i="17"/>
  <c r="EV14" i="17"/>
  <c r="EA31" i="17"/>
  <c r="EV29" i="17"/>
  <c r="EV31" i="17" l="1"/>
  <c r="H38" i="21"/>
  <c r="EZ28" i="17"/>
  <c r="FA28" i="17"/>
  <c r="EZ30" i="17"/>
  <c r="FA30" i="17"/>
  <c r="EZ29" i="17"/>
  <c r="FA29" i="17"/>
  <c r="EU31" i="17"/>
  <c r="EZ31" i="17" l="1"/>
  <c r="FA31" i="17"/>
  <c r="H39" i="21"/>
</calcChain>
</file>

<file path=xl/sharedStrings.xml><?xml version="1.0" encoding="utf-8"?>
<sst xmlns="http://schemas.openxmlformats.org/spreadsheetml/2006/main" count="1384" uniqueCount="462">
  <si>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</si>
  <si>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</si>
  <si>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</si>
  <si>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</si>
  <si>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</si>
  <si>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</si>
  <si>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</si>
  <si>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</si>
  <si>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</si>
  <si>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</si>
  <si>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</si>
  <si>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</si>
  <si>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</si>
  <si>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</si>
  <si>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</si>
  <si>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</si>
  <si>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</si>
  <si>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</si>
  <si>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</si>
  <si>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</si>
  <si>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</si>
  <si>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</si>
  <si>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</si>
  <si>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</si>
  <si>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</si>
  <si>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</si>
  <si>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</si>
  <si>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</si>
  <si>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</si>
  <si>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</si>
  <si>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</si>
  <si>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</si>
  <si>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</si>
  <si>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</si>
  <si>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</si>
  <si>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</si>
  <si>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</si>
  <si>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</si>
  <si>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</si>
  <si>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</si>
  <si>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</si>
  <si>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</si>
  <si>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</si>
  <si>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</si>
  <si>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</si>
  <si>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</si>
  <si>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</si>
  <si>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</si>
  <si>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</si>
  <si>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</si>
  <si>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</si>
  <si>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</si>
  <si>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</si>
  <si>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</si>
  <si>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</si>
  <si>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</si>
  <si>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</si>
  <si>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</si>
  <si>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</si>
  <si>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</si>
  <si>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</si>
  <si>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</si>
  <si>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</si>
  <si>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</si>
  <si>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</si>
  <si>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</si>
  <si>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</si>
  <si>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</si>
  <si>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</si>
  <si>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</si>
  <si>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</si>
  <si>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</si>
  <si>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</si>
  <si>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</si>
  <si>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</si>
  <si>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</si>
  <si>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</si>
  <si>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</si>
  <si>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</si>
  <si>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</si>
  <si>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</si>
  <si>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</si>
  <si>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</si>
  <si>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</si>
  <si>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</si>
  <si>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</si>
  <si>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</si>
  <si>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</si>
  <si>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</si>
  <si>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</si>
  <si>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</si>
  <si>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</si>
  <si>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</si>
  <si>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</si>
  <si>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</si>
  <si>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</si>
  <si>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</si>
  <si>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</si>
  <si>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</si>
  <si>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</si>
  <si>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</si>
  <si>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</si>
  <si>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</si>
  <si>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</si>
  <si>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</si>
  <si>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</si>
  <si>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</si>
  <si>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</si>
  <si>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</si>
  <si>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</si>
  <si>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</si>
  <si>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</si>
  <si>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</si>
  <si>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</si>
  <si>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</si>
  <si>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</si>
  <si>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</si>
  <si>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</si>
  <si>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</si>
  <si>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</si>
  <si>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</si>
  <si>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</si>
  <si>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</si>
  <si>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</si>
  <si>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</si>
  <si>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</si>
  <si>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</si>
  <si>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</si>
  <si>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</si>
  <si>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</si>
  <si>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</si>
  <si>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</si>
  <si>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</si>
  <si>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</si>
  <si>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</si>
  <si>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</si>
  <si>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</si>
  <si>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</si>
  <si>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</si>
  <si>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</si>
  <si>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</si>
  <si>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</si>
  <si>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</si>
  <si>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</si>
  <si>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</si>
  <si>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</si>
  <si>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</si>
  <si>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</si>
  <si>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</si>
  <si>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</si>
  <si>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</si>
  <si>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</si>
  <si>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</si>
  <si>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</si>
  <si>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</si>
  <si>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</si>
  <si>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</si>
  <si>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</si>
  <si>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</si>
  <si>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</si>
  <si>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</si>
  <si>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</si>
  <si>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</si>
  <si>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</si>
  <si>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</si>
  <si>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</si>
  <si>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</si>
  <si>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</si>
  <si>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</si>
  <si>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</si>
  <si>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</si>
  <si>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</si>
  <si>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</si>
  <si>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</si>
  <si>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</si>
  <si>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</si>
  <si>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</si>
  <si>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</si>
  <si>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</si>
  <si>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</si>
  <si>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</si>
  <si>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</si>
  <si>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</si>
  <si>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</si>
  <si>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</si>
  <si>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</si>
  <si>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</si>
  <si>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</si>
  <si>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</si>
  <si>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</si>
  <si>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</si>
  <si>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</si>
  <si>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</si>
  <si>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</si>
  <si>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</si>
  <si>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</si>
  <si>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</si>
  <si>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</si>
  <si>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</si>
  <si>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</si>
  <si>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</si>
  <si>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</si>
  <si>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</si>
  <si>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</si>
  <si>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</si>
  <si>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</si>
  <si>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</si>
  <si>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</si>
  <si>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</si>
  <si>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</si>
  <si>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</si>
  <si>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</si>
  <si>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</si>
  <si>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</si>
  <si>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</si>
  <si>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</si>
  <si>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</si>
  <si>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</si>
  <si>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</si>
  <si>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</si>
  <si>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</si>
  <si>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</si>
  <si>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</si>
  <si>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</si>
  <si>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</si>
  <si>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</si>
  <si>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</si>
  <si>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</si>
  <si>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</si>
  <si>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</si>
  <si>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</si>
  <si>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</si>
  <si>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</si>
  <si>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</si>
  <si>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</si>
  <si>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</si>
  <si>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</si>
  <si>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</si>
  <si>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</si>
  <si>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</si>
  <si>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</si>
  <si>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</si>
  <si>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</si>
  <si>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</si>
  <si>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</si>
  <si>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</si>
  <si>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</si>
  <si>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</si>
  <si>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</si>
  <si>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</si>
  <si>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</si>
  <si>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</si>
  <si>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</si>
  <si>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</si>
  <si>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</si>
  <si>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</si>
  <si>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</si>
  <si>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</si>
  <si>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</si>
  <si>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</si>
  <si>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</si>
  <si>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</si>
  <si>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</si>
  <si>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</si>
  <si>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</si>
  <si>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</si>
  <si>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</si>
  <si>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</si>
  <si>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</si>
  <si>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</si>
  <si>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</si>
  <si>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</si>
  <si>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</si>
  <si>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</si>
  <si>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</si>
  <si>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</si>
  <si>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</si>
  <si>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</si>
  <si>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</si>
  <si>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</si>
  <si>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</si>
  <si>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</si>
  <si>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</si>
  <si>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</si>
  <si>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</si>
  <si>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</si>
  <si>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</si>
  <si>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</si>
  <si>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</si>
  <si>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</si>
  <si>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</si>
  <si>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</si>
  <si>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</si>
  <si>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</si>
  <si>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</si>
  <si>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</si>
  <si>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</si>
  <si>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</si>
  <si>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</si>
  <si>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</si>
  <si>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</si>
  <si>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</si>
  <si>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</si>
  <si>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</si>
  <si>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</si>
  <si>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</si>
  <si>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</si>
  <si>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</si>
  <si>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</si>
  <si>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</si>
  <si>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</si>
  <si>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</si>
  <si>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</si>
  <si>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</si>
  <si>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</si>
  <si>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</si>
  <si>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</si>
  <si>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</si>
  <si>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</si>
  <si>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</si>
  <si>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</si>
  <si>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</si>
  <si>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</si>
  <si>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</si>
  <si>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</si>
  <si>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</si>
  <si>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</si>
  <si>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</si>
  <si>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</si>
  <si>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</si>
  <si>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</si>
  <si>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</si>
  <si>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</si>
  <si>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</si>
  <si>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</si>
  <si>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</si>
  <si>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</si>
  <si>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</si>
  <si>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</si>
  <si>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</si>
  <si>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</si>
  <si>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</si>
  <si>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</si>
  <si>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</si>
  <si>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</si>
  <si>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</si>
  <si>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</si>
  <si>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</si>
  <si>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</si>
  <si>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</si>
  <si>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</si>
  <si>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</si>
  <si>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</si>
  <si>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</si>
  <si>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</si>
  <si>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</si>
  <si>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</si>
  <si>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</si>
  <si>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</si>
  <si>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</si>
  <si>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</si>
  <si>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</si>
  <si>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</si>
  <si>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</si>
  <si>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</si>
  <si>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</si>
  <si>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</si>
  <si>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</si>
  <si>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</si>
  <si>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</si>
  <si>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</si>
  <si>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</si>
  <si>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</si>
  <si>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</si>
  <si>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</si>
  <si>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</si>
  <si>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</si>
  <si>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</si>
  <si>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</si>
  <si>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</si>
  <si>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</si>
  <si>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</si>
  <si>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</si>
  <si>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</si>
  <si>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</si>
  <si>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</si>
  <si>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</si>
  <si>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</si>
  <si>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</si>
  <si>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</si>
  <si>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</si>
  <si>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</si>
  <si>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</si>
  <si>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</si>
  <si>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</si>
  <si>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</si>
  <si>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</si>
  <si>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</si>
  <si>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</si>
  <si>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</si>
  <si>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</si>
  <si>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</si>
  <si>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</si>
  <si>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</si>
  <si>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</si>
  <si>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</si>
  <si>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</si>
  <si>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</si>
  <si>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</si>
  <si>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</si>
  <si>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</si>
  <si>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</si>
  <si>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</si>
  <si>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</si>
  <si>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</si>
  <si>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</si>
  <si>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</si>
  <si>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</si>
  <si>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</si>
  <si>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</si>
  <si>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</si>
  <si>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</si>
  <si>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</si>
  <si>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</si>
  <si>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</si>
  <si>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</si>
  <si>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45202_8</t>
  </si>
  <si>
    <t>45202_1</t>
  </si>
  <si>
    <t>都城市</t>
    <rPh sb="0" eb="2">
      <t>ミヤコノジョウ</t>
    </rPh>
    <rPh sb="2" eb="3">
      <t>シ</t>
    </rPh>
    <phoneticPr fontId="1"/>
  </si>
  <si>
    <t>姫城地区</t>
  </si>
  <si>
    <t>45202_2</t>
  </si>
  <si>
    <t>妻ケ丘地区</t>
  </si>
  <si>
    <t>45202_3</t>
  </si>
  <si>
    <t>小松原地区</t>
  </si>
  <si>
    <t>45202_4</t>
  </si>
  <si>
    <t>祝吉地区</t>
  </si>
  <si>
    <t>45202_5</t>
  </si>
  <si>
    <t>五十市地区</t>
  </si>
  <si>
    <t>45202_6</t>
  </si>
  <si>
    <t>横市地区</t>
  </si>
  <si>
    <t>45202_7</t>
  </si>
  <si>
    <t>沖水地区</t>
  </si>
  <si>
    <t>志和池地区</t>
  </si>
  <si>
    <t>45202_9</t>
  </si>
  <si>
    <t>庄内地区</t>
  </si>
  <si>
    <t>45202_10</t>
  </si>
  <si>
    <t>西岳地区</t>
  </si>
  <si>
    <t>45202_11</t>
  </si>
  <si>
    <t>中郷地区</t>
  </si>
  <si>
    <t>45202_12</t>
  </si>
  <si>
    <t>山之口地区</t>
  </si>
  <si>
    <t>45202_13</t>
  </si>
  <si>
    <t>高城地区</t>
  </si>
  <si>
    <t>45202_14</t>
  </si>
  <si>
    <t>山田地区</t>
  </si>
  <si>
    <t>45202_15</t>
  </si>
  <si>
    <t>高崎地区</t>
  </si>
  <si>
    <t>45202_14</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</si>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</sst>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449</c:v>
                </c:pt>
                <c:pt idx="1">
                  <c:v>392</c:v>
                </c:pt>
                <c:pt idx="2">
                  <c:v>329</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6496288"/>
        <c:axId val="386490016"/>
      </c:barChart>
      <c:catAx>
        <c:axId val="386496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0016"/>
        <c:crosses val="autoZero"/>
        <c:auto val="1"/>
        <c:lblAlgn val="ctr"/>
        <c:lblOffset val="100"/>
        <c:noMultiLvlLbl val="0"/>
      </c:catAx>
      <c:valAx>
        <c:axId val="386490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62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227</c:v>
                </c:pt>
                <c:pt idx="1">
                  <c:v>212</c:v>
                </c:pt>
                <c:pt idx="2">
                  <c:v>176</c:v>
                </c:pt>
                <c:pt idx="3">
                  <c:v>153</c:v>
                </c:pt>
                <c:pt idx="4">
                  <c:v>127</c:v>
                </c:pt>
                <c:pt idx="5">
                  <c:v>102</c:v>
                </c:pt>
                <c:pt idx="6">
                  <c:v>86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7812312"/>
        <c:axId val="457813488"/>
      </c:barChart>
      <c:catAx>
        <c:axId val="457812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13488"/>
        <c:crosses val="autoZero"/>
        <c:auto val="1"/>
        <c:lblAlgn val="ctr"/>
        <c:lblOffset val="100"/>
        <c:noMultiLvlLbl val="0"/>
      </c:catAx>
      <c:valAx>
        <c:axId val="457813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123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0.32</c:v>
                </c:pt>
                <c:pt idx="1">
                  <c:v>0.35</c:v>
                </c:pt>
                <c:pt idx="2">
                  <c:v>0.39</c:v>
                </c:pt>
                <c:pt idx="3">
                  <c:v>0.43</c:v>
                </c:pt>
                <c:pt idx="4">
                  <c:v>0.45</c:v>
                </c:pt>
                <c:pt idx="5">
                  <c:v>0.45</c:v>
                </c:pt>
                <c:pt idx="6">
                  <c:v>0.47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7813880"/>
        <c:axId val="457812704"/>
      </c:barChart>
      <c:catAx>
        <c:axId val="457813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12704"/>
        <c:crosses val="autoZero"/>
        <c:auto val="1"/>
        <c:lblAlgn val="ctr"/>
        <c:lblOffset val="100"/>
        <c:noMultiLvlLbl val="0"/>
      </c:catAx>
      <c:valAx>
        <c:axId val="457812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138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0.19</c:v>
                </c:pt>
                <c:pt idx="1">
                  <c:v>0.2</c:v>
                </c:pt>
                <c:pt idx="2">
                  <c:v>0.2</c:v>
                </c:pt>
                <c:pt idx="3">
                  <c:v>0.23</c:v>
                </c:pt>
                <c:pt idx="4">
                  <c:v>0.27</c:v>
                </c:pt>
                <c:pt idx="5">
                  <c:v>0.3</c:v>
                </c:pt>
                <c:pt idx="6">
                  <c:v>0.3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7815056"/>
        <c:axId val="457811136"/>
      </c:barChart>
      <c:catAx>
        <c:axId val="457815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11136"/>
        <c:crosses val="autoZero"/>
        <c:auto val="1"/>
        <c:lblAlgn val="ctr"/>
        <c:lblOffset val="100"/>
        <c:noMultiLvlLbl val="0"/>
      </c:catAx>
      <c:valAx>
        <c:axId val="457811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150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989477021231241"/>
          <c:y val="2.312114366525764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968-4B3B-B54C-70055A151CFE}"/>
                </c:ext>
                <c:ext xmlns:c15="http://schemas.microsoft.com/office/drawing/2012/chart" uri="{CE6537A1-D6FC-4f65-9D91-7224C49458BB}"/>
              </c:extLst>
            </c:dLbl>
            <c:dLbl>
              <c:idx val="20"/>
              <c:layout>
                <c:manualLayout>
                  <c:x val="-4.1053440711924648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968-4B3B-B54C-70055A151CF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64</c:v>
                </c:pt>
                <c:pt idx="1">
                  <c:v>82</c:v>
                </c:pt>
                <c:pt idx="2">
                  <c:v>105</c:v>
                </c:pt>
                <c:pt idx="3">
                  <c:v>103</c:v>
                </c:pt>
                <c:pt idx="4">
                  <c:v>63</c:v>
                </c:pt>
                <c:pt idx="5">
                  <c:v>79</c:v>
                </c:pt>
                <c:pt idx="6">
                  <c:v>82</c:v>
                </c:pt>
                <c:pt idx="7">
                  <c:v>78</c:v>
                </c:pt>
                <c:pt idx="8">
                  <c:v>122</c:v>
                </c:pt>
                <c:pt idx="9">
                  <c:v>147</c:v>
                </c:pt>
                <c:pt idx="10">
                  <c:v>160</c:v>
                </c:pt>
                <c:pt idx="11">
                  <c:v>208</c:v>
                </c:pt>
                <c:pt idx="12">
                  <c:v>156</c:v>
                </c:pt>
                <c:pt idx="13">
                  <c:v>178</c:v>
                </c:pt>
                <c:pt idx="14">
                  <c:v>247</c:v>
                </c:pt>
                <c:pt idx="15">
                  <c:v>266</c:v>
                </c:pt>
                <c:pt idx="16">
                  <c:v>173</c:v>
                </c:pt>
                <c:pt idx="17">
                  <c:v>83</c:v>
                </c:pt>
                <c:pt idx="18">
                  <c:v>40</c:v>
                </c:pt>
                <c:pt idx="19">
                  <c:v>9</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7808784"/>
        <c:axId val="45780956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69</c:v>
                </c:pt>
                <c:pt idx="1">
                  <c:v>84</c:v>
                </c:pt>
                <c:pt idx="2">
                  <c:v>104</c:v>
                </c:pt>
                <c:pt idx="3">
                  <c:v>114</c:v>
                </c:pt>
                <c:pt idx="4">
                  <c:v>63</c:v>
                </c:pt>
                <c:pt idx="5">
                  <c:v>66</c:v>
                </c:pt>
                <c:pt idx="6">
                  <c:v>80</c:v>
                </c:pt>
                <c:pt idx="7">
                  <c:v>86</c:v>
                </c:pt>
                <c:pt idx="8">
                  <c:v>101</c:v>
                </c:pt>
                <c:pt idx="9">
                  <c:v>134</c:v>
                </c:pt>
                <c:pt idx="10">
                  <c:v>192</c:v>
                </c:pt>
                <c:pt idx="11">
                  <c:v>163</c:v>
                </c:pt>
                <c:pt idx="12">
                  <c:v>181</c:v>
                </c:pt>
                <c:pt idx="13">
                  <c:v>206</c:v>
                </c:pt>
                <c:pt idx="14">
                  <c:v>285</c:v>
                </c:pt>
                <c:pt idx="15">
                  <c:v>302</c:v>
                </c:pt>
                <c:pt idx="16">
                  <c:v>246</c:v>
                </c:pt>
                <c:pt idx="17">
                  <c:v>137</c:v>
                </c:pt>
                <c:pt idx="18">
                  <c:v>93</c:v>
                </c:pt>
                <c:pt idx="19">
                  <c:v>39</c:v>
                </c:pt>
                <c:pt idx="20">
                  <c:v>10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7809176"/>
        <c:axId val="457809960"/>
      </c:barChart>
      <c:catAx>
        <c:axId val="4578087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09568"/>
        <c:crosses val="autoZero"/>
        <c:auto val="1"/>
        <c:lblAlgn val="ctr"/>
        <c:lblOffset val="100"/>
        <c:noMultiLvlLbl val="0"/>
      </c:catAx>
      <c:valAx>
        <c:axId val="45780956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08784"/>
        <c:crosses val="autoZero"/>
        <c:crossBetween val="between"/>
        <c:majorUnit val="250"/>
      </c:valAx>
      <c:valAx>
        <c:axId val="45780996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09176"/>
        <c:crosses val="max"/>
        <c:crossBetween val="between"/>
        <c:majorUnit val="250"/>
      </c:valAx>
      <c:catAx>
        <c:axId val="457809176"/>
        <c:scaling>
          <c:orientation val="minMax"/>
        </c:scaling>
        <c:delete val="1"/>
        <c:axPos val="l"/>
        <c:numFmt formatCode="General" sourceLinked="1"/>
        <c:majorTickMark val="out"/>
        <c:minorTickMark val="none"/>
        <c:tickLblPos val="nextTo"/>
        <c:crossAx val="457809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8D5-4AE8-932A-585F13A1A134}"/>
                </c:ext>
                <c:ext xmlns:c15="http://schemas.microsoft.com/office/drawing/2012/chart" uri="{CE6537A1-D6FC-4f65-9D91-7224C49458BB}"/>
              </c:extLst>
            </c:dLbl>
            <c:dLbl>
              <c:idx val="20"/>
              <c:layout>
                <c:manualLayout>
                  <c:x val="-3.7841113540655051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8D5-4AE8-932A-585F13A1A13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49</c:v>
                </c:pt>
                <c:pt idx="1">
                  <c:v>63</c:v>
                </c:pt>
                <c:pt idx="2">
                  <c:v>72</c:v>
                </c:pt>
                <c:pt idx="3">
                  <c:v>67</c:v>
                </c:pt>
                <c:pt idx="4">
                  <c:v>42</c:v>
                </c:pt>
                <c:pt idx="5">
                  <c:v>50</c:v>
                </c:pt>
                <c:pt idx="6">
                  <c:v>58</c:v>
                </c:pt>
                <c:pt idx="7">
                  <c:v>78</c:v>
                </c:pt>
                <c:pt idx="8">
                  <c:v>81</c:v>
                </c:pt>
                <c:pt idx="9">
                  <c:v>75</c:v>
                </c:pt>
                <c:pt idx="10">
                  <c:v>117</c:v>
                </c:pt>
                <c:pt idx="11">
                  <c:v>147</c:v>
                </c:pt>
                <c:pt idx="12">
                  <c:v>161</c:v>
                </c:pt>
                <c:pt idx="13">
                  <c:v>197</c:v>
                </c:pt>
                <c:pt idx="14">
                  <c:v>138</c:v>
                </c:pt>
                <c:pt idx="15">
                  <c:v>139</c:v>
                </c:pt>
                <c:pt idx="16">
                  <c:v>156</c:v>
                </c:pt>
                <c:pt idx="17">
                  <c:v>127</c:v>
                </c:pt>
                <c:pt idx="18">
                  <c:v>43</c:v>
                </c:pt>
                <c:pt idx="19">
                  <c:v>7</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86492368"/>
        <c:axId val="38649354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52</c:v>
                </c:pt>
                <c:pt idx="1">
                  <c:v>64</c:v>
                </c:pt>
                <c:pt idx="2">
                  <c:v>72</c:v>
                </c:pt>
                <c:pt idx="3">
                  <c:v>73</c:v>
                </c:pt>
                <c:pt idx="4">
                  <c:v>49</c:v>
                </c:pt>
                <c:pt idx="5">
                  <c:v>54</c:v>
                </c:pt>
                <c:pt idx="6">
                  <c:v>54</c:v>
                </c:pt>
                <c:pt idx="7">
                  <c:v>66</c:v>
                </c:pt>
                <c:pt idx="8">
                  <c:v>79</c:v>
                </c:pt>
                <c:pt idx="9">
                  <c:v>80</c:v>
                </c:pt>
                <c:pt idx="10">
                  <c:v>98</c:v>
                </c:pt>
                <c:pt idx="11">
                  <c:v>132</c:v>
                </c:pt>
                <c:pt idx="12">
                  <c:v>190</c:v>
                </c:pt>
                <c:pt idx="13">
                  <c:v>164</c:v>
                </c:pt>
                <c:pt idx="14">
                  <c:v>175</c:v>
                </c:pt>
                <c:pt idx="15">
                  <c:v>192</c:v>
                </c:pt>
                <c:pt idx="16">
                  <c:v>227</c:v>
                </c:pt>
                <c:pt idx="17">
                  <c:v>183</c:v>
                </c:pt>
                <c:pt idx="18">
                  <c:v>95</c:v>
                </c:pt>
                <c:pt idx="19">
                  <c:v>26</c:v>
                </c:pt>
                <c:pt idx="20">
                  <c:v>8</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4336048"/>
        <c:axId val="386493152"/>
      </c:barChart>
      <c:catAx>
        <c:axId val="3864923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3544"/>
        <c:crosses val="autoZero"/>
        <c:auto val="1"/>
        <c:lblAlgn val="ctr"/>
        <c:lblOffset val="100"/>
        <c:noMultiLvlLbl val="0"/>
      </c:catAx>
      <c:valAx>
        <c:axId val="38649354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2368"/>
        <c:crosses val="autoZero"/>
        <c:crossBetween val="between"/>
        <c:majorUnit val="250"/>
      </c:valAx>
      <c:valAx>
        <c:axId val="38649315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36048"/>
        <c:crosses val="max"/>
        <c:crossBetween val="between"/>
        <c:majorUnit val="250"/>
      </c:valAx>
      <c:catAx>
        <c:axId val="394336048"/>
        <c:scaling>
          <c:orientation val="minMax"/>
        </c:scaling>
        <c:delete val="1"/>
        <c:axPos val="l"/>
        <c:numFmt formatCode="General" sourceLinked="1"/>
        <c:majorTickMark val="out"/>
        <c:minorTickMark val="none"/>
        <c:tickLblPos val="nextTo"/>
        <c:crossAx val="3864931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7807</c:v>
                </c:pt>
                <c:pt idx="1">
                  <c:v>7070</c:v>
                </c:pt>
                <c:pt idx="2">
                  <c:v>6528</c:v>
                </c:pt>
                <c:pt idx="3">
                  <c:v>5847</c:v>
                </c:pt>
                <c:pt idx="4">
                  <c:v>5200</c:v>
                </c:pt>
                <c:pt idx="5">
                  <c:v>4589</c:v>
                </c:pt>
                <c:pt idx="6">
                  <c:v>4000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94E-4A5D-B56F-7548A2B2C79B}"/>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94E-4A5D-B56F-7548A2B2C79B}"/>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94E-4A5D-B56F-7548A2B2C79B}"/>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94E-4A5D-B56F-7548A2B2C79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5856</c:v>
                </c:pt>
                <c:pt idx="4" formatCode="#,##0_);[Red]\(#,##0\)">
                  <c:v>5219</c:v>
                </c:pt>
                <c:pt idx="5" formatCode="#,##0_);[Red]\(#,##0\)">
                  <c:v>4618</c:v>
                </c:pt>
                <c:pt idx="6" formatCode="#,##0_);[Red]\(#,##0\)">
                  <c:v>4042</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8631048"/>
        <c:axId val="458634184"/>
      </c:barChart>
      <c:catAx>
        <c:axId val="458631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34184"/>
        <c:crosses val="autoZero"/>
        <c:auto val="1"/>
        <c:lblAlgn val="ctr"/>
        <c:lblOffset val="100"/>
        <c:noMultiLvlLbl val="0"/>
      </c:catAx>
      <c:valAx>
        <c:axId val="4586341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3104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449</c:v>
                </c:pt>
                <c:pt idx="1">
                  <c:v>392</c:v>
                </c:pt>
                <c:pt idx="2">
                  <c:v>329</c:v>
                </c:pt>
                <c:pt idx="3">
                  <c:v>281</c:v>
                </c:pt>
                <c:pt idx="4">
                  <c:v>225</c:v>
                </c:pt>
                <c:pt idx="5">
                  <c:v>187</c:v>
                </c:pt>
                <c:pt idx="6">
                  <c:v>163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282</c:v>
                </c:pt>
                <c:pt idx="4">
                  <c:v>227</c:v>
                </c:pt>
                <c:pt idx="5">
                  <c:v>192</c:v>
                </c:pt>
                <c:pt idx="6">
                  <c:v>170</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8634968"/>
        <c:axId val="458630264"/>
      </c:barChart>
      <c:catAx>
        <c:axId val="458634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30264"/>
        <c:crosses val="autoZero"/>
        <c:auto val="1"/>
        <c:lblAlgn val="ctr"/>
        <c:lblOffset val="100"/>
        <c:noMultiLvlLbl val="0"/>
      </c:catAx>
      <c:valAx>
        <c:axId val="4586302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3496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0.32</c:v>
                </c:pt>
                <c:pt idx="1">
                  <c:v>0.35</c:v>
                </c:pt>
                <c:pt idx="2">
                  <c:v>0.39</c:v>
                </c:pt>
                <c:pt idx="3">
                  <c:v>0.43</c:v>
                </c:pt>
                <c:pt idx="4">
                  <c:v>0.45</c:v>
                </c:pt>
                <c:pt idx="5">
                  <c:v>0.45</c:v>
                </c:pt>
                <c:pt idx="6">
                  <c:v>0.47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341-4C9A-B01B-2B33CB78D3E6}"/>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341-4C9A-B01B-2B33CB78D3E6}"/>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341-4C9A-B01B-2B33CB78D3E6}"/>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341-4C9A-B01B-2B33CB78D3E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0.43</c:v>
                </c:pt>
                <c:pt idx="4" formatCode="0%">
                  <c:v>0.44</c:v>
                </c:pt>
                <c:pt idx="5" formatCode="0%">
                  <c:v>0.45</c:v>
                </c:pt>
                <c:pt idx="6" formatCode="0%">
                  <c:v>0.46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8627912"/>
        <c:axId val="458629088"/>
      </c:barChart>
      <c:catAx>
        <c:axId val="458627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29088"/>
        <c:crosses val="autoZero"/>
        <c:auto val="1"/>
        <c:lblAlgn val="ctr"/>
        <c:lblOffset val="100"/>
        <c:noMultiLvlLbl val="0"/>
      </c:catAx>
      <c:valAx>
        <c:axId val="458629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2791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0.19</c:v>
                </c:pt>
                <c:pt idx="1">
                  <c:v>0.2</c:v>
                </c:pt>
                <c:pt idx="2">
                  <c:v>0.2</c:v>
                </c:pt>
                <c:pt idx="3">
                  <c:v>0.23</c:v>
                </c:pt>
                <c:pt idx="4">
                  <c:v>0.27</c:v>
                </c:pt>
                <c:pt idx="5">
                  <c:v>0.3</c:v>
                </c:pt>
                <c:pt idx="6">
                  <c:v>0.3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4CD-4C33-AFA5-5343A85E4A07}"/>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4CD-4C33-AFA5-5343A85E4A07}"/>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4CD-4C33-AFA5-5343A85E4A07}"/>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4CD-4C33-AFA5-5343A85E4A0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0.23</c:v>
                </c:pt>
                <c:pt idx="4" formatCode="0%">
                  <c:v>0.27</c:v>
                </c:pt>
                <c:pt idx="5" formatCode="0%">
                  <c:v>0.3</c:v>
                </c:pt>
                <c:pt idx="6" formatCode="0%">
                  <c:v>0.3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8630656"/>
        <c:axId val="458633008"/>
      </c:barChart>
      <c:catAx>
        <c:axId val="458630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33008"/>
        <c:crosses val="autoZero"/>
        <c:auto val="1"/>
        <c:lblAlgn val="ctr"/>
        <c:lblOffset val="100"/>
        <c:noMultiLvlLbl val="0"/>
      </c:catAx>
      <c:valAx>
        <c:axId val="4586330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306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227</c:v>
                </c:pt>
                <c:pt idx="1">
                  <c:v>212</c:v>
                </c:pt>
                <c:pt idx="2">
                  <c:v>176</c:v>
                </c:pt>
                <c:pt idx="3">
                  <c:v>153</c:v>
                </c:pt>
                <c:pt idx="4">
                  <c:v>127</c:v>
                </c:pt>
                <c:pt idx="5">
                  <c:v>102</c:v>
                </c:pt>
                <c:pt idx="6">
                  <c:v>86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154</c:v>
                </c:pt>
                <c:pt idx="4">
                  <c:v>128</c:v>
                </c:pt>
                <c:pt idx="5">
                  <c:v>104</c:v>
                </c:pt>
                <c:pt idx="6">
                  <c:v>89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8631440"/>
        <c:axId val="458628696"/>
      </c:barChart>
      <c:catAx>
        <c:axId val="458631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28696"/>
        <c:crosses val="autoZero"/>
        <c:auto val="1"/>
        <c:lblAlgn val="ctr"/>
        <c:lblOffset val="100"/>
        <c:noMultiLvlLbl val="0"/>
      </c:catAx>
      <c:valAx>
        <c:axId val="4586286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3144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227</c:v>
                </c:pt>
                <c:pt idx="1">
                  <c:v>212</c:v>
                </c:pt>
                <c:pt idx="2">
                  <c:v>176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6492760"/>
        <c:axId val="386490800"/>
      </c:barChart>
      <c:catAx>
        <c:axId val="386492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0800"/>
        <c:crosses val="autoZero"/>
        <c:auto val="1"/>
        <c:lblAlgn val="ctr"/>
        <c:lblOffset val="100"/>
        <c:noMultiLvlLbl val="0"/>
      </c:catAx>
      <c:valAx>
        <c:axId val="386490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4927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00C-4876-A0D5-161F055568FA}"/>
                </c:ext>
                <c:ext xmlns:c15="http://schemas.microsoft.com/office/drawing/2012/chart" uri="{CE6537A1-D6FC-4f65-9D91-7224C49458BB}"/>
              </c:extLst>
            </c:dLbl>
            <c:dLbl>
              <c:idx val="20"/>
              <c:layout>
                <c:manualLayout>
                  <c:x val="-3.62883755697865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00C-4876-A0D5-161F055568F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66</c:v>
                </c:pt>
                <c:pt idx="1">
                  <c:v>83</c:v>
                </c:pt>
                <c:pt idx="2">
                  <c:v>106</c:v>
                </c:pt>
                <c:pt idx="3">
                  <c:v>104</c:v>
                </c:pt>
                <c:pt idx="4">
                  <c:v>63</c:v>
                </c:pt>
                <c:pt idx="5">
                  <c:v>81</c:v>
                </c:pt>
                <c:pt idx="6">
                  <c:v>83</c:v>
                </c:pt>
                <c:pt idx="7">
                  <c:v>78</c:v>
                </c:pt>
                <c:pt idx="8">
                  <c:v>122</c:v>
                </c:pt>
                <c:pt idx="9">
                  <c:v>147</c:v>
                </c:pt>
                <c:pt idx="10">
                  <c:v>160</c:v>
                </c:pt>
                <c:pt idx="11">
                  <c:v>208</c:v>
                </c:pt>
                <c:pt idx="12">
                  <c:v>156</c:v>
                </c:pt>
                <c:pt idx="13">
                  <c:v>178</c:v>
                </c:pt>
                <c:pt idx="14">
                  <c:v>247</c:v>
                </c:pt>
                <c:pt idx="15">
                  <c:v>266</c:v>
                </c:pt>
                <c:pt idx="16">
                  <c:v>173</c:v>
                </c:pt>
                <c:pt idx="17">
                  <c:v>83</c:v>
                </c:pt>
                <c:pt idx="18">
                  <c:v>40</c:v>
                </c:pt>
                <c:pt idx="19">
                  <c:v>9</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8633792"/>
        <c:axId val="45862948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71</c:v>
                </c:pt>
                <c:pt idx="1">
                  <c:v>85</c:v>
                </c:pt>
                <c:pt idx="2">
                  <c:v>105</c:v>
                </c:pt>
                <c:pt idx="3">
                  <c:v>115</c:v>
                </c:pt>
                <c:pt idx="4">
                  <c:v>63</c:v>
                </c:pt>
                <c:pt idx="5">
                  <c:v>68</c:v>
                </c:pt>
                <c:pt idx="6">
                  <c:v>82</c:v>
                </c:pt>
                <c:pt idx="7">
                  <c:v>86</c:v>
                </c:pt>
                <c:pt idx="8">
                  <c:v>102</c:v>
                </c:pt>
                <c:pt idx="9">
                  <c:v>135</c:v>
                </c:pt>
                <c:pt idx="10">
                  <c:v>192</c:v>
                </c:pt>
                <c:pt idx="11">
                  <c:v>163</c:v>
                </c:pt>
                <c:pt idx="12">
                  <c:v>181</c:v>
                </c:pt>
                <c:pt idx="13">
                  <c:v>206</c:v>
                </c:pt>
                <c:pt idx="14">
                  <c:v>285</c:v>
                </c:pt>
                <c:pt idx="15">
                  <c:v>302</c:v>
                </c:pt>
                <c:pt idx="16">
                  <c:v>246</c:v>
                </c:pt>
                <c:pt idx="17">
                  <c:v>137</c:v>
                </c:pt>
                <c:pt idx="18">
                  <c:v>93</c:v>
                </c:pt>
                <c:pt idx="19">
                  <c:v>39</c:v>
                </c:pt>
                <c:pt idx="20">
                  <c:v>10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8926688"/>
        <c:axId val="458633400"/>
      </c:barChart>
      <c:catAx>
        <c:axId val="4586337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29480"/>
        <c:crosses val="autoZero"/>
        <c:auto val="1"/>
        <c:lblAlgn val="ctr"/>
        <c:lblOffset val="100"/>
        <c:noMultiLvlLbl val="0"/>
      </c:catAx>
      <c:valAx>
        <c:axId val="45862948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33792"/>
        <c:crosses val="autoZero"/>
        <c:crossBetween val="between"/>
        <c:majorUnit val="250"/>
      </c:valAx>
      <c:valAx>
        <c:axId val="45863340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26688"/>
        <c:crosses val="max"/>
        <c:crossBetween val="between"/>
        <c:majorUnit val="250"/>
      </c:valAx>
      <c:catAx>
        <c:axId val="458926688"/>
        <c:scaling>
          <c:orientation val="minMax"/>
        </c:scaling>
        <c:delete val="1"/>
        <c:axPos val="l"/>
        <c:numFmt formatCode="General" sourceLinked="1"/>
        <c:majorTickMark val="out"/>
        <c:minorTickMark val="none"/>
        <c:tickLblPos val="nextTo"/>
        <c:crossAx val="4586334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26F-4DB0-A27E-A0FFB2161C0C}"/>
                </c:ext>
                <c:ext xmlns:c15="http://schemas.microsoft.com/office/drawing/2012/chart" uri="{CE6537A1-D6FC-4f65-9D91-7224C49458BB}"/>
              </c:extLst>
            </c:dLbl>
            <c:dLbl>
              <c:idx val="20"/>
              <c:layout>
                <c:manualLayout>
                  <c:x val="-4.525701235288478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26F-4DB0-A27E-A0FFB2161C0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51</c:v>
                </c:pt>
                <c:pt idx="1">
                  <c:v>65</c:v>
                </c:pt>
                <c:pt idx="2">
                  <c:v>76</c:v>
                </c:pt>
                <c:pt idx="3">
                  <c:v>69</c:v>
                </c:pt>
                <c:pt idx="4">
                  <c:v>42</c:v>
                </c:pt>
                <c:pt idx="5">
                  <c:v>53</c:v>
                </c:pt>
                <c:pt idx="6">
                  <c:v>60</c:v>
                </c:pt>
                <c:pt idx="7">
                  <c:v>80</c:v>
                </c:pt>
                <c:pt idx="8">
                  <c:v>83</c:v>
                </c:pt>
                <c:pt idx="9">
                  <c:v>75</c:v>
                </c:pt>
                <c:pt idx="10">
                  <c:v>117</c:v>
                </c:pt>
                <c:pt idx="11">
                  <c:v>147</c:v>
                </c:pt>
                <c:pt idx="12">
                  <c:v>161</c:v>
                </c:pt>
                <c:pt idx="13">
                  <c:v>197</c:v>
                </c:pt>
                <c:pt idx="14">
                  <c:v>138</c:v>
                </c:pt>
                <c:pt idx="15">
                  <c:v>139</c:v>
                </c:pt>
                <c:pt idx="16">
                  <c:v>156</c:v>
                </c:pt>
                <c:pt idx="17">
                  <c:v>127</c:v>
                </c:pt>
                <c:pt idx="18">
                  <c:v>43</c:v>
                </c:pt>
                <c:pt idx="19">
                  <c:v>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927080"/>
        <c:axId val="45892080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55</c:v>
                </c:pt>
                <c:pt idx="1">
                  <c:v>66</c:v>
                </c:pt>
                <c:pt idx="2">
                  <c:v>75</c:v>
                </c:pt>
                <c:pt idx="3">
                  <c:v>75</c:v>
                </c:pt>
                <c:pt idx="4">
                  <c:v>50</c:v>
                </c:pt>
                <c:pt idx="5">
                  <c:v>57</c:v>
                </c:pt>
                <c:pt idx="6">
                  <c:v>56</c:v>
                </c:pt>
                <c:pt idx="7">
                  <c:v>68</c:v>
                </c:pt>
                <c:pt idx="8">
                  <c:v>82</c:v>
                </c:pt>
                <c:pt idx="9">
                  <c:v>81</c:v>
                </c:pt>
                <c:pt idx="10">
                  <c:v>98</c:v>
                </c:pt>
                <c:pt idx="11">
                  <c:v>133</c:v>
                </c:pt>
                <c:pt idx="12">
                  <c:v>190</c:v>
                </c:pt>
                <c:pt idx="13">
                  <c:v>164</c:v>
                </c:pt>
                <c:pt idx="14">
                  <c:v>175</c:v>
                </c:pt>
                <c:pt idx="15">
                  <c:v>192</c:v>
                </c:pt>
                <c:pt idx="16">
                  <c:v>227</c:v>
                </c:pt>
                <c:pt idx="17">
                  <c:v>183</c:v>
                </c:pt>
                <c:pt idx="18">
                  <c:v>95</c:v>
                </c:pt>
                <c:pt idx="19">
                  <c:v>26</c:v>
                </c:pt>
                <c:pt idx="20">
                  <c:v>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8921984"/>
        <c:axId val="458921592"/>
      </c:barChart>
      <c:catAx>
        <c:axId val="4589270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20808"/>
        <c:crosses val="autoZero"/>
        <c:auto val="1"/>
        <c:lblAlgn val="ctr"/>
        <c:lblOffset val="100"/>
        <c:noMultiLvlLbl val="0"/>
      </c:catAx>
      <c:valAx>
        <c:axId val="45892080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27080"/>
        <c:crosses val="autoZero"/>
        <c:crossBetween val="between"/>
        <c:majorUnit val="250"/>
      </c:valAx>
      <c:valAx>
        <c:axId val="45892159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21984"/>
        <c:crosses val="max"/>
        <c:crossBetween val="between"/>
        <c:majorUnit val="250"/>
      </c:valAx>
      <c:catAx>
        <c:axId val="458921984"/>
        <c:scaling>
          <c:orientation val="minMax"/>
        </c:scaling>
        <c:delete val="1"/>
        <c:axPos val="l"/>
        <c:numFmt formatCode="General" sourceLinked="1"/>
        <c:majorTickMark val="out"/>
        <c:minorTickMark val="none"/>
        <c:tickLblPos val="nextTo"/>
        <c:crossAx val="4589215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133</c:v>
                </c:pt>
                <c:pt idx="1">
                  <c:v>166</c:v>
                </c:pt>
                <c:pt idx="2">
                  <c:v>209</c:v>
                </c:pt>
                <c:pt idx="3">
                  <c:v>217</c:v>
                </c:pt>
                <c:pt idx="4">
                  <c:v>126</c:v>
                </c:pt>
                <c:pt idx="5">
                  <c:v>145</c:v>
                </c:pt>
                <c:pt idx="6">
                  <c:v>162</c:v>
                </c:pt>
                <c:pt idx="7">
                  <c:v>164</c:v>
                </c:pt>
                <c:pt idx="8">
                  <c:v>223</c:v>
                </c:pt>
                <c:pt idx="9">
                  <c:v>281</c:v>
                </c:pt>
                <c:pt idx="10">
                  <c:v>352</c:v>
                </c:pt>
                <c:pt idx="11">
                  <c:v>371</c:v>
                </c:pt>
                <c:pt idx="12">
                  <c:v>337</c:v>
                </c:pt>
                <c:pt idx="13">
                  <c:v>384</c:v>
                </c:pt>
                <c:pt idx="14">
                  <c:v>532</c:v>
                </c:pt>
                <c:pt idx="15">
                  <c:v>568</c:v>
                </c:pt>
                <c:pt idx="16">
                  <c:v>419</c:v>
                </c:pt>
                <c:pt idx="17">
                  <c:v>220</c:v>
                </c:pt>
                <c:pt idx="18">
                  <c:v>133</c:v>
                </c:pt>
                <c:pt idx="19">
                  <c:v>48</c:v>
                </c:pt>
                <c:pt idx="20">
                  <c:v>10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927472"/>
        <c:axId val="45892002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137</c:v>
                </c:pt>
                <c:pt idx="1">
                  <c:v>168</c:v>
                </c:pt>
                <c:pt idx="2">
                  <c:v>211</c:v>
                </c:pt>
                <c:pt idx="3">
                  <c:v>219</c:v>
                </c:pt>
                <c:pt idx="4">
                  <c:v>126</c:v>
                </c:pt>
                <c:pt idx="5">
                  <c:v>149</c:v>
                </c:pt>
                <c:pt idx="6">
                  <c:v>165</c:v>
                </c:pt>
                <c:pt idx="7">
                  <c:v>164</c:v>
                </c:pt>
                <c:pt idx="8">
                  <c:v>224</c:v>
                </c:pt>
                <c:pt idx="9">
                  <c:v>282</c:v>
                </c:pt>
                <c:pt idx="10">
                  <c:v>352</c:v>
                </c:pt>
                <c:pt idx="11">
                  <c:v>371</c:v>
                </c:pt>
                <c:pt idx="12">
                  <c:v>337</c:v>
                </c:pt>
                <c:pt idx="13">
                  <c:v>384</c:v>
                </c:pt>
                <c:pt idx="14">
                  <c:v>532</c:v>
                </c:pt>
                <c:pt idx="15">
                  <c:v>568</c:v>
                </c:pt>
                <c:pt idx="16">
                  <c:v>419</c:v>
                </c:pt>
                <c:pt idx="17">
                  <c:v>220</c:v>
                </c:pt>
                <c:pt idx="18">
                  <c:v>133</c:v>
                </c:pt>
                <c:pt idx="19">
                  <c:v>48</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8924728"/>
        <c:axId val="458923552"/>
      </c:barChart>
      <c:catAx>
        <c:axId val="4589274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20024"/>
        <c:crosses val="autoZero"/>
        <c:auto val="1"/>
        <c:lblAlgn val="ctr"/>
        <c:lblOffset val="100"/>
        <c:noMultiLvlLbl val="0"/>
      </c:catAx>
      <c:valAx>
        <c:axId val="45892002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27472"/>
        <c:crosses val="autoZero"/>
        <c:crossBetween val="between"/>
        <c:majorUnit val="500"/>
      </c:valAx>
      <c:valAx>
        <c:axId val="45892355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24728"/>
        <c:crosses val="max"/>
        <c:crossBetween val="between"/>
        <c:majorUnit val="500"/>
      </c:valAx>
      <c:catAx>
        <c:axId val="458924728"/>
        <c:scaling>
          <c:orientation val="minMax"/>
        </c:scaling>
        <c:delete val="1"/>
        <c:axPos val="l"/>
        <c:numFmt formatCode="General" sourceLinked="1"/>
        <c:majorTickMark val="out"/>
        <c:minorTickMark val="none"/>
        <c:tickLblPos val="nextTo"/>
        <c:crossAx val="45892355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101</c:v>
                </c:pt>
                <c:pt idx="1">
                  <c:v>127</c:v>
                </c:pt>
                <c:pt idx="2">
                  <c:v>144</c:v>
                </c:pt>
                <c:pt idx="3">
                  <c:v>140</c:v>
                </c:pt>
                <c:pt idx="4">
                  <c:v>91</c:v>
                </c:pt>
                <c:pt idx="5">
                  <c:v>104</c:v>
                </c:pt>
                <c:pt idx="6">
                  <c:v>112</c:v>
                </c:pt>
                <c:pt idx="7">
                  <c:v>144</c:v>
                </c:pt>
                <c:pt idx="8">
                  <c:v>160</c:v>
                </c:pt>
                <c:pt idx="9">
                  <c:v>155</c:v>
                </c:pt>
                <c:pt idx="10">
                  <c:v>215</c:v>
                </c:pt>
                <c:pt idx="11">
                  <c:v>279</c:v>
                </c:pt>
                <c:pt idx="12">
                  <c:v>351</c:v>
                </c:pt>
                <c:pt idx="13">
                  <c:v>361</c:v>
                </c:pt>
                <c:pt idx="14">
                  <c:v>313</c:v>
                </c:pt>
                <c:pt idx="15">
                  <c:v>331</c:v>
                </c:pt>
                <c:pt idx="16">
                  <c:v>383</c:v>
                </c:pt>
                <c:pt idx="17">
                  <c:v>310</c:v>
                </c:pt>
                <c:pt idx="18">
                  <c:v>138</c:v>
                </c:pt>
                <c:pt idx="19">
                  <c:v>33</c:v>
                </c:pt>
                <c:pt idx="20">
                  <c:v>8</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925512"/>
        <c:axId val="45892041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106</c:v>
                </c:pt>
                <c:pt idx="1">
                  <c:v>131</c:v>
                </c:pt>
                <c:pt idx="2">
                  <c:v>151</c:v>
                </c:pt>
                <c:pt idx="3">
                  <c:v>144</c:v>
                </c:pt>
                <c:pt idx="4">
                  <c:v>92</c:v>
                </c:pt>
                <c:pt idx="5">
                  <c:v>110</c:v>
                </c:pt>
                <c:pt idx="6">
                  <c:v>116</c:v>
                </c:pt>
                <c:pt idx="7">
                  <c:v>148</c:v>
                </c:pt>
                <c:pt idx="8">
                  <c:v>165</c:v>
                </c:pt>
                <c:pt idx="9">
                  <c:v>156</c:v>
                </c:pt>
                <c:pt idx="10">
                  <c:v>215</c:v>
                </c:pt>
                <c:pt idx="11">
                  <c:v>280</c:v>
                </c:pt>
                <c:pt idx="12">
                  <c:v>351</c:v>
                </c:pt>
                <c:pt idx="13">
                  <c:v>361</c:v>
                </c:pt>
                <c:pt idx="14">
                  <c:v>313</c:v>
                </c:pt>
                <c:pt idx="15">
                  <c:v>331</c:v>
                </c:pt>
                <c:pt idx="16">
                  <c:v>383</c:v>
                </c:pt>
                <c:pt idx="17">
                  <c:v>310</c:v>
                </c:pt>
                <c:pt idx="18">
                  <c:v>138</c:v>
                </c:pt>
                <c:pt idx="19">
                  <c:v>33</c:v>
                </c:pt>
                <c:pt idx="20">
                  <c:v>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8921200"/>
        <c:axId val="458923944"/>
      </c:barChart>
      <c:catAx>
        <c:axId val="4589255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20416"/>
        <c:crosses val="autoZero"/>
        <c:auto val="1"/>
        <c:lblAlgn val="ctr"/>
        <c:lblOffset val="100"/>
        <c:noMultiLvlLbl val="0"/>
      </c:catAx>
      <c:valAx>
        <c:axId val="45892041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25512"/>
        <c:crosses val="autoZero"/>
        <c:crossBetween val="between"/>
        <c:majorUnit val="500"/>
      </c:valAx>
      <c:valAx>
        <c:axId val="4589239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21200"/>
        <c:crosses val="max"/>
        <c:crossBetween val="between"/>
        <c:majorUnit val="500"/>
      </c:valAx>
      <c:catAx>
        <c:axId val="458921200"/>
        <c:scaling>
          <c:orientation val="minMax"/>
        </c:scaling>
        <c:delete val="1"/>
        <c:axPos val="l"/>
        <c:numFmt formatCode="General" sourceLinked="1"/>
        <c:majorTickMark val="out"/>
        <c:minorTickMark val="none"/>
        <c:tickLblPos val="nextTo"/>
        <c:crossAx val="45892394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山田地区</c:v>
                </c:pt>
              </c:strCache>
            </c:strRef>
          </c:cat>
          <c:val>
            <c:numRef>
              <c:f>管理者用地域特徴シート!$H$3:$H$5</c:f>
              <c:numCache>
                <c:formatCode>0.0%</c:formatCode>
                <c:ptCount val="3"/>
                <c:pt idx="0">
                  <c:v>0.46108733927332846</c:v>
                </c:pt>
                <c:pt idx="1">
                  <c:v>0.45304826418289584</c:v>
                </c:pt>
                <c:pt idx="2">
                  <c:v>0.60306158775364893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8922768"/>
        <c:axId val="458923160"/>
      </c:barChart>
      <c:catAx>
        <c:axId val="4589227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23160"/>
        <c:crosses val="autoZero"/>
        <c:auto val="1"/>
        <c:lblAlgn val="ctr"/>
        <c:lblOffset val="100"/>
        <c:noMultiLvlLbl val="0"/>
      </c:catAx>
      <c:valAx>
        <c:axId val="4589231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227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山田地区</c:v>
                </c:pt>
              </c:strCache>
            </c:strRef>
          </c:cat>
          <c:val>
            <c:numRef>
              <c:f>管理者用地域特徴シート!$J$3:$J$5</c:f>
              <c:numCache>
                <c:formatCode>0.0%</c:formatCode>
                <c:ptCount val="3"/>
                <c:pt idx="0">
                  <c:v>0.15075281438403673</c:v>
                </c:pt>
                <c:pt idx="1">
                  <c:v>0.1614451030200395</c:v>
                </c:pt>
                <c:pt idx="2">
                  <c:v>0.2036311854752581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8631832"/>
        <c:axId val="392037304"/>
      </c:barChart>
      <c:catAx>
        <c:axId val="4586318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37304"/>
        <c:crosses val="autoZero"/>
        <c:auto val="1"/>
        <c:lblAlgn val="ctr"/>
        <c:lblOffset val="100"/>
        <c:noMultiLvlLbl val="0"/>
      </c:catAx>
      <c:valAx>
        <c:axId val="3920373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631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山田地区</c:v>
                </c:pt>
              </c:strCache>
            </c:strRef>
          </c:cat>
          <c:val>
            <c:numRef>
              <c:f>管理者用地域特徴シート!$P$3:$P$5</c:f>
              <c:numCache>
                <c:formatCode>0.0%</c:formatCode>
                <c:ptCount val="3"/>
                <c:pt idx="0">
                  <c:v>0.34758352842621743</c:v>
                </c:pt>
                <c:pt idx="1">
                  <c:v>0.35933142430278886</c:v>
                </c:pt>
                <c:pt idx="2">
                  <c:v>0.25202878579084365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2033384"/>
        <c:axId val="392033776"/>
      </c:barChart>
      <c:catAx>
        <c:axId val="392033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33776"/>
        <c:crosses val="autoZero"/>
        <c:auto val="1"/>
        <c:lblAlgn val="ctr"/>
        <c:lblOffset val="100"/>
        <c:noMultiLvlLbl val="0"/>
      </c:catAx>
      <c:valAx>
        <c:axId val="3920337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333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山田地区</c:v>
                </c:pt>
              </c:strCache>
            </c:strRef>
          </c:cat>
          <c:val>
            <c:numRef>
              <c:f>管理者用地域特徴シート!$AO$3:$AO$5</c:f>
              <c:numCache>
                <c:formatCode>0.0%</c:formatCode>
                <c:ptCount val="3"/>
                <c:pt idx="0">
                  <c:v>0.5259093009439566</c:v>
                </c:pt>
                <c:pt idx="1">
                  <c:v>0.53180387374868843</c:v>
                </c:pt>
                <c:pt idx="2">
                  <c:v>0.56415478615071279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2038872"/>
        <c:axId val="392040440"/>
      </c:barChart>
      <c:catAx>
        <c:axId val="3920388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40440"/>
        <c:crosses val="autoZero"/>
        <c:auto val="1"/>
        <c:lblAlgn val="ctr"/>
        <c:lblOffset val="100"/>
        <c:noMultiLvlLbl val="0"/>
      </c:catAx>
      <c:valAx>
        <c:axId val="3920404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388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山田地区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0.16055341055341055</c:v>
                </c:pt>
                <c:pt idx="1">
                  <c:v>6.4350064350064348E-4</c:v>
                </c:pt>
                <c:pt idx="2">
                  <c:v>1.287001287001287E-3</c:v>
                </c:pt>
                <c:pt idx="3">
                  <c:v>0.11293436293436293</c:v>
                </c:pt>
                <c:pt idx="4">
                  <c:v>0.18243243243243243</c:v>
                </c:pt>
                <c:pt idx="5">
                  <c:v>2.2522522522522522E-3</c:v>
                </c:pt>
                <c:pt idx="6">
                  <c:v>5.7915057915057912E-3</c:v>
                </c:pt>
                <c:pt idx="7">
                  <c:v>5.4054054054054057E-2</c:v>
                </c:pt>
                <c:pt idx="8">
                  <c:v>0.11164736164736165</c:v>
                </c:pt>
                <c:pt idx="9">
                  <c:v>9.6525096525096523E-3</c:v>
                </c:pt>
                <c:pt idx="10">
                  <c:v>3.8610038610038611E-3</c:v>
                </c:pt>
                <c:pt idx="11">
                  <c:v>1.3513513513513514E-2</c:v>
                </c:pt>
                <c:pt idx="12">
                  <c:v>3.4427284427284426E-2</c:v>
                </c:pt>
                <c:pt idx="13">
                  <c:v>3.3462033462033462E-2</c:v>
                </c:pt>
                <c:pt idx="14">
                  <c:v>2.2844272844272845E-2</c:v>
                </c:pt>
                <c:pt idx="15">
                  <c:v>0.15508365508365507</c:v>
                </c:pt>
                <c:pt idx="16">
                  <c:v>1.5444015444015444E-2</c:v>
                </c:pt>
                <c:pt idx="17">
                  <c:v>4.3114543114543116E-2</c:v>
                </c:pt>
                <c:pt idx="18">
                  <c:v>2.5418275418275418E-2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8.4017267107226609E-2</c:v>
                </c:pt>
                <c:pt idx="1">
                  <c:v>1.7320400767426987E-4</c:v>
                </c:pt>
                <c:pt idx="2">
                  <c:v>3.1976124493711362E-4</c:v>
                </c:pt>
                <c:pt idx="3">
                  <c:v>8.3484331698998077E-2</c:v>
                </c:pt>
                <c:pt idx="4">
                  <c:v>0.14970155617139203</c:v>
                </c:pt>
                <c:pt idx="5">
                  <c:v>3.5706672351311021E-3</c:v>
                </c:pt>
                <c:pt idx="6">
                  <c:v>7.9673843530164139E-3</c:v>
                </c:pt>
                <c:pt idx="7">
                  <c:v>4.6125559582178642E-2</c:v>
                </c:pt>
                <c:pt idx="8">
                  <c:v>0.15623001492219143</c:v>
                </c:pt>
                <c:pt idx="9">
                  <c:v>1.5801534853975698E-2</c:v>
                </c:pt>
                <c:pt idx="10">
                  <c:v>1.0525474312513324E-2</c:v>
                </c:pt>
                <c:pt idx="11">
                  <c:v>2.1170859091878064E-2</c:v>
                </c:pt>
                <c:pt idx="12">
                  <c:v>4.442016627584737E-2</c:v>
                </c:pt>
                <c:pt idx="13">
                  <c:v>3.5080473246642506E-2</c:v>
                </c:pt>
                <c:pt idx="14">
                  <c:v>4.851044553400128E-2</c:v>
                </c:pt>
                <c:pt idx="15">
                  <c:v>0.16800788744404177</c:v>
                </c:pt>
                <c:pt idx="16">
                  <c:v>1.1991046685141761E-2</c:v>
                </c:pt>
                <c:pt idx="17">
                  <c:v>5.0655510552121086E-2</c:v>
                </c:pt>
                <c:pt idx="18">
                  <c:v>4.3287678533361754E-2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2037696"/>
        <c:axId val="392036520"/>
      </c:barChart>
      <c:catAx>
        <c:axId val="392037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36520"/>
        <c:crosses val="autoZero"/>
        <c:auto val="1"/>
        <c:lblAlgn val="ctr"/>
        <c:lblOffset val="100"/>
        <c:noMultiLvlLbl val="0"/>
      </c:catAx>
      <c:valAx>
        <c:axId val="3920365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37696"/>
        <c:crosses val="autoZero"/>
        <c:crossBetween val="between"/>
      </c:valAx>
      <c:spPr>
        <a:noFill/>
        <a:ln>
          <a:noFill/>
        </a:ln>
        <a:effectLst/>
      </c:spPr>
    </c:plotArea>
    <c:legend>
      <c:legendPos val="b"/>
      <c:layout>
        <c:manualLayout>
          <c:xMode val="edge"/>
          <c:yMode val="edge"/>
          <c:x val="0.5476894754352889"/>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山田地区</c:v>
                </c:pt>
              </c:strCache>
            </c:strRef>
          </c:cat>
          <c:val>
            <c:numRef>
              <c:f>管理者用地域特徴シート!$CK$3:$CK$5</c:f>
              <c:numCache>
                <c:formatCode>0.0%</c:formatCode>
                <c:ptCount val="3"/>
                <c:pt idx="0">
                  <c:v>0.82747216160708559</c:v>
                </c:pt>
                <c:pt idx="1">
                  <c:v>0.87388083564272012</c:v>
                </c:pt>
                <c:pt idx="2">
                  <c:v>0.91634491634491633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2032992"/>
        <c:axId val="392038088"/>
      </c:barChart>
      <c:catAx>
        <c:axId val="3920329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38088"/>
        <c:crosses val="autoZero"/>
        <c:auto val="1"/>
        <c:lblAlgn val="ctr"/>
        <c:lblOffset val="100"/>
        <c:noMultiLvlLbl val="0"/>
      </c:catAx>
      <c:valAx>
        <c:axId val="3920380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0329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0.32</c:v>
                </c:pt>
                <c:pt idx="1">
                  <c:v>0.35</c:v>
                </c:pt>
                <c:pt idx="2">
                  <c:v>0.39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4339968"/>
        <c:axId val="394334480"/>
      </c:barChart>
      <c:catAx>
        <c:axId val="394339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34480"/>
        <c:crosses val="autoZero"/>
        <c:auto val="1"/>
        <c:lblAlgn val="ctr"/>
        <c:lblOffset val="100"/>
        <c:noMultiLvlLbl val="0"/>
      </c:catAx>
      <c:valAx>
        <c:axId val="394334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399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0.19</c:v>
                </c:pt>
                <c:pt idx="1">
                  <c:v>0.2</c:v>
                </c:pt>
                <c:pt idx="2">
                  <c:v>0.2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4338792"/>
        <c:axId val="394334088"/>
      </c:barChart>
      <c:catAx>
        <c:axId val="394338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34088"/>
        <c:crosses val="autoZero"/>
        <c:auto val="1"/>
        <c:lblAlgn val="ctr"/>
        <c:lblOffset val="100"/>
        <c:noMultiLvlLbl val="0"/>
      </c:catAx>
      <c:valAx>
        <c:axId val="394334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387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7684113943406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7CE-40C6-B32B-443C9FD946CF}"/>
                </c:ext>
                <c:ext xmlns:c15="http://schemas.microsoft.com/office/drawing/2012/chart" uri="{CE6537A1-D6FC-4f65-9D91-7224C49458BB}"/>
              </c:extLst>
            </c:dLbl>
            <c:dLbl>
              <c:idx val="20"/>
              <c:layout>
                <c:manualLayout>
                  <c:x val="-3.4932466472558647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7CE-40C6-B32B-443C9FD946C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139</c:v>
                </c:pt>
                <c:pt idx="1">
                  <c:v>204</c:v>
                </c:pt>
                <c:pt idx="2">
                  <c:v>202</c:v>
                </c:pt>
                <c:pt idx="3">
                  <c:v>173</c:v>
                </c:pt>
                <c:pt idx="4">
                  <c:v>134</c:v>
                </c:pt>
                <c:pt idx="5">
                  <c:v>152</c:v>
                </c:pt>
                <c:pt idx="6">
                  <c:v>165</c:v>
                </c:pt>
                <c:pt idx="7">
                  <c:v>208</c:v>
                </c:pt>
                <c:pt idx="8">
                  <c:v>165</c:v>
                </c:pt>
                <c:pt idx="9">
                  <c:v>189</c:v>
                </c:pt>
                <c:pt idx="10">
                  <c:v>286</c:v>
                </c:pt>
                <c:pt idx="11">
                  <c:v>349</c:v>
                </c:pt>
                <c:pt idx="12">
                  <c:v>320</c:v>
                </c:pt>
                <c:pt idx="13">
                  <c:v>218</c:v>
                </c:pt>
                <c:pt idx="14">
                  <c:v>248</c:v>
                </c:pt>
                <c:pt idx="15">
                  <c:v>219</c:v>
                </c:pt>
                <c:pt idx="16">
                  <c:v>177</c:v>
                </c:pt>
                <c:pt idx="17">
                  <c:v>66</c:v>
                </c:pt>
                <c:pt idx="18">
                  <c:v>32</c:v>
                </c:pt>
                <c:pt idx="19">
                  <c:v>8</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341144"/>
        <c:axId val="3943395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136</c:v>
                </c:pt>
                <c:pt idx="1">
                  <c:v>159</c:v>
                </c:pt>
                <c:pt idx="2">
                  <c:v>183</c:v>
                </c:pt>
                <c:pt idx="3">
                  <c:v>193</c:v>
                </c:pt>
                <c:pt idx="4">
                  <c:v>117</c:v>
                </c:pt>
                <c:pt idx="5">
                  <c:v>157</c:v>
                </c:pt>
                <c:pt idx="6">
                  <c:v>197</c:v>
                </c:pt>
                <c:pt idx="7">
                  <c:v>173</c:v>
                </c:pt>
                <c:pt idx="8">
                  <c:v>193</c:v>
                </c:pt>
                <c:pt idx="9">
                  <c:v>206</c:v>
                </c:pt>
                <c:pt idx="10">
                  <c:v>305</c:v>
                </c:pt>
                <c:pt idx="11">
                  <c:v>312</c:v>
                </c:pt>
                <c:pt idx="12">
                  <c:v>323</c:v>
                </c:pt>
                <c:pt idx="13">
                  <c:v>241</c:v>
                </c:pt>
                <c:pt idx="14">
                  <c:v>304</c:v>
                </c:pt>
                <c:pt idx="15">
                  <c:v>328</c:v>
                </c:pt>
                <c:pt idx="16">
                  <c:v>287</c:v>
                </c:pt>
                <c:pt idx="17">
                  <c:v>200</c:v>
                </c:pt>
                <c:pt idx="18">
                  <c:v>105</c:v>
                </c:pt>
                <c:pt idx="19">
                  <c:v>31</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337224"/>
        <c:axId val="394339184"/>
      </c:barChart>
      <c:catAx>
        <c:axId val="3943411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39576"/>
        <c:crosses val="autoZero"/>
        <c:auto val="1"/>
        <c:lblAlgn val="ctr"/>
        <c:lblOffset val="100"/>
        <c:noMultiLvlLbl val="0"/>
      </c:catAx>
      <c:valAx>
        <c:axId val="39433957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41144"/>
        <c:crosses val="autoZero"/>
        <c:crossBetween val="between"/>
        <c:majorUnit val="250"/>
      </c:valAx>
      <c:valAx>
        <c:axId val="39433918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37224"/>
        <c:crosses val="max"/>
        <c:crossBetween val="between"/>
        <c:majorUnit val="250"/>
      </c:valAx>
      <c:catAx>
        <c:axId val="394337224"/>
        <c:scaling>
          <c:orientation val="minMax"/>
        </c:scaling>
        <c:delete val="1"/>
        <c:axPos val="l"/>
        <c:numFmt formatCode="General" sourceLinked="1"/>
        <c:majorTickMark val="out"/>
        <c:minorTickMark val="none"/>
        <c:tickLblPos val="nextTo"/>
        <c:crossAx val="3943391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3655</c:v>
                </c:pt>
                <c:pt idx="1">
                  <c:v>3342</c:v>
                </c:pt>
                <c:pt idx="2">
                  <c:v>3086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4152</c:v>
                </c:pt>
                <c:pt idx="1">
                  <c:v>3728</c:v>
                </c:pt>
                <c:pt idx="2">
                  <c:v>3442</c:v>
                </c:pt>
              </c:numCache>
            </c:numRef>
          </c:val>
          <c:extLst xmlns:c16r2="http://schemas.microsoft.com/office/drawing/2015/06/chart">
            <c:ext xmlns:c16="http://schemas.microsoft.com/office/drawing/2014/chart" uri="{C3380CC4-5D6E-409C-BE32-E72D297353CC}">
              <c16:uniqueId val="{00000000-3B0D-4695-BA2A-51C7638DC910}"/>
            </c:ext>
          </c:extLst>
        </c:ser>
        <c:dLbls>
          <c:showLegendKey val="0"/>
          <c:showVal val="0"/>
          <c:showCatName val="0"/>
          <c:showSerName val="0"/>
          <c:showPercent val="0"/>
          <c:showBubbleSize val="0"/>
        </c:dLbls>
        <c:gapWidth val="219"/>
        <c:overlap val="100"/>
        <c:axId val="394335656"/>
        <c:axId val="39433840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B0D-4695-BA2A-51C7638DC91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7807</c:v>
                </c:pt>
                <c:pt idx="1">
                  <c:v>7070</c:v>
                </c:pt>
                <c:pt idx="2">
                  <c:v>6528</c:v>
                </c:pt>
              </c:numCache>
            </c:numRef>
          </c:val>
          <c:smooth val="0"/>
          <c:extLst xmlns:c16r2="http://schemas.microsoft.com/office/drawing/2015/06/chart">
            <c:ext xmlns:c16="http://schemas.microsoft.com/office/drawing/2014/chart" uri="{C3380CC4-5D6E-409C-BE32-E72D297353CC}">
              <c16:uniqueId val="{00000002-3B0D-4695-BA2A-51C7638DC910}"/>
            </c:ext>
          </c:extLst>
        </c:ser>
        <c:dLbls>
          <c:showLegendKey val="0"/>
          <c:showVal val="0"/>
          <c:showCatName val="0"/>
          <c:showSerName val="0"/>
          <c:showPercent val="0"/>
          <c:showBubbleSize val="0"/>
        </c:dLbls>
        <c:marker val="1"/>
        <c:smooth val="0"/>
        <c:axId val="394335656"/>
        <c:axId val="394338400"/>
      </c:lineChart>
      <c:catAx>
        <c:axId val="39433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38400"/>
        <c:crosses val="autoZero"/>
        <c:auto val="1"/>
        <c:lblAlgn val="ctr"/>
        <c:lblOffset val="100"/>
        <c:noMultiLvlLbl val="0"/>
      </c:catAx>
      <c:valAx>
        <c:axId val="3943384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3565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B0E-46BA-9ED8-D77A54AD5B69}"/>
                </c:ext>
                <c:ext xmlns:c15="http://schemas.microsoft.com/office/drawing/2012/chart" uri="{CE6537A1-D6FC-4f65-9D91-7224C49458BB}"/>
              </c:extLst>
            </c:dLbl>
            <c:dLbl>
              <c:idx val="20"/>
              <c:layout>
                <c:manualLayout>
                  <c:x val="-3.69472206731664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B0E-46BA-9ED8-D77A54AD5B6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93</c:v>
                </c:pt>
                <c:pt idx="1">
                  <c:v>127</c:v>
                </c:pt>
                <c:pt idx="2">
                  <c:v>157</c:v>
                </c:pt>
                <c:pt idx="3">
                  <c:v>162</c:v>
                </c:pt>
                <c:pt idx="4">
                  <c:v>88</c:v>
                </c:pt>
                <c:pt idx="5">
                  <c:v>79</c:v>
                </c:pt>
                <c:pt idx="6">
                  <c:v>123</c:v>
                </c:pt>
                <c:pt idx="7">
                  <c:v>153</c:v>
                </c:pt>
                <c:pt idx="8">
                  <c:v>167</c:v>
                </c:pt>
                <c:pt idx="9">
                  <c:v>207</c:v>
                </c:pt>
                <c:pt idx="10">
                  <c:v>155</c:v>
                </c:pt>
                <c:pt idx="11">
                  <c:v>188</c:v>
                </c:pt>
                <c:pt idx="12">
                  <c:v>279</c:v>
                </c:pt>
                <c:pt idx="13">
                  <c:v>339</c:v>
                </c:pt>
                <c:pt idx="14">
                  <c:v>274</c:v>
                </c:pt>
                <c:pt idx="15">
                  <c:v>173</c:v>
                </c:pt>
                <c:pt idx="16">
                  <c:v>161</c:v>
                </c:pt>
                <c:pt idx="17">
                  <c:v>108</c:v>
                </c:pt>
                <c:pt idx="18">
                  <c:v>47</c:v>
                </c:pt>
                <c:pt idx="19">
                  <c:v>6</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336440"/>
        <c:axId val="39433761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100</c:v>
                </c:pt>
                <c:pt idx="1">
                  <c:v>131</c:v>
                </c:pt>
                <c:pt idx="2">
                  <c:v>134</c:v>
                </c:pt>
                <c:pt idx="3">
                  <c:v>138</c:v>
                </c:pt>
                <c:pt idx="4">
                  <c:v>94</c:v>
                </c:pt>
                <c:pt idx="5">
                  <c:v>86</c:v>
                </c:pt>
                <c:pt idx="6">
                  <c:v>102</c:v>
                </c:pt>
                <c:pt idx="7">
                  <c:v>144</c:v>
                </c:pt>
                <c:pt idx="8">
                  <c:v>199</c:v>
                </c:pt>
                <c:pt idx="9">
                  <c:v>166</c:v>
                </c:pt>
                <c:pt idx="10">
                  <c:v>182</c:v>
                </c:pt>
                <c:pt idx="11">
                  <c:v>205</c:v>
                </c:pt>
                <c:pt idx="12">
                  <c:v>294</c:v>
                </c:pt>
                <c:pt idx="13">
                  <c:v>325</c:v>
                </c:pt>
                <c:pt idx="14">
                  <c:v>309</c:v>
                </c:pt>
                <c:pt idx="15">
                  <c:v>226</c:v>
                </c:pt>
                <c:pt idx="16">
                  <c:v>242</c:v>
                </c:pt>
                <c:pt idx="17">
                  <c:v>208</c:v>
                </c:pt>
                <c:pt idx="18">
                  <c:v>109</c:v>
                </c:pt>
                <c:pt idx="19">
                  <c:v>41</c:v>
                </c:pt>
                <c:pt idx="20">
                  <c:v>7</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340752"/>
        <c:axId val="394338008"/>
      </c:barChart>
      <c:catAx>
        <c:axId val="3943364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37616"/>
        <c:crosses val="autoZero"/>
        <c:auto val="1"/>
        <c:lblAlgn val="ctr"/>
        <c:lblOffset val="100"/>
        <c:noMultiLvlLbl val="0"/>
      </c:catAx>
      <c:valAx>
        <c:axId val="39433761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36440"/>
        <c:crosses val="autoZero"/>
        <c:crossBetween val="between"/>
        <c:majorUnit val="250"/>
      </c:valAx>
      <c:valAx>
        <c:axId val="39433800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340752"/>
        <c:crosses val="max"/>
        <c:crossBetween val="between"/>
        <c:majorUnit val="250"/>
      </c:valAx>
      <c:catAx>
        <c:axId val="394340752"/>
        <c:scaling>
          <c:orientation val="minMax"/>
        </c:scaling>
        <c:delete val="1"/>
        <c:axPos val="l"/>
        <c:numFmt formatCode="General" sourceLinked="1"/>
        <c:majorTickMark val="out"/>
        <c:minorTickMark val="none"/>
        <c:tickLblPos val="nextTo"/>
        <c:crossAx val="3943380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C55F-4327-829C-957B7ED17EDB}"/>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C55F-4327-829C-957B7ED17EDB}"/>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C55F-4327-829C-957B7ED17EDB}"/>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55F-4327-829C-957B7ED17EDB}"/>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55F-4327-829C-957B7ED17ED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3655</c:v>
                </c:pt>
                <c:pt idx="1">
                  <c:v>3342</c:v>
                </c:pt>
                <c:pt idx="2">
                  <c:v>3086</c:v>
                </c:pt>
                <c:pt idx="3">
                  <c:v>2758</c:v>
                </c:pt>
                <c:pt idx="4">
                  <c:v>2445</c:v>
                </c:pt>
                <c:pt idx="5">
                  <c:v>2149</c:v>
                </c:pt>
                <c:pt idx="6">
                  <c:v>1867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C55F-4327-829C-957B7ED17EDB}"/>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C55F-4327-829C-957B7ED17EDB}"/>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C55F-4327-829C-957B7ED17EDB}"/>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4152</c:v>
                </c:pt>
                <c:pt idx="1">
                  <c:v>3728</c:v>
                </c:pt>
                <c:pt idx="2">
                  <c:v>3442</c:v>
                </c:pt>
                <c:pt idx="3">
                  <c:v>3089</c:v>
                </c:pt>
                <c:pt idx="4">
                  <c:v>2755</c:v>
                </c:pt>
                <c:pt idx="5">
                  <c:v>2440</c:v>
                </c:pt>
                <c:pt idx="6">
                  <c:v>2133</c:v>
                </c:pt>
              </c:numCache>
            </c:numRef>
          </c:val>
          <c:extLst xmlns:c16r2="http://schemas.microsoft.com/office/drawing/2015/06/chart">
            <c:ext xmlns:c16="http://schemas.microsoft.com/office/drawing/2014/chart" uri="{C3380CC4-5D6E-409C-BE32-E72D297353CC}">
              <c16:uniqueId val="{00000010-C55F-4327-829C-957B7ED17EDB}"/>
            </c:ext>
          </c:extLst>
        </c:ser>
        <c:dLbls>
          <c:showLegendKey val="0"/>
          <c:showVal val="0"/>
          <c:showCatName val="0"/>
          <c:showSerName val="0"/>
          <c:showPercent val="0"/>
          <c:showBubbleSize val="0"/>
        </c:dLbls>
        <c:gapWidth val="219"/>
        <c:overlap val="100"/>
        <c:axId val="457811920"/>
        <c:axId val="45781035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7807</c:v>
                </c:pt>
                <c:pt idx="1">
                  <c:v>7070</c:v>
                </c:pt>
                <c:pt idx="2">
                  <c:v>6528</c:v>
                </c:pt>
                <c:pt idx="3">
                  <c:v>5847</c:v>
                </c:pt>
                <c:pt idx="4">
                  <c:v>5200</c:v>
                </c:pt>
                <c:pt idx="5">
                  <c:v>4589</c:v>
                </c:pt>
                <c:pt idx="6">
                  <c:v>4000</c:v>
                </c:pt>
              </c:numCache>
            </c:numRef>
          </c:val>
          <c:smooth val="0"/>
          <c:extLst xmlns:c16r2="http://schemas.microsoft.com/office/drawing/2015/06/chart">
            <c:ext xmlns:c16="http://schemas.microsoft.com/office/drawing/2014/chart" uri="{C3380CC4-5D6E-409C-BE32-E72D297353CC}">
              <c16:uniqueId val="{00000011-C55F-4327-829C-957B7ED17EDB}"/>
            </c:ext>
          </c:extLst>
        </c:ser>
        <c:dLbls>
          <c:showLegendKey val="0"/>
          <c:showVal val="0"/>
          <c:showCatName val="0"/>
          <c:showSerName val="0"/>
          <c:showPercent val="0"/>
          <c:showBubbleSize val="0"/>
        </c:dLbls>
        <c:marker val="1"/>
        <c:smooth val="0"/>
        <c:axId val="457811920"/>
        <c:axId val="457810352"/>
      </c:lineChart>
      <c:catAx>
        <c:axId val="457811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10352"/>
        <c:crosses val="autoZero"/>
        <c:auto val="1"/>
        <c:lblAlgn val="ctr"/>
        <c:lblOffset val="100"/>
        <c:noMultiLvlLbl val="0"/>
      </c:catAx>
      <c:valAx>
        <c:axId val="4578103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1192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449</c:v>
                </c:pt>
                <c:pt idx="1">
                  <c:v>392</c:v>
                </c:pt>
                <c:pt idx="2">
                  <c:v>329</c:v>
                </c:pt>
                <c:pt idx="3">
                  <c:v>281</c:v>
                </c:pt>
                <c:pt idx="4">
                  <c:v>225</c:v>
                </c:pt>
                <c:pt idx="5">
                  <c:v>187</c:v>
                </c:pt>
                <c:pt idx="6">
                  <c:v>163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7814272"/>
        <c:axId val="457813096"/>
      </c:barChart>
      <c:catAx>
        <c:axId val="457814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13096"/>
        <c:crosses val="autoZero"/>
        <c:auto val="1"/>
        <c:lblAlgn val="ctr"/>
        <c:lblOffset val="100"/>
        <c:noMultiLvlLbl val="0"/>
      </c:catAx>
      <c:valAx>
        <c:axId val="4578130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8142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山田地区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1"/>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都城市平均</v>
      </c>
      <c r="C4" s="88" t="str">
        <f>B4</f>
        <v>都城市平均</v>
      </c>
      <c r="D4" s="185">
        <f>SUM(D7:D70)</f>
        <v>70860</v>
      </c>
      <c r="E4" s="186">
        <f>SUM(E7:E70)</f>
        <v>32103</v>
      </c>
      <c r="F4" s="186">
        <f>SUM(F7:F70)</f>
        <v>11269</v>
      </c>
      <c r="G4" s="187">
        <f>SUM(G7:G70)</f>
        <v>11440</v>
      </c>
      <c r="H4" s="148">
        <f>E4/D4</f>
        <v>0.45304826418289584</v>
      </c>
      <c r="I4" s="149">
        <f>F4/D4</f>
        <v>0.15903189387524697</v>
      </c>
      <c r="J4" s="150">
        <f>G4/D4</f>
        <v>0.1614451030200395</v>
      </c>
      <c r="K4" s="185">
        <f>SUM(K7:K70)</f>
        <v>160640</v>
      </c>
      <c r="L4" s="186">
        <f>SUM(L7:L70)</f>
        <v>16084</v>
      </c>
      <c r="M4" s="186">
        <f>SUM(M7:M70)</f>
        <v>57723</v>
      </c>
      <c r="N4" s="187">
        <f>SUM(N7:N70)</f>
        <v>77000</v>
      </c>
      <c r="O4" s="148">
        <f>L4/K4</f>
        <v>0.10012450199203188</v>
      </c>
      <c r="P4" s="149">
        <f>M4/K4</f>
        <v>0.35933142430278886</v>
      </c>
      <c r="Q4" s="150">
        <f>N4/K4</f>
        <v>0.47933266932270918</v>
      </c>
      <c r="R4" s="185">
        <f>SUM(R7:R70)</f>
        <v>160640</v>
      </c>
      <c r="S4" s="145">
        <f>SUM(S7:S70)</f>
        <v>21161</v>
      </c>
      <c r="T4" s="145">
        <f>SUM(T7:T70)</f>
        <v>5259</v>
      </c>
      <c r="U4" s="144">
        <f>SUM(U7:U70)</f>
        <v>7825</v>
      </c>
      <c r="V4" s="144">
        <f>SUM(V7:V70)</f>
        <v>1018</v>
      </c>
      <c r="W4" s="146">
        <f>S4+T4+U4+V4</f>
        <v>35263</v>
      </c>
      <c r="X4" s="143">
        <f>SUM(X7:X70)</f>
        <v>75308</v>
      </c>
      <c r="Y4" s="144">
        <f>SUM(Y7:Y70)</f>
        <v>9437</v>
      </c>
      <c r="Z4" s="144">
        <f>SUM(Z7:Z70)</f>
        <v>2581</v>
      </c>
      <c r="AA4" s="144">
        <f>SUM(AA7:AA70)</f>
        <v>4183</v>
      </c>
      <c r="AB4" s="144">
        <f>SUM(AB7:AB70)</f>
        <v>309</v>
      </c>
      <c r="AC4" s="146">
        <f>Y4+Z4+AA4+AB4</f>
        <v>16510</v>
      </c>
      <c r="AD4" s="143">
        <f>SUM(AD7:AD70)</f>
        <v>85332</v>
      </c>
      <c r="AE4" s="143">
        <f t="shared" ref="AE4:AH4" si="0">SUM(AE7:AE70)</f>
        <v>11724</v>
      </c>
      <c r="AF4" s="143">
        <f t="shared" si="0"/>
        <v>2678</v>
      </c>
      <c r="AG4" s="143">
        <f t="shared" si="0"/>
        <v>3642</v>
      </c>
      <c r="AH4" s="143">
        <f t="shared" si="0"/>
        <v>709</v>
      </c>
      <c r="AI4" s="146">
        <f>AE4+AF4+AG4+AH4</f>
        <v>18753</v>
      </c>
      <c r="AJ4" s="148">
        <f>W4/R4</f>
        <v>0.21951568725099602</v>
      </c>
      <c r="AK4" s="149">
        <f>T4/W4</f>
        <v>0.14913648867084481</v>
      </c>
      <c r="AL4" s="149">
        <f>U4/W4</f>
        <v>0.22190397867453138</v>
      </c>
      <c r="AM4" s="149">
        <f>V4/W4</f>
        <v>2.8868785979638715E-2</v>
      </c>
      <c r="AN4" s="147">
        <f>AC4/W4</f>
        <v>0.46819612625131157</v>
      </c>
      <c r="AO4" s="150">
        <f>AI4/W4</f>
        <v>0.53180387374868843</v>
      </c>
      <c r="AP4" s="143">
        <f>SUM(AP7:AP70)</f>
        <v>75056</v>
      </c>
      <c r="AQ4" s="144">
        <f t="shared" ref="AQ4:BI4" si="1">SUM(AQ7:AQ70)</f>
        <v>6306</v>
      </c>
      <c r="AR4" s="144">
        <f t="shared" si="1"/>
        <v>13</v>
      </c>
      <c r="AS4" s="144">
        <f t="shared" si="1"/>
        <v>24</v>
      </c>
      <c r="AT4" s="144">
        <f t="shared" si="1"/>
        <v>6266</v>
      </c>
      <c r="AU4" s="144">
        <f t="shared" si="1"/>
        <v>11236</v>
      </c>
      <c r="AV4" s="144">
        <f t="shared" si="1"/>
        <v>268</v>
      </c>
      <c r="AW4" s="144">
        <f t="shared" si="1"/>
        <v>598</v>
      </c>
      <c r="AX4" s="144">
        <f t="shared" si="1"/>
        <v>3462</v>
      </c>
      <c r="AY4" s="144">
        <f t="shared" si="1"/>
        <v>11726</v>
      </c>
      <c r="AZ4" s="144">
        <f t="shared" si="1"/>
        <v>1186</v>
      </c>
      <c r="BA4" s="144">
        <f t="shared" si="1"/>
        <v>790</v>
      </c>
      <c r="BB4" s="144">
        <f t="shared" si="1"/>
        <v>1589</v>
      </c>
      <c r="BC4" s="144">
        <f t="shared" si="1"/>
        <v>3334</v>
      </c>
      <c r="BD4" s="144">
        <f t="shared" si="1"/>
        <v>2633</v>
      </c>
      <c r="BE4" s="144">
        <f t="shared" si="1"/>
        <v>3641</v>
      </c>
      <c r="BF4" s="144">
        <f t="shared" si="1"/>
        <v>12610</v>
      </c>
      <c r="BG4" s="144">
        <f t="shared" si="1"/>
        <v>900</v>
      </c>
      <c r="BH4" s="144">
        <f t="shared" si="1"/>
        <v>3802</v>
      </c>
      <c r="BI4" s="146">
        <f t="shared" si="1"/>
        <v>3249</v>
      </c>
      <c r="BJ4" s="147">
        <f>IF($AP4=0,0,AQ4/$AP4)</f>
        <v>8.4017267107226609E-2</v>
      </c>
      <c r="BK4" s="149">
        <f t="shared" ref="BK4:CB4" si="2">IF($AP4=0,0,AR4/$AP4)</f>
        <v>1.7320400767426987E-4</v>
      </c>
      <c r="BL4" s="149">
        <f t="shared" si="2"/>
        <v>3.1976124493711362E-4</v>
      </c>
      <c r="BM4" s="149">
        <f t="shared" si="2"/>
        <v>8.3484331698998077E-2</v>
      </c>
      <c r="BN4" s="149">
        <f t="shared" si="2"/>
        <v>0.14970155617139203</v>
      </c>
      <c r="BO4" s="149">
        <f t="shared" si="2"/>
        <v>3.5706672351311021E-3</v>
      </c>
      <c r="BP4" s="149">
        <f t="shared" si="2"/>
        <v>7.9673843530164139E-3</v>
      </c>
      <c r="BQ4" s="149">
        <f t="shared" si="2"/>
        <v>4.6125559582178642E-2</v>
      </c>
      <c r="BR4" s="149">
        <f t="shared" si="2"/>
        <v>0.15623001492219143</v>
      </c>
      <c r="BS4" s="149">
        <f t="shared" si="2"/>
        <v>1.5801534853975698E-2</v>
      </c>
      <c r="BT4" s="149">
        <f t="shared" si="2"/>
        <v>1.0525474312513324E-2</v>
      </c>
      <c r="BU4" s="149">
        <f t="shared" si="2"/>
        <v>2.1170859091878064E-2</v>
      </c>
      <c r="BV4" s="149">
        <f t="shared" si="2"/>
        <v>4.442016627584737E-2</v>
      </c>
      <c r="BW4" s="149">
        <f t="shared" si="2"/>
        <v>3.5080473246642506E-2</v>
      </c>
      <c r="BX4" s="149">
        <f t="shared" si="2"/>
        <v>4.851044553400128E-2</v>
      </c>
      <c r="BY4" s="149">
        <f t="shared" si="2"/>
        <v>0.16800788744404177</v>
      </c>
      <c r="BZ4" s="149">
        <f t="shared" si="2"/>
        <v>1.1991046685141761E-2</v>
      </c>
      <c r="CA4" s="149">
        <f t="shared" si="2"/>
        <v>5.0655510552121086E-2</v>
      </c>
      <c r="CB4" s="150">
        <f t="shared" si="2"/>
        <v>4.3287678533361754E-2</v>
      </c>
      <c r="CC4" s="143">
        <f>SUM(CC7:CC70)</f>
        <v>75056</v>
      </c>
      <c r="CD4" s="144">
        <f t="shared" ref="CD4:CI4" si="3">SUM(CD7:CD70)</f>
        <v>65590</v>
      </c>
      <c r="CE4" s="144">
        <f t="shared" si="3"/>
        <v>5290</v>
      </c>
      <c r="CF4" s="144">
        <f t="shared" si="3"/>
        <v>3171</v>
      </c>
      <c r="CG4" s="143">
        <f t="shared" si="3"/>
        <v>6327</v>
      </c>
      <c r="CH4" s="144">
        <f t="shared" si="3"/>
        <v>4996</v>
      </c>
      <c r="CI4" s="144">
        <f t="shared" si="3"/>
        <v>975</v>
      </c>
      <c r="CJ4" s="144">
        <f>SUM(CJ7:CJ70)</f>
        <v>205</v>
      </c>
      <c r="CK4" s="148">
        <f t="shared" ref="CK4:CM4" si="4">IF($CC4=0,0,CD4/$CC4)</f>
        <v>0.87388083564272012</v>
      </c>
      <c r="CL4" s="149">
        <f t="shared" si="4"/>
        <v>7.0480707738222126E-2</v>
      </c>
      <c r="CM4" s="150">
        <f t="shared" si="4"/>
        <v>4.2248454487316137E-2</v>
      </c>
      <c r="CN4" s="148">
        <f t="shared" ref="CN4:CP4" si="5">IF($CG4=0,0,CH4/$CG4)</f>
        <v>0.7896317370001581</v>
      </c>
      <c r="CO4" s="149">
        <f t="shared" si="5"/>
        <v>0.15410146989094359</v>
      </c>
      <c r="CP4" s="150">
        <f t="shared" si="5"/>
        <v>3.2400821874506082E-2</v>
      </c>
    </row>
    <row r="5" spans="1:94" s="181" customFormat="1" x14ac:dyDescent="0.15">
      <c r="A5" s="183" t="str">
        <f>管理者入力シート!B2</f>
        <v>45202_14</v>
      </c>
      <c r="B5" s="201" t="str">
        <f>VLOOKUP($A$5,$A$7:$CP$50,2,FALSE)</f>
        <v>都城市</v>
      </c>
      <c r="C5" s="201" t="str">
        <f>VLOOKUP($A$5,$A$7:$CP$50,3,FALSE)</f>
        <v>山田地区</v>
      </c>
      <c r="D5" s="188">
        <f>VLOOKUP($A$5,$A$7:$CP$70,4,FALSE)</f>
        <v>2809</v>
      </c>
      <c r="E5" s="189">
        <f>VLOOKUP($A$5,$A$7:$CP$70,5,FALSE)</f>
        <v>1694</v>
      </c>
      <c r="F5" s="189">
        <f>VLOOKUP($A$5,$A$7:$CP$70,6,FALSE)</f>
        <v>589</v>
      </c>
      <c r="G5" s="190">
        <f>VLOOKUP($A$5,$A$7:$CP$70,7,FALSE)</f>
        <v>572</v>
      </c>
      <c r="H5" s="178">
        <f>VLOOKUP($A$5,$A$7:$CP$70,8,FALSE)</f>
        <v>0.60306158775364893</v>
      </c>
      <c r="I5" s="179">
        <f>VLOOKUP($A$5,$A$7:$CP$70,9,FALSE)</f>
        <v>0.20968316126735492</v>
      </c>
      <c r="J5" s="180">
        <f>VLOOKUP($A$5,$A$7:$CP$70,10,FALSE)</f>
        <v>0.2036311854752581</v>
      </c>
      <c r="K5" s="188">
        <f>VLOOKUP($A$5,$A$7:$CP$70,11,FALSE)</f>
        <v>6531</v>
      </c>
      <c r="L5" s="189">
        <f>VLOOKUP($A$5,$A$7:$CP$70,12,FALSE)</f>
        <v>917</v>
      </c>
      <c r="M5" s="189">
        <f>VLOOKUP($A$5,$A$7:$CP$70,13,FALSE)</f>
        <v>1646</v>
      </c>
      <c r="N5" s="190">
        <f>VLOOKUP($A$5,$A$7:$CP$70,14,FALSE)</f>
        <v>3771</v>
      </c>
      <c r="O5" s="178">
        <f>VLOOKUP($A$5,$A$7:$CP$70,15,FALSE)</f>
        <v>0.14040728831725616</v>
      </c>
      <c r="P5" s="179">
        <f>VLOOKUP($A$5,$A$7:$CP$70,16,FALSE)</f>
        <v>0.25202878579084365</v>
      </c>
      <c r="Q5" s="180">
        <f>VLOOKUP($A$5,$A$7:$CP$70,17,FALSE)</f>
        <v>0.57740009186954522</v>
      </c>
      <c r="R5" s="188">
        <f>VLOOKUP($A$5,$A$7:$CP$70,18,FALSE)</f>
        <v>6531</v>
      </c>
      <c r="S5" s="189">
        <f>VLOOKUP($A$5,$A$7:$CP$70,19,FALSE)</f>
        <v>680</v>
      </c>
      <c r="T5" s="189">
        <f>VLOOKUP($A$5,$A$7:$CP$70,20,FALSE)</f>
        <v>78</v>
      </c>
      <c r="U5" s="189">
        <f>VLOOKUP($A$5,$A$7:$CP$70,21,FALSE)</f>
        <v>172</v>
      </c>
      <c r="V5" s="189">
        <f>VLOOKUP($A$5,$A$7:$CP$70,22,FALSE)</f>
        <v>52</v>
      </c>
      <c r="W5" s="190">
        <f>VLOOKUP($A$5,$A$7:$CP$70,23,FALSE)</f>
        <v>982</v>
      </c>
      <c r="X5" s="188">
        <f>VLOOKUP($A$5,$A$7:$CP$70,24,FALSE)</f>
        <v>3087</v>
      </c>
      <c r="Y5" s="189">
        <f>VLOOKUP($A$5,$A$7:$CP$70,25,FALSE)</f>
        <v>288</v>
      </c>
      <c r="Z5" s="189">
        <f>VLOOKUP($A$5,$A$7:$CP$70,26,FALSE)</f>
        <v>40</v>
      </c>
      <c r="AA5" s="189">
        <f>VLOOKUP($A$5,$A$7:$CP$70,27,FALSE)</f>
        <v>88</v>
      </c>
      <c r="AB5" s="189">
        <f>VLOOKUP($A$5,$A$7:$CP$70,28,FALSE)</f>
        <v>12</v>
      </c>
      <c r="AC5" s="191">
        <f>VLOOKUP($A$5,$A$7:$CP$70,29,FALSE)</f>
        <v>428</v>
      </c>
      <c r="AD5" s="188">
        <f>VLOOKUP($A$5,$A$7:$CP$70,30,FALSE)</f>
        <v>3444</v>
      </c>
      <c r="AE5" s="189">
        <f>VLOOKUP($A$5,$A$7:$CP$70,31,FALSE)</f>
        <v>392</v>
      </c>
      <c r="AF5" s="189">
        <f>VLOOKUP($A$5,$A$7:$CP$70,32,FALSE)</f>
        <v>38</v>
      </c>
      <c r="AG5" s="189">
        <f>VLOOKUP($A$5,$A$7:$CP$70,33,FALSE)</f>
        <v>84</v>
      </c>
      <c r="AH5" s="189">
        <f>VLOOKUP($A$5,$A$7:$CP$70,34,FALSE)</f>
        <v>40</v>
      </c>
      <c r="AI5" s="191">
        <f>VLOOKUP($A$5,$A$7:$CP$70,35,FALSE)</f>
        <v>554</v>
      </c>
      <c r="AJ5" s="178">
        <f>VLOOKUP($A$5,$A$7:$CP$70,36,FALSE)</f>
        <v>0.15035982238554585</v>
      </c>
      <c r="AK5" s="179">
        <f>VLOOKUP($A$5,$A$7:$CP$70,37,FALSE)</f>
        <v>7.9429735234215884E-2</v>
      </c>
      <c r="AL5" s="179">
        <f>VLOOKUP($A$5,$A$7:$CP$70,38,FALSE)</f>
        <v>0.17515274949083504</v>
      </c>
      <c r="AM5" s="179">
        <f>VLOOKUP($A$5,$A$7:$CP$70,39,FALSE)</f>
        <v>5.2953156822810592E-2</v>
      </c>
      <c r="AN5" s="182">
        <f>VLOOKUP($A$5,$A$7:$CP$70,40,FALSE)</f>
        <v>0.43584521384928715</v>
      </c>
      <c r="AO5" s="180">
        <f>VLOOKUP($A$5,$A$7:$CP$70,41,FALSE)</f>
        <v>0.56415478615071279</v>
      </c>
      <c r="AP5" s="192">
        <f>VLOOKUP($A$5,$A$7:$CP$70,42,FALSE)</f>
        <v>3108</v>
      </c>
      <c r="AQ5" s="189">
        <f>VLOOKUP($A$5,$A$7:$CP$70,43,FALSE)</f>
        <v>499</v>
      </c>
      <c r="AR5" s="189">
        <f>VLOOKUP($A$5,$A$7:$CP$70,44,FALSE)</f>
        <v>2</v>
      </c>
      <c r="AS5" s="189">
        <f>VLOOKUP($A$5,$A$7:$CP$70,45,FALSE)</f>
        <v>4</v>
      </c>
      <c r="AT5" s="189">
        <f>VLOOKUP($A$5,$A$7:$CP$70,46,FALSE)</f>
        <v>351</v>
      </c>
      <c r="AU5" s="189">
        <f>VLOOKUP($A$5,$A$7:$CP$70,47,FALSE)</f>
        <v>567</v>
      </c>
      <c r="AV5" s="189">
        <f>VLOOKUP($A$5,$A$7:$CP$70,48,FALSE)</f>
        <v>7</v>
      </c>
      <c r="AW5" s="189">
        <f>VLOOKUP($A$5,$A$7:$CP$70,49,FALSE)</f>
        <v>18</v>
      </c>
      <c r="AX5" s="189">
        <f>VLOOKUP($A$5,$A$7:$CP$70,50,FALSE)</f>
        <v>168</v>
      </c>
      <c r="AY5" s="189">
        <f>VLOOKUP($A$5,$A$7:$CP$70,51,FALSE)</f>
        <v>347</v>
      </c>
      <c r="AZ5" s="189">
        <f>VLOOKUP($A$5,$A$7:$CP$70,52,FALSE)</f>
        <v>30</v>
      </c>
      <c r="BA5" s="189">
        <f>VLOOKUP($A$5,$A$7:$CP$70,53,FALSE)</f>
        <v>12</v>
      </c>
      <c r="BB5" s="189">
        <f>VLOOKUP($A$5,$A$7:$CP$70,54,FALSE)</f>
        <v>42</v>
      </c>
      <c r="BC5" s="189">
        <f>VLOOKUP($A$5,$A$7:$CP$70,55,FALSE)</f>
        <v>107</v>
      </c>
      <c r="BD5" s="189">
        <f>VLOOKUP($A$5,$A$7:$CP$70,56,FALSE)</f>
        <v>104</v>
      </c>
      <c r="BE5" s="189">
        <f>VLOOKUP($A$5,$A$7:$CP$70,57,FALSE)</f>
        <v>71</v>
      </c>
      <c r="BF5" s="189">
        <f>VLOOKUP($A$5,$A$7:$CP$70,58,FALSE)</f>
        <v>482</v>
      </c>
      <c r="BG5" s="189">
        <f>VLOOKUP($A$5,$A$7:$CP$70,59,FALSE)</f>
        <v>48</v>
      </c>
      <c r="BH5" s="189">
        <f>VLOOKUP($A$5,$A$7:$CP$70,60,FALSE)</f>
        <v>134</v>
      </c>
      <c r="BI5" s="189">
        <f>VLOOKUP($A$5,$A$7:$CP$70,61,FALSE)</f>
        <v>79</v>
      </c>
      <c r="BJ5" s="178">
        <f>VLOOKUP($A$5,$A$7:$CP$70,62,FALSE)</f>
        <v>0.16055341055341055</v>
      </c>
      <c r="BK5" s="179">
        <f>VLOOKUP($A$5,$A$7:$CP$70,63,FALSE)</f>
        <v>6.4350064350064348E-4</v>
      </c>
      <c r="BL5" s="179">
        <f>VLOOKUP($A$5,$A$7:$CP$70,64,FALSE)</f>
        <v>1.287001287001287E-3</v>
      </c>
      <c r="BM5" s="179">
        <f>VLOOKUP($A$5,$A$7:$CP$70,65,FALSE)</f>
        <v>0.11293436293436293</v>
      </c>
      <c r="BN5" s="179">
        <f>VLOOKUP($A$5,$A$7:$CP$70,66,FALSE)</f>
        <v>0.18243243243243243</v>
      </c>
      <c r="BO5" s="179">
        <f>VLOOKUP($A$5,$A$7:$CP$70,67,FALSE)</f>
        <v>2.2522522522522522E-3</v>
      </c>
      <c r="BP5" s="179">
        <f>VLOOKUP($A$5,$A$7:$CP$70,68,FALSE)</f>
        <v>5.7915057915057912E-3</v>
      </c>
      <c r="BQ5" s="179">
        <f>VLOOKUP($A$5,$A$7:$CP$70,69,FALSE)</f>
        <v>5.4054054054054057E-2</v>
      </c>
      <c r="BR5" s="179">
        <f>VLOOKUP($A$5,$A$7:$CP$70,70,FALSE)</f>
        <v>0.11164736164736165</v>
      </c>
      <c r="BS5" s="179">
        <f>VLOOKUP($A$5,$A$7:$CP$70,71,FALSE)</f>
        <v>9.6525096525096523E-3</v>
      </c>
      <c r="BT5" s="179">
        <f>VLOOKUP($A$5,$A$7:$CP$70,72,FALSE)</f>
        <v>3.8610038610038611E-3</v>
      </c>
      <c r="BU5" s="179">
        <f>VLOOKUP($A$5,$A$7:$CP$70,73,FALSE)</f>
        <v>1.3513513513513514E-2</v>
      </c>
      <c r="BV5" s="179">
        <f>VLOOKUP($A$5,$A$7:$CP$70,74,FALSE)</f>
        <v>3.4427284427284426E-2</v>
      </c>
      <c r="BW5" s="179">
        <f>VLOOKUP($A$5,$A$7:$CP$70,75,FALSE)</f>
        <v>3.3462033462033462E-2</v>
      </c>
      <c r="BX5" s="179">
        <f>VLOOKUP($A$5,$A$7:$CP$70,76,FALSE)</f>
        <v>2.2844272844272845E-2</v>
      </c>
      <c r="BY5" s="179">
        <f>VLOOKUP($A$5,$A$7:$CP$70,77,FALSE)</f>
        <v>0.15508365508365507</v>
      </c>
      <c r="BZ5" s="179">
        <f>VLOOKUP($A$5,$A$7:$CP$70,78,FALSE)</f>
        <v>1.5444015444015444E-2</v>
      </c>
      <c r="CA5" s="179">
        <f>VLOOKUP($A$5,$A$7:$CP$70,79,FALSE)</f>
        <v>4.3114543114543116E-2</v>
      </c>
      <c r="CB5" s="180">
        <f>VLOOKUP($A$5,$A$7:$CP$70,80,FALSE)</f>
        <v>2.5418275418275418E-2</v>
      </c>
      <c r="CC5" s="188">
        <f>VLOOKUP($A$5,$A$7:$CP$70,81,FALSE)</f>
        <v>3108</v>
      </c>
      <c r="CD5" s="190">
        <f>VLOOKUP($A$5,$A$7:$CP$70,82,FALSE)</f>
        <v>2848</v>
      </c>
      <c r="CE5" s="189">
        <f>VLOOKUP($A$5,$A$7:$CP$70,83,FALSE)</f>
        <v>153</v>
      </c>
      <c r="CF5" s="191">
        <f>VLOOKUP($A$5,$A$7:$CP$70,84,FALSE)</f>
        <v>74</v>
      </c>
      <c r="CG5" s="188">
        <f>VLOOKUP($A$5,$A$7:$CP$70,85,FALSE)</f>
        <v>257</v>
      </c>
      <c r="CH5" s="189">
        <f>VLOOKUP($A$5,$A$7:$CP$70,86,FALSE)</f>
        <v>197</v>
      </c>
      <c r="CI5" s="189">
        <f>VLOOKUP($A$5,$A$7:$CP$70,87,FALSE)</f>
        <v>46</v>
      </c>
      <c r="CJ5" s="191">
        <f>VLOOKUP($A$5,$A$7:$CP$70,88,FALSE)</f>
        <v>3</v>
      </c>
      <c r="CK5" s="178">
        <f>VLOOKUP($A$5,$A$7:$CP$70,89,FALSE)</f>
        <v>0.91634491634491633</v>
      </c>
      <c r="CL5" s="179">
        <f>VLOOKUP($A$5,$A$7:$CP$70,90,FALSE)</f>
        <v>4.9227799227799227E-2</v>
      </c>
      <c r="CM5" s="180">
        <f>VLOOKUP($A$5,$A$7:$CP$70,91,FALSE)</f>
        <v>2.3809523809523808E-2</v>
      </c>
      <c r="CN5" s="178">
        <f>VLOOKUP($A$5,$A$7:$CP$70,92,FALSE)</f>
        <v>0.7665369649805448</v>
      </c>
      <c r="CO5" s="179">
        <f>VLOOKUP($A$5,$A$7:$CP$70,93,FALSE)</f>
        <v>0.17898832684824903</v>
      </c>
      <c r="CP5" s="180">
        <f>VLOOKUP($A$5,$A$7:$CP$70,94,FALSE)</f>
        <v>1.1673151750972763E-2</v>
      </c>
    </row>
    <row r="6" spans="1:94" s="242" customFormat="1" x14ac:dyDescent="0.15"/>
    <row r="7" spans="1:94" x14ac:dyDescent="0.15">
      <c r="A7" t="s">
        <v>427</v>
      </c>
      <c r="B7" t="s">
        <v>428</v>
      </c>
      <c r="C7" t="s">
        <v>429</v>
      </c>
      <c r="D7">
        <v>5430</v>
      </c>
      <c r="E7">
        <v>2446</v>
      </c>
      <c r="F7">
        <v>813</v>
      </c>
      <c r="G7">
        <v>940</v>
      </c>
      <c r="H7">
        <v>0.45046040515653774</v>
      </c>
      <c r="I7">
        <v>0.14972375690607734</v>
      </c>
      <c r="J7">
        <v>0.17311233885819521</v>
      </c>
      <c r="K7">
        <v>11797</v>
      </c>
      <c r="L7">
        <v>954</v>
      </c>
      <c r="M7">
        <v>4640</v>
      </c>
      <c r="N7">
        <v>5522</v>
      </c>
      <c r="O7">
        <v>8.0868017292531999E-2</v>
      </c>
      <c r="P7">
        <v>0.39332033567856234</v>
      </c>
      <c r="Q7">
        <v>0.46808510638297873</v>
      </c>
      <c r="R7">
        <v>11797</v>
      </c>
      <c r="S7">
        <v>1592</v>
      </c>
      <c r="T7">
        <v>435</v>
      </c>
      <c r="U7">
        <v>765</v>
      </c>
      <c r="V7">
        <v>60</v>
      </c>
      <c r="W7">
        <v>2852</v>
      </c>
      <c r="X7">
        <v>5478</v>
      </c>
      <c r="Y7">
        <v>761</v>
      </c>
      <c r="Z7">
        <v>200</v>
      </c>
      <c r="AA7">
        <v>401</v>
      </c>
      <c r="AB7">
        <v>22</v>
      </c>
      <c r="AC7">
        <v>1384</v>
      </c>
      <c r="AD7">
        <v>6319</v>
      </c>
      <c r="AE7">
        <v>831</v>
      </c>
      <c r="AF7">
        <v>235</v>
      </c>
      <c r="AG7">
        <v>364</v>
      </c>
      <c r="AH7">
        <v>38</v>
      </c>
      <c r="AI7">
        <v>1468</v>
      </c>
      <c r="AJ7">
        <v>0.24175637874035771</v>
      </c>
      <c r="AK7">
        <v>0.15252454417952313</v>
      </c>
      <c r="AL7">
        <v>0.26823281907433383</v>
      </c>
      <c r="AM7">
        <v>2.1037868162692847E-2</v>
      </c>
      <c r="AN7">
        <v>0.48527349228611499</v>
      </c>
      <c r="AO7">
        <v>0.51472650771388495</v>
      </c>
      <c r="AP7">
        <v>5319</v>
      </c>
      <c r="AQ7">
        <v>175</v>
      </c>
      <c r="AR7">
        <v>1</v>
      </c>
      <c r="AS7">
        <v>0</v>
      </c>
      <c r="AT7">
        <v>347</v>
      </c>
      <c r="AU7">
        <v>641</v>
      </c>
      <c r="AV7">
        <v>21</v>
      </c>
      <c r="AW7">
        <v>63</v>
      </c>
      <c r="AX7">
        <v>189</v>
      </c>
      <c r="AY7">
        <v>946</v>
      </c>
      <c r="AZ7">
        <v>163</v>
      </c>
      <c r="BA7">
        <v>94</v>
      </c>
      <c r="BB7">
        <v>124</v>
      </c>
      <c r="BC7">
        <v>292</v>
      </c>
      <c r="BD7">
        <v>222</v>
      </c>
      <c r="BE7">
        <v>319</v>
      </c>
      <c r="BF7">
        <v>980</v>
      </c>
      <c r="BG7">
        <v>68</v>
      </c>
      <c r="BH7">
        <v>300</v>
      </c>
      <c r="BI7">
        <v>268</v>
      </c>
      <c r="BJ7">
        <v>3.290092122579432E-2</v>
      </c>
      <c r="BK7">
        <v>1.8800526414739614E-4</v>
      </c>
      <c r="BL7">
        <v>0</v>
      </c>
      <c r="BM7">
        <v>6.5237826659146458E-2</v>
      </c>
      <c r="BN7">
        <v>0.12051137431848091</v>
      </c>
      <c r="BO7">
        <v>3.948110547095319E-3</v>
      </c>
      <c r="BP7">
        <v>1.1844331641285956E-2</v>
      </c>
      <c r="BQ7">
        <v>3.553299492385787E-2</v>
      </c>
      <c r="BR7">
        <v>0.17785297988343673</v>
      </c>
      <c r="BS7">
        <v>3.064485805602557E-2</v>
      </c>
      <c r="BT7">
        <v>1.7672494829855237E-2</v>
      </c>
      <c r="BU7">
        <v>2.331265275427712E-2</v>
      </c>
      <c r="BV7">
        <v>5.4897537131039668E-2</v>
      </c>
      <c r="BW7">
        <v>4.1737168640721939E-2</v>
      </c>
      <c r="BX7">
        <v>5.9973679263019365E-2</v>
      </c>
      <c r="BY7">
        <v>0.1842451588644482</v>
      </c>
      <c r="BZ7">
        <v>1.2784357962022937E-2</v>
      </c>
      <c r="CA7">
        <v>5.640157924421884E-2</v>
      </c>
      <c r="CB7">
        <v>5.0385410791502161E-2</v>
      </c>
      <c r="CC7">
        <v>5319</v>
      </c>
      <c r="CD7">
        <v>4627</v>
      </c>
      <c r="CE7">
        <v>275</v>
      </c>
      <c r="CF7">
        <v>325</v>
      </c>
      <c r="CG7">
        <v>420</v>
      </c>
      <c r="CH7">
        <v>304</v>
      </c>
      <c r="CI7">
        <v>84</v>
      </c>
      <c r="CJ7">
        <v>16</v>
      </c>
      <c r="CK7">
        <v>0.86990035721000192</v>
      </c>
      <c r="CL7">
        <v>5.1701447640533936E-2</v>
      </c>
      <c r="CM7">
        <v>6.1101710847903744E-2</v>
      </c>
      <c r="CN7">
        <v>0.72380952380952379</v>
      </c>
      <c r="CO7">
        <v>0.2</v>
      </c>
      <c r="CP7">
        <v>3.8095238095238099E-2</v>
      </c>
    </row>
    <row r="8" spans="1:94" x14ac:dyDescent="0.15">
      <c r="A8" t="s">
        <v>430</v>
      </c>
      <c r="B8" t="s">
        <v>428</v>
      </c>
      <c r="C8" t="s">
        <v>431</v>
      </c>
      <c r="D8">
        <v>8936</v>
      </c>
      <c r="E8">
        <v>3457</v>
      </c>
      <c r="F8">
        <v>1233</v>
      </c>
      <c r="G8">
        <v>1266</v>
      </c>
      <c r="H8">
        <v>0.38686213070725156</v>
      </c>
      <c r="I8">
        <v>0.13798119964189795</v>
      </c>
      <c r="J8">
        <v>0.14167412712623098</v>
      </c>
      <c r="K8">
        <v>19220</v>
      </c>
      <c r="L8">
        <v>1447</v>
      </c>
      <c r="M8">
        <v>7601</v>
      </c>
      <c r="N8">
        <v>8629</v>
      </c>
      <c r="O8">
        <v>7.5286160249739859E-2</v>
      </c>
      <c r="P8">
        <v>0.39547346514047865</v>
      </c>
      <c r="Q8">
        <v>0.44895941727367328</v>
      </c>
      <c r="R8">
        <v>19220</v>
      </c>
      <c r="S8">
        <v>2681</v>
      </c>
      <c r="T8">
        <v>819</v>
      </c>
      <c r="U8">
        <v>1151</v>
      </c>
      <c r="V8">
        <v>81</v>
      </c>
      <c r="W8">
        <v>4732</v>
      </c>
      <c r="X8">
        <v>8836</v>
      </c>
      <c r="Y8">
        <v>1158</v>
      </c>
      <c r="Z8">
        <v>396</v>
      </c>
      <c r="AA8">
        <v>607</v>
      </c>
      <c r="AB8">
        <v>37</v>
      </c>
      <c r="AC8">
        <v>2198</v>
      </c>
      <c r="AD8">
        <v>10384</v>
      </c>
      <c r="AE8">
        <v>1523</v>
      </c>
      <c r="AF8">
        <v>423</v>
      </c>
      <c r="AG8">
        <v>544</v>
      </c>
      <c r="AH8">
        <v>44</v>
      </c>
      <c r="AI8">
        <v>2534</v>
      </c>
      <c r="AJ8">
        <v>0.24620187304890739</v>
      </c>
      <c r="AK8">
        <v>0.17307692307692307</v>
      </c>
      <c r="AL8">
        <v>0.24323753169907017</v>
      </c>
      <c r="AM8">
        <v>1.7117497886728655E-2</v>
      </c>
      <c r="AN8">
        <v>0.46449704142011833</v>
      </c>
      <c r="AO8">
        <v>0.53550295857988162</v>
      </c>
      <c r="AP8">
        <v>8934</v>
      </c>
      <c r="AQ8">
        <v>245</v>
      </c>
      <c r="AR8">
        <v>2</v>
      </c>
      <c r="AS8">
        <v>0</v>
      </c>
      <c r="AT8">
        <v>708</v>
      </c>
      <c r="AU8">
        <v>1073</v>
      </c>
      <c r="AV8">
        <v>26</v>
      </c>
      <c r="AW8">
        <v>113</v>
      </c>
      <c r="AX8">
        <v>364</v>
      </c>
      <c r="AY8">
        <v>1607</v>
      </c>
      <c r="AZ8">
        <v>207</v>
      </c>
      <c r="BA8">
        <v>127</v>
      </c>
      <c r="BB8">
        <v>254</v>
      </c>
      <c r="BC8">
        <v>474</v>
      </c>
      <c r="BD8">
        <v>339</v>
      </c>
      <c r="BE8">
        <v>570</v>
      </c>
      <c r="BF8">
        <v>1643</v>
      </c>
      <c r="BG8">
        <v>106</v>
      </c>
      <c r="BH8">
        <v>476</v>
      </c>
      <c r="BI8">
        <v>451</v>
      </c>
      <c r="BJ8">
        <v>2.7423326617416612E-2</v>
      </c>
      <c r="BK8">
        <v>2.2386389075442132E-4</v>
      </c>
      <c r="BL8">
        <v>0</v>
      </c>
      <c r="BM8">
        <v>7.9247817327065151E-2</v>
      </c>
      <c r="BN8">
        <v>0.12010297738974704</v>
      </c>
      <c r="BO8">
        <v>2.910230579807477E-3</v>
      </c>
      <c r="BP8">
        <v>1.2648309827624804E-2</v>
      </c>
      <c r="BQ8">
        <v>4.0743228117304679E-2</v>
      </c>
      <c r="BR8">
        <v>0.17987463622117753</v>
      </c>
      <c r="BS8">
        <v>2.3169912693082606E-2</v>
      </c>
      <c r="BT8">
        <v>1.4215357062905753E-2</v>
      </c>
      <c r="BU8">
        <v>2.8430714125811506E-2</v>
      </c>
      <c r="BV8">
        <v>5.3055742108797849E-2</v>
      </c>
      <c r="BW8">
        <v>3.7944929482874409E-2</v>
      </c>
      <c r="BX8">
        <v>6.3801208865010076E-2</v>
      </c>
      <c r="BY8">
        <v>0.1839041862547571</v>
      </c>
      <c r="BZ8">
        <v>1.1864786209984329E-2</v>
      </c>
      <c r="CA8">
        <v>5.3279605999552275E-2</v>
      </c>
      <c r="CB8">
        <v>5.0481307365122005E-2</v>
      </c>
      <c r="CC8">
        <v>8934</v>
      </c>
      <c r="CD8">
        <v>7692</v>
      </c>
      <c r="CE8">
        <v>786</v>
      </c>
      <c r="CF8">
        <v>362</v>
      </c>
      <c r="CG8">
        <v>838</v>
      </c>
      <c r="CH8">
        <v>631</v>
      </c>
      <c r="CI8">
        <v>169</v>
      </c>
      <c r="CJ8">
        <v>19</v>
      </c>
      <c r="CK8">
        <v>0.86098052384150436</v>
      </c>
      <c r="CL8">
        <v>8.7978509066487576E-2</v>
      </c>
      <c r="CM8">
        <v>4.051936422655026E-2</v>
      </c>
      <c r="CN8">
        <v>0.75298329355608595</v>
      </c>
      <c r="CO8">
        <v>0.20167064439140811</v>
      </c>
      <c r="CP8">
        <v>2.2673031026252982E-2</v>
      </c>
    </row>
    <row r="9" spans="1:94" x14ac:dyDescent="0.15">
      <c r="A9" t="s">
        <v>432</v>
      </c>
      <c r="B9" t="s">
        <v>428</v>
      </c>
      <c r="C9" t="s">
        <v>433</v>
      </c>
      <c r="D9">
        <v>5176</v>
      </c>
      <c r="E9">
        <v>1968</v>
      </c>
      <c r="F9">
        <v>600</v>
      </c>
      <c r="G9">
        <v>787</v>
      </c>
      <c r="H9">
        <v>0.3802163833075734</v>
      </c>
      <c r="I9">
        <v>0.11591962905718702</v>
      </c>
      <c r="J9">
        <v>0.15204791344667698</v>
      </c>
      <c r="K9">
        <v>11036</v>
      </c>
      <c r="L9">
        <v>872</v>
      </c>
      <c r="M9">
        <v>4405</v>
      </c>
      <c r="N9">
        <v>4692</v>
      </c>
      <c r="O9">
        <v>7.9014135556360998E-2</v>
      </c>
      <c r="P9">
        <v>0.39914824211670896</v>
      </c>
      <c r="Q9">
        <v>0.42515404131931861</v>
      </c>
      <c r="R9">
        <v>11036</v>
      </c>
      <c r="S9">
        <v>1741</v>
      </c>
      <c r="T9">
        <v>394</v>
      </c>
      <c r="U9">
        <v>608</v>
      </c>
      <c r="V9">
        <v>100</v>
      </c>
      <c r="W9">
        <v>2843</v>
      </c>
      <c r="X9">
        <v>5086</v>
      </c>
      <c r="Y9">
        <v>746</v>
      </c>
      <c r="Z9">
        <v>200</v>
      </c>
      <c r="AA9">
        <v>311</v>
      </c>
      <c r="AB9">
        <v>16</v>
      </c>
      <c r="AC9">
        <v>1273</v>
      </c>
      <c r="AD9">
        <v>5950</v>
      </c>
      <c r="AE9">
        <v>995</v>
      </c>
      <c r="AF9">
        <v>194</v>
      </c>
      <c r="AG9">
        <v>297</v>
      </c>
      <c r="AH9">
        <v>84</v>
      </c>
      <c r="AI9">
        <v>1570</v>
      </c>
      <c r="AJ9">
        <v>0.25761145342515407</v>
      </c>
      <c r="AK9">
        <v>0.13858600070348223</v>
      </c>
      <c r="AL9">
        <v>0.21385860007034824</v>
      </c>
      <c r="AM9">
        <v>3.5174111853675694E-2</v>
      </c>
      <c r="AN9">
        <v>0.44776644389729159</v>
      </c>
      <c r="AO9">
        <v>0.55223355610270841</v>
      </c>
      <c r="AP9">
        <v>4967</v>
      </c>
      <c r="AQ9">
        <v>174</v>
      </c>
      <c r="AR9">
        <v>0</v>
      </c>
      <c r="AS9">
        <v>0</v>
      </c>
      <c r="AT9">
        <v>393</v>
      </c>
      <c r="AU9">
        <v>700</v>
      </c>
      <c r="AV9">
        <v>19</v>
      </c>
      <c r="AW9">
        <v>40</v>
      </c>
      <c r="AX9">
        <v>212</v>
      </c>
      <c r="AY9">
        <v>940</v>
      </c>
      <c r="AZ9">
        <v>91</v>
      </c>
      <c r="BA9">
        <v>73</v>
      </c>
      <c r="BB9">
        <v>109</v>
      </c>
      <c r="BC9">
        <v>322</v>
      </c>
      <c r="BD9">
        <v>216</v>
      </c>
      <c r="BE9">
        <v>218</v>
      </c>
      <c r="BF9">
        <v>858</v>
      </c>
      <c r="BG9">
        <v>54</v>
      </c>
      <c r="BH9">
        <v>260</v>
      </c>
      <c r="BI9">
        <v>185</v>
      </c>
      <c r="BJ9">
        <v>3.5031205959331589E-2</v>
      </c>
      <c r="BK9">
        <v>0</v>
      </c>
      <c r="BL9">
        <v>0</v>
      </c>
      <c r="BM9">
        <v>7.9122206563317893E-2</v>
      </c>
      <c r="BN9">
        <v>0.14093013891685122</v>
      </c>
      <c r="BO9">
        <v>3.8252466277431045E-3</v>
      </c>
      <c r="BP9">
        <v>8.0531507952486415E-3</v>
      </c>
      <c r="BQ9">
        <v>4.2681699214817799E-2</v>
      </c>
      <c r="BR9">
        <v>0.18924904368834305</v>
      </c>
      <c r="BS9">
        <v>1.8320918059190658E-2</v>
      </c>
      <c r="BT9">
        <v>1.469700020132877E-2</v>
      </c>
      <c r="BU9">
        <v>2.1944835917052548E-2</v>
      </c>
      <c r="BV9">
        <v>6.4827863901751562E-2</v>
      </c>
      <c r="BW9">
        <v>4.3487014294342659E-2</v>
      </c>
      <c r="BX9">
        <v>4.3889671834105096E-2</v>
      </c>
      <c r="BY9">
        <v>0.17274008455808335</v>
      </c>
      <c r="BZ9">
        <v>1.0871753573585665E-2</v>
      </c>
      <c r="CA9">
        <v>5.2345480169116165E-2</v>
      </c>
      <c r="CB9">
        <v>3.7245822428024968E-2</v>
      </c>
      <c r="CC9">
        <v>4967</v>
      </c>
      <c r="CD9">
        <v>4439</v>
      </c>
      <c r="CE9">
        <v>257</v>
      </c>
      <c r="CF9">
        <v>203</v>
      </c>
      <c r="CG9">
        <v>363</v>
      </c>
      <c r="CH9">
        <v>303</v>
      </c>
      <c r="CI9">
        <v>45</v>
      </c>
      <c r="CJ9">
        <v>9</v>
      </c>
      <c r="CK9">
        <v>0.89369840950271795</v>
      </c>
      <c r="CL9">
        <v>5.174149385947252E-2</v>
      </c>
      <c r="CM9">
        <v>4.0869740285886851E-2</v>
      </c>
      <c r="CN9">
        <v>0.83471074380165289</v>
      </c>
      <c r="CO9">
        <v>0.12396694214876033</v>
      </c>
      <c r="CP9">
        <v>2.4793388429752067E-2</v>
      </c>
    </row>
    <row r="10" spans="1:94" x14ac:dyDescent="0.15">
      <c r="A10" t="s">
        <v>434</v>
      </c>
      <c r="B10" t="s">
        <v>428</v>
      </c>
      <c r="C10" t="s">
        <v>435</v>
      </c>
      <c r="D10">
        <v>9143</v>
      </c>
      <c r="E10">
        <v>2960</v>
      </c>
      <c r="F10">
        <v>1080</v>
      </c>
      <c r="G10">
        <v>1045</v>
      </c>
      <c r="H10">
        <v>0.32374494148528932</v>
      </c>
      <c r="I10">
        <v>0.11812315432571366</v>
      </c>
      <c r="J10">
        <v>0.1142950891392322</v>
      </c>
      <c r="K10">
        <v>18949</v>
      </c>
      <c r="L10">
        <v>1464</v>
      </c>
      <c r="M10">
        <v>7942</v>
      </c>
      <c r="N10">
        <v>7832</v>
      </c>
      <c r="O10">
        <v>7.7260013721040688E-2</v>
      </c>
      <c r="P10">
        <v>0.41912501978996253</v>
      </c>
      <c r="Q10">
        <v>0.4133199641142013</v>
      </c>
      <c r="R10">
        <v>18949</v>
      </c>
      <c r="S10">
        <v>2689</v>
      </c>
      <c r="T10">
        <v>1015</v>
      </c>
      <c r="U10">
        <v>1284</v>
      </c>
      <c r="V10">
        <v>104</v>
      </c>
      <c r="W10">
        <v>5092</v>
      </c>
      <c r="X10">
        <v>8921</v>
      </c>
      <c r="Y10">
        <v>1243</v>
      </c>
      <c r="Z10">
        <v>429</v>
      </c>
      <c r="AA10">
        <v>696</v>
      </c>
      <c r="AB10">
        <v>28</v>
      </c>
      <c r="AC10">
        <v>2396</v>
      </c>
      <c r="AD10">
        <v>10028</v>
      </c>
      <c r="AE10">
        <v>1446</v>
      </c>
      <c r="AF10">
        <v>586</v>
      </c>
      <c r="AG10">
        <v>588</v>
      </c>
      <c r="AH10">
        <v>76</v>
      </c>
      <c r="AI10">
        <v>2696</v>
      </c>
      <c r="AJ10">
        <v>0.26872130455433002</v>
      </c>
      <c r="AK10">
        <v>0.19933228593872743</v>
      </c>
      <c r="AL10">
        <v>0.25216025137470544</v>
      </c>
      <c r="AM10">
        <v>2.0424194815396701E-2</v>
      </c>
      <c r="AN10">
        <v>0.47054202670856243</v>
      </c>
      <c r="AO10">
        <v>0.52945797329143751</v>
      </c>
      <c r="AP10">
        <v>9148</v>
      </c>
      <c r="AQ10">
        <v>270</v>
      </c>
      <c r="AR10">
        <v>3</v>
      </c>
      <c r="AS10">
        <v>1</v>
      </c>
      <c r="AT10">
        <v>628</v>
      </c>
      <c r="AU10">
        <v>1338</v>
      </c>
      <c r="AV10">
        <v>54</v>
      </c>
      <c r="AW10">
        <v>97</v>
      </c>
      <c r="AX10">
        <v>453</v>
      </c>
      <c r="AY10">
        <v>1623</v>
      </c>
      <c r="AZ10">
        <v>151</v>
      </c>
      <c r="BA10">
        <v>119</v>
      </c>
      <c r="BB10">
        <v>227</v>
      </c>
      <c r="BC10">
        <v>497</v>
      </c>
      <c r="BD10">
        <v>317</v>
      </c>
      <c r="BE10">
        <v>628</v>
      </c>
      <c r="BF10">
        <v>1598</v>
      </c>
      <c r="BG10">
        <v>132</v>
      </c>
      <c r="BH10">
        <v>490</v>
      </c>
      <c r="BI10">
        <v>414</v>
      </c>
      <c r="BJ10">
        <v>2.9514648010494096E-2</v>
      </c>
      <c r="BK10">
        <v>3.2794053344993443E-4</v>
      </c>
      <c r="BL10">
        <v>1.0931351114997814E-4</v>
      </c>
      <c r="BM10">
        <v>6.8648885002186272E-2</v>
      </c>
      <c r="BN10">
        <v>0.14626147791867075</v>
      </c>
      <c r="BO10">
        <v>5.9029296020988191E-3</v>
      </c>
      <c r="BP10">
        <v>1.060341058154788E-2</v>
      </c>
      <c r="BQ10">
        <v>4.9519020550940096E-2</v>
      </c>
      <c r="BR10">
        <v>0.17741582859641453</v>
      </c>
      <c r="BS10">
        <v>1.65063401836467E-2</v>
      </c>
      <c r="BT10">
        <v>1.3008307826847398E-2</v>
      </c>
      <c r="BU10">
        <v>2.4814167031045036E-2</v>
      </c>
      <c r="BV10">
        <v>5.4328815041539136E-2</v>
      </c>
      <c r="BW10">
        <v>3.4652383034543072E-2</v>
      </c>
      <c r="BX10">
        <v>6.8648885002186272E-2</v>
      </c>
      <c r="BY10">
        <v>0.17468299081766506</v>
      </c>
      <c r="BZ10">
        <v>1.4429383471797114E-2</v>
      </c>
      <c r="CA10">
        <v>5.3563620463489288E-2</v>
      </c>
      <c r="CB10">
        <v>4.5255793616090952E-2</v>
      </c>
      <c r="CC10">
        <v>9148</v>
      </c>
      <c r="CD10">
        <v>7970</v>
      </c>
      <c r="CE10">
        <v>821</v>
      </c>
      <c r="CF10">
        <v>274</v>
      </c>
      <c r="CG10">
        <v>790</v>
      </c>
      <c r="CH10">
        <v>623</v>
      </c>
      <c r="CI10">
        <v>117</v>
      </c>
      <c r="CJ10">
        <v>27</v>
      </c>
      <c r="CK10">
        <v>0.8712286838653257</v>
      </c>
      <c r="CL10">
        <v>8.9746392654132048E-2</v>
      </c>
      <c r="CM10">
        <v>2.9951902055094008E-2</v>
      </c>
      <c r="CN10">
        <v>0.78860759493670884</v>
      </c>
      <c r="CO10">
        <v>0.14810126582278482</v>
      </c>
      <c r="CP10">
        <v>3.4177215189873419E-2</v>
      </c>
    </row>
    <row r="11" spans="1:94" x14ac:dyDescent="0.15">
      <c r="A11" t="s">
        <v>436</v>
      </c>
      <c r="B11" t="s">
        <v>428</v>
      </c>
      <c r="C11" t="s">
        <v>437</v>
      </c>
      <c r="D11">
        <v>7327</v>
      </c>
      <c r="E11">
        <v>3391</v>
      </c>
      <c r="F11">
        <v>1126</v>
      </c>
      <c r="G11">
        <v>1361</v>
      </c>
      <c r="H11">
        <v>0.46280878940903508</v>
      </c>
      <c r="I11">
        <v>0.15367817660706976</v>
      </c>
      <c r="J11">
        <v>0.18575133069469088</v>
      </c>
      <c r="K11">
        <v>16973</v>
      </c>
      <c r="L11">
        <v>1449</v>
      </c>
      <c r="M11">
        <v>6643</v>
      </c>
      <c r="N11">
        <v>7797</v>
      </c>
      <c r="O11">
        <v>8.5370883167383491E-2</v>
      </c>
      <c r="P11">
        <v>0.39138631944853591</v>
      </c>
      <c r="Q11">
        <v>0.45937665704353975</v>
      </c>
      <c r="R11">
        <v>16973</v>
      </c>
      <c r="S11">
        <v>2296</v>
      </c>
      <c r="T11">
        <v>485</v>
      </c>
      <c r="U11">
        <v>1134</v>
      </c>
      <c r="V11">
        <v>77</v>
      </c>
      <c r="W11">
        <v>3992</v>
      </c>
      <c r="X11">
        <v>8002</v>
      </c>
      <c r="Y11">
        <v>1052</v>
      </c>
      <c r="Z11">
        <v>272</v>
      </c>
      <c r="AA11">
        <v>626</v>
      </c>
      <c r="AB11">
        <v>8</v>
      </c>
      <c r="AC11">
        <v>1958</v>
      </c>
      <c r="AD11">
        <v>8971</v>
      </c>
      <c r="AE11">
        <v>1244</v>
      </c>
      <c r="AF11">
        <v>213</v>
      </c>
      <c r="AG11">
        <v>508</v>
      </c>
      <c r="AH11">
        <v>69</v>
      </c>
      <c r="AI11">
        <v>2034</v>
      </c>
      <c r="AJ11">
        <v>0.23519707771165971</v>
      </c>
      <c r="AK11">
        <v>0.12149298597194388</v>
      </c>
      <c r="AL11">
        <v>0.28406813627254507</v>
      </c>
      <c r="AM11">
        <v>1.9288577154308616E-2</v>
      </c>
      <c r="AN11">
        <v>0.49048096192384771</v>
      </c>
      <c r="AO11">
        <v>0.50951903807615229</v>
      </c>
      <c r="AP11">
        <v>7797</v>
      </c>
      <c r="AQ11">
        <v>353</v>
      </c>
      <c r="AR11">
        <v>3</v>
      </c>
      <c r="AS11">
        <v>2</v>
      </c>
      <c r="AT11">
        <v>649</v>
      </c>
      <c r="AU11">
        <v>1050</v>
      </c>
      <c r="AV11">
        <v>58</v>
      </c>
      <c r="AW11">
        <v>53</v>
      </c>
      <c r="AX11">
        <v>342</v>
      </c>
      <c r="AY11">
        <v>1251</v>
      </c>
      <c r="AZ11">
        <v>126</v>
      </c>
      <c r="BA11">
        <v>73</v>
      </c>
      <c r="BB11">
        <v>163</v>
      </c>
      <c r="BC11">
        <v>329</v>
      </c>
      <c r="BD11">
        <v>277</v>
      </c>
      <c r="BE11">
        <v>346</v>
      </c>
      <c r="BF11">
        <v>1417</v>
      </c>
      <c r="BG11">
        <v>61</v>
      </c>
      <c r="BH11">
        <v>391</v>
      </c>
      <c r="BI11">
        <v>748</v>
      </c>
      <c r="BJ11">
        <v>4.5273823265358469E-2</v>
      </c>
      <c r="BK11">
        <v>3.8476337052712584E-4</v>
      </c>
      <c r="BL11">
        <v>2.5650891368475054E-4</v>
      </c>
      <c r="BM11">
        <v>8.3237142490701549E-2</v>
      </c>
      <c r="BN11">
        <v>0.13466717968449404</v>
      </c>
      <c r="BO11">
        <v>7.438758496857766E-3</v>
      </c>
      <c r="BP11">
        <v>6.7974862126458898E-3</v>
      </c>
      <c r="BQ11">
        <v>4.3863024240092342E-2</v>
      </c>
      <c r="BR11">
        <v>0.16044632550981147</v>
      </c>
      <c r="BS11">
        <v>1.6160061562139283E-2</v>
      </c>
      <c r="BT11">
        <v>9.3625753494933957E-3</v>
      </c>
      <c r="BU11">
        <v>2.090547646530717E-2</v>
      </c>
      <c r="BV11">
        <v>4.2195716301141467E-2</v>
      </c>
      <c r="BW11">
        <v>3.5526484545337952E-2</v>
      </c>
      <c r="BX11">
        <v>4.4376042067461846E-2</v>
      </c>
      <c r="BY11">
        <v>0.18173656534564575</v>
      </c>
      <c r="BZ11">
        <v>7.8235218673848913E-3</v>
      </c>
      <c r="CA11">
        <v>5.0147492625368731E-2</v>
      </c>
      <c r="CB11">
        <v>9.5934333718096704E-2</v>
      </c>
      <c r="CC11">
        <v>7797</v>
      </c>
      <c r="CD11">
        <v>6679</v>
      </c>
      <c r="CE11">
        <v>355</v>
      </c>
      <c r="CF11">
        <v>696</v>
      </c>
      <c r="CG11">
        <v>577</v>
      </c>
      <c r="CH11">
        <v>445</v>
      </c>
      <c r="CI11">
        <v>77</v>
      </c>
      <c r="CJ11">
        <v>41</v>
      </c>
      <c r="CK11">
        <v>0.85661151725022444</v>
      </c>
      <c r="CL11">
        <v>4.5530332179043224E-2</v>
      </c>
      <c r="CM11">
        <v>8.9265101962293189E-2</v>
      </c>
      <c r="CN11">
        <v>0.77123050259965342</v>
      </c>
      <c r="CO11">
        <v>0.13344887348353554</v>
      </c>
      <c r="CP11">
        <v>7.1057192374350084E-2</v>
      </c>
    </row>
    <row r="12" spans="1:94" x14ac:dyDescent="0.15">
      <c r="A12" t="s">
        <v>438</v>
      </c>
      <c r="B12" t="s">
        <v>428</v>
      </c>
      <c r="C12" t="s">
        <v>439</v>
      </c>
      <c r="D12">
        <v>5637</v>
      </c>
      <c r="E12">
        <v>2224</v>
      </c>
      <c r="F12">
        <v>811</v>
      </c>
      <c r="G12">
        <v>762</v>
      </c>
      <c r="H12">
        <v>0.39453610076281709</v>
      </c>
      <c r="I12">
        <v>0.14387085329075749</v>
      </c>
      <c r="J12">
        <v>0.13517828632251197</v>
      </c>
      <c r="K12">
        <v>14277</v>
      </c>
      <c r="L12">
        <v>1202</v>
      </c>
      <c r="M12">
        <v>5777</v>
      </c>
      <c r="N12">
        <v>6467</v>
      </c>
      <c r="O12">
        <v>8.4191356727603833E-2</v>
      </c>
      <c r="P12">
        <v>0.40463682846536386</v>
      </c>
      <c r="Q12">
        <v>0.45296630944876376</v>
      </c>
      <c r="R12">
        <v>14277</v>
      </c>
      <c r="S12">
        <v>2201</v>
      </c>
      <c r="T12">
        <v>341</v>
      </c>
      <c r="U12">
        <v>810</v>
      </c>
      <c r="V12">
        <v>55</v>
      </c>
      <c r="W12">
        <v>3407</v>
      </c>
      <c r="X12">
        <v>6778</v>
      </c>
      <c r="Y12">
        <v>1009</v>
      </c>
      <c r="Z12">
        <v>183</v>
      </c>
      <c r="AA12">
        <v>434</v>
      </c>
      <c r="AB12">
        <v>17</v>
      </c>
      <c r="AC12">
        <v>1643</v>
      </c>
      <c r="AD12">
        <v>7499</v>
      </c>
      <c r="AE12">
        <v>1192</v>
      </c>
      <c r="AF12">
        <v>158</v>
      </c>
      <c r="AG12">
        <v>376</v>
      </c>
      <c r="AH12">
        <v>38</v>
      </c>
      <c r="AI12">
        <v>1764</v>
      </c>
      <c r="AJ12">
        <v>0.23863556769629474</v>
      </c>
      <c r="AK12">
        <v>0.10008805400645729</v>
      </c>
      <c r="AL12">
        <v>0.23774581743469328</v>
      </c>
      <c r="AM12">
        <v>1.6143234517170531E-2</v>
      </c>
      <c r="AN12">
        <v>0.48224244203111244</v>
      </c>
      <c r="AO12">
        <v>0.51775755796888756</v>
      </c>
      <c r="AP12">
        <v>6541</v>
      </c>
      <c r="AQ12">
        <v>318</v>
      </c>
      <c r="AR12">
        <v>0</v>
      </c>
      <c r="AS12">
        <v>0</v>
      </c>
      <c r="AT12">
        <v>523</v>
      </c>
      <c r="AU12">
        <v>878</v>
      </c>
      <c r="AV12">
        <v>21</v>
      </c>
      <c r="AW12">
        <v>57</v>
      </c>
      <c r="AX12">
        <v>266</v>
      </c>
      <c r="AY12">
        <v>1114</v>
      </c>
      <c r="AZ12">
        <v>116</v>
      </c>
      <c r="BA12">
        <v>77</v>
      </c>
      <c r="BB12">
        <v>180</v>
      </c>
      <c r="BC12">
        <v>300</v>
      </c>
      <c r="BD12">
        <v>215</v>
      </c>
      <c r="BE12">
        <v>362</v>
      </c>
      <c r="BF12">
        <v>1238</v>
      </c>
      <c r="BG12">
        <v>69</v>
      </c>
      <c r="BH12">
        <v>310</v>
      </c>
      <c r="BI12">
        <v>397</v>
      </c>
      <c r="BJ12">
        <v>4.8616419507720533E-2</v>
      </c>
      <c r="BK12">
        <v>0</v>
      </c>
      <c r="BL12">
        <v>0</v>
      </c>
      <c r="BM12">
        <v>7.9957193089741627E-2</v>
      </c>
      <c r="BN12">
        <v>0.1342302400244611</v>
      </c>
      <c r="BO12">
        <v>3.2105182693777708E-3</v>
      </c>
      <c r="BP12">
        <v>8.714263874025378E-3</v>
      </c>
      <c r="BQ12">
        <v>4.0666564745451765E-2</v>
      </c>
      <c r="BR12">
        <v>0.17031035009937318</v>
      </c>
      <c r="BS12">
        <v>1.7734291392753402E-2</v>
      </c>
      <c r="BT12">
        <v>1.1771900321051828E-2</v>
      </c>
      <c r="BU12">
        <v>2.7518728023238036E-2</v>
      </c>
      <c r="BV12">
        <v>4.5864546705396726E-2</v>
      </c>
      <c r="BW12">
        <v>3.2869591805534323E-2</v>
      </c>
      <c r="BX12">
        <v>5.5343219691178717E-2</v>
      </c>
      <c r="BY12">
        <v>0.18926769607093716</v>
      </c>
      <c r="BZ12">
        <v>1.0548845742241247E-2</v>
      </c>
      <c r="CA12">
        <v>4.7393364928909949E-2</v>
      </c>
      <c r="CB12">
        <v>6.0694083473475005E-2</v>
      </c>
      <c r="CC12">
        <v>6541</v>
      </c>
      <c r="CD12">
        <v>5681</v>
      </c>
      <c r="CE12">
        <v>314</v>
      </c>
      <c r="CF12">
        <v>464</v>
      </c>
      <c r="CG12">
        <v>761</v>
      </c>
      <c r="CH12">
        <v>639</v>
      </c>
      <c r="CI12">
        <v>90</v>
      </c>
      <c r="CJ12">
        <v>18</v>
      </c>
      <c r="CK12">
        <v>0.86852163277786276</v>
      </c>
      <c r="CL12">
        <v>4.8004892218315241E-2</v>
      </c>
      <c r="CM12">
        <v>7.0937165571013608E-2</v>
      </c>
      <c r="CN12">
        <v>0.83968462549277267</v>
      </c>
      <c r="CO12">
        <v>0.11826544021024968</v>
      </c>
      <c r="CP12">
        <v>2.3653088042049936E-2</v>
      </c>
    </row>
    <row r="13" spans="1:94" x14ac:dyDescent="0.15">
      <c r="A13" t="s">
        <v>440</v>
      </c>
      <c r="B13" t="s">
        <v>428</v>
      </c>
      <c r="C13" t="s">
        <v>441</v>
      </c>
      <c r="D13">
        <v>6580</v>
      </c>
      <c r="E13">
        <v>2192</v>
      </c>
      <c r="F13">
        <v>845</v>
      </c>
      <c r="G13">
        <v>709</v>
      </c>
      <c r="H13">
        <v>0.33313069908814591</v>
      </c>
      <c r="I13">
        <v>0.128419452887538</v>
      </c>
      <c r="J13">
        <v>0.10775075987841945</v>
      </c>
      <c r="K13">
        <v>14894</v>
      </c>
      <c r="L13">
        <v>1494</v>
      </c>
      <c r="M13">
        <v>6256</v>
      </c>
      <c r="N13">
        <v>6073</v>
      </c>
      <c r="O13">
        <v>0.10030884920102054</v>
      </c>
      <c r="P13">
        <v>0.42003491338794147</v>
      </c>
      <c r="Q13">
        <v>0.40774808647777627</v>
      </c>
      <c r="R13">
        <v>14894</v>
      </c>
      <c r="S13">
        <v>2315</v>
      </c>
      <c r="T13">
        <v>855</v>
      </c>
      <c r="U13">
        <v>811</v>
      </c>
      <c r="V13">
        <v>163</v>
      </c>
      <c r="W13">
        <v>4144</v>
      </c>
      <c r="X13">
        <v>7195</v>
      </c>
      <c r="Y13">
        <v>1062</v>
      </c>
      <c r="Z13">
        <v>478</v>
      </c>
      <c r="AA13">
        <v>464</v>
      </c>
      <c r="AB13">
        <v>23</v>
      </c>
      <c r="AC13">
        <v>2027</v>
      </c>
      <c r="AD13">
        <v>7699</v>
      </c>
      <c r="AE13">
        <v>1253</v>
      </c>
      <c r="AF13">
        <v>377</v>
      </c>
      <c r="AG13">
        <v>347</v>
      </c>
      <c r="AH13">
        <v>140</v>
      </c>
      <c r="AI13">
        <v>2117</v>
      </c>
      <c r="AJ13">
        <v>0.2782328454411172</v>
      </c>
      <c r="AK13">
        <v>0.20632239382239381</v>
      </c>
      <c r="AL13">
        <v>0.19570463320463322</v>
      </c>
      <c r="AM13">
        <v>3.9333976833976832E-2</v>
      </c>
      <c r="AN13">
        <v>0.48914092664092662</v>
      </c>
      <c r="AO13">
        <v>0.51085907335907332</v>
      </c>
      <c r="AP13">
        <v>7373</v>
      </c>
      <c r="AQ13">
        <v>474</v>
      </c>
      <c r="AR13">
        <v>1</v>
      </c>
      <c r="AS13">
        <v>1</v>
      </c>
      <c r="AT13">
        <v>534</v>
      </c>
      <c r="AU13">
        <v>1476</v>
      </c>
      <c r="AV13">
        <v>11</v>
      </c>
      <c r="AW13">
        <v>51</v>
      </c>
      <c r="AX13">
        <v>408</v>
      </c>
      <c r="AY13">
        <v>1126</v>
      </c>
      <c r="AZ13">
        <v>84</v>
      </c>
      <c r="BA13">
        <v>74</v>
      </c>
      <c r="BB13">
        <v>145</v>
      </c>
      <c r="BC13">
        <v>304</v>
      </c>
      <c r="BD13">
        <v>267</v>
      </c>
      <c r="BE13">
        <v>472</v>
      </c>
      <c r="BF13">
        <v>1150</v>
      </c>
      <c r="BG13">
        <v>93</v>
      </c>
      <c r="BH13">
        <v>386</v>
      </c>
      <c r="BI13">
        <v>209</v>
      </c>
      <c r="BJ13">
        <v>6.4288620642886207E-2</v>
      </c>
      <c r="BK13">
        <v>1.356300013563E-4</v>
      </c>
      <c r="BL13">
        <v>1.356300013563E-4</v>
      </c>
      <c r="BM13">
        <v>7.2426420724264209E-2</v>
      </c>
      <c r="BN13">
        <v>0.20018988200189883</v>
      </c>
      <c r="BO13">
        <v>1.4919300149193002E-3</v>
      </c>
      <c r="BP13">
        <v>6.9171300691713003E-3</v>
      </c>
      <c r="BQ13">
        <v>5.5337040553370402E-2</v>
      </c>
      <c r="BR13">
        <v>0.1527193815271938</v>
      </c>
      <c r="BS13">
        <v>1.1392920113929202E-2</v>
      </c>
      <c r="BT13">
        <v>1.0036620100366201E-2</v>
      </c>
      <c r="BU13">
        <v>1.9666350196663501E-2</v>
      </c>
      <c r="BV13">
        <v>4.1231520412315203E-2</v>
      </c>
      <c r="BW13">
        <v>3.6213210362132105E-2</v>
      </c>
      <c r="BX13">
        <v>6.4017360640173604E-2</v>
      </c>
      <c r="BY13">
        <v>0.15597450155974502</v>
      </c>
      <c r="BZ13">
        <v>1.2613590126135901E-2</v>
      </c>
      <c r="CA13">
        <v>5.2353180523531807E-2</v>
      </c>
      <c r="CB13">
        <v>2.8346670283466702E-2</v>
      </c>
      <c r="CC13">
        <v>7373</v>
      </c>
      <c r="CD13">
        <v>6522</v>
      </c>
      <c r="CE13">
        <v>623</v>
      </c>
      <c r="CF13">
        <v>149</v>
      </c>
      <c r="CG13">
        <v>805</v>
      </c>
      <c r="CH13">
        <v>711</v>
      </c>
      <c r="CI13">
        <v>68</v>
      </c>
      <c r="CJ13">
        <v>16</v>
      </c>
      <c r="CK13">
        <v>0.88457886884578873</v>
      </c>
      <c r="CL13">
        <v>8.4497490844974904E-2</v>
      </c>
      <c r="CM13">
        <v>2.0208870202088704E-2</v>
      </c>
      <c r="CN13">
        <v>0.8832298136645963</v>
      </c>
      <c r="CO13">
        <v>8.4472049689440998E-2</v>
      </c>
      <c r="CP13">
        <v>1.9875776397515529E-2</v>
      </c>
    </row>
    <row r="14" spans="1:94" x14ac:dyDescent="0.15">
      <c r="A14" t="s">
        <v>426</v>
      </c>
      <c r="B14" t="s">
        <v>428</v>
      </c>
      <c r="C14" t="s">
        <v>442</v>
      </c>
      <c r="D14">
        <v>2617</v>
      </c>
      <c r="E14">
        <v>1513</v>
      </c>
      <c r="F14">
        <v>553</v>
      </c>
      <c r="G14">
        <v>463</v>
      </c>
      <c r="H14">
        <v>0.57814291173098964</v>
      </c>
      <c r="I14">
        <v>0.21131066106228505</v>
      </c>
      <c r="J14">
        <v>0.17692013756209399</v>
      </c>
      <c r="K14">
        <v>6295</v>
      </c>
      <c r="L14">
        <v>967</v>
      </c>
      <c r="M14">
        <v>1623</v>
      </c>
      <c r="N14">
        <v>3473</v>
      </c>
      <c r="O14">
        <v>0.15361397934868942</v>
      </c>
      <c r="P14">
        <v>0.25782366957903097</v>
      </c>
      <c r="Q14">
        <v>0.5517077045274027</v>
      </c>
      <c r="R14">
        <v>6295</v>
      </c>
      <c r="S14">
        <v>537</v>
      </c>
      <c r="T14">
        <v>122</v>
      </c>
      <c r="U14">
        <v>115</v>
      </c>
      <c r="V14">
        <v>82</v>
      </c>
      <c r="W14">
        <v>856</v>
      </c>
      <c r="X14">
        <v>2993</v>
      </c>
      <c r="Y14">
        <v>232</v>
      </c>
      <c r="Z14">
        <v>58</v>
      </c>
      <c r="AA14">
        <v>62</v>
      </c>
      <c r="AB14">
        <v>50</v>
      </c>
      <c r="AC14">
        <v>402</v>
      </c>
      <c r="AD14">
        <v>3302</v>
      </c>
      <c r="AE14">
        <v>305</v>
      </c>
      <c r="AF14">
        <v>64</v>
      </c>
      <c r="AG14">
        <v>53</v>
      </c>
      <c r="AH14">
        <v>32</v>
      </c>
      <c r="AI14">
        <v>454</v>
      </c>
      <c r="AJ14">
        <v>0.13598093725178714</v>
      </c>
      <c r="AK14">
        <v>0.1425233644859813</v>
      </c>
      <c r="AL14">
        <v>0.13434579439252337</v>
      </c>
      <c r="AM14">
        <v>9.5794392523364483E-2</v>
      </c>
      <c r="AN14">
        <v>0.46962616822429909</v>
      </c>
      <c r="AO14">
        <v>0.53037383177570097</v>
      </c>
      <c r="AP14">
        <v>3054</v>
      </c>
      <c r="AQ14">
        <v>603</v>
      </c>
      <c r="AR14">
        <v>0</v>
      </c>
      <c r="AS14">
        <v>0</v>
      </c>
      <c r="AT14">
        <v>308</v>
      </c>
      <c r="AU14">
        <v>523</v>
      </c>
      <c r="AV14">
        <v>5</v>
      </c>
      <c r="AW14">
        <v>10</v>
      </c>
      <c r="AX14">
        <v>137</v>
      </c>
      <c r="AY14">
        <v>371</v>
      </c>
      <c r="AZ14">
        <v>32</v>
      </c>
      <c r="BA14">
        <v>14</v>
      </c>
      <c r="BB14">
        <v>48</v>
      </c>
      <c r="BC14">
        <v>91</v>
      </c>
      <c r="BD14">
        <v>92</v>
      </c>
      <c r="BE14">
        <v>89</v>
      </c>
      <c r="BF14">
        <v>439</v>
      </c>
      <c r="BG14">
        <v>45</v>
      </c>
      <c r="BH14">
        <v>140</v>
      </c>
      <c r="BI14">
        <v>63</v>
      </c>
      <c r="BJ14">
        <v>0.19744597249508841</v>
      </c>
      <c r="BK14">
        <v>0</v>
      </c>
      <c r="BL14">
        <v>0</v>
      </c>
      <c r="BM14">
        <v>0.1008513425016372</v>
      </c>
      <c r="BN14">
        <v>0.17125081859855926</v>
      </c>
      <c r="BO14">
        <v>1.6371971185330713E-3</v>
      </c>
      <c r="BP14">
        <v>3.2743942370661427E-3</v>
      </c>
      <c r="BQ14">
        <v>4.4859201047806156E-2</v>
      </c>
      <c r="BR14">
        <v>0.1214800261951539</v>
      </c>
      <c r="BS14">
        <v>1.0478061558611657E-2</v>
      </c>
      <c r="BT14">
        <v>4.5841519318926003E-3</v>
      </c>
      <c r="BU14">
        <v>1.5717092337917484E-2</v>
      </c>
      <c r="BV14">
        <v>2.97969875573019E-2</v>
      </c>
      <c r="BW14">
        <v>3.0124426981008513E-2</v>
      </c>
      <c r="BX14">
        <v>2.9142108709888672E-2</v>
      </c>
      <c r="BY14">
        <v>0.14374590700720366</v>
      </c>
      <c r="BZ14">
        <v>1.4734774066797643E-2</v>
      </c>
      <c r="CA14">
        <v>4.5841519318926001E-2</v>
      </c>
      <c r="CB14">
        <v>2.0628683693516701E-2</v>
      </c>
      <c r="CC14">
        <v>3054</v>
      </c>
      <c r="CD14">
        <v>2772</v>
      </c>
      <c r="CE14">
        <v>186</v>
      </c>
      <c r="CF14">
        <v>56</v>
      </c>
      <c r="CG14">
        <v>209</v>
      </c>
      <c r="CH14">
        <v>163</v>
      </c>
      <c r="CI14">
        <v>35</v>
      </c>
      <c r="CJ14">
        <v>5</v>
      </c>
      <c r="CK14">
        <v>0.90766208251473479</v>
      </c>
      <c r="CL14">
        <v>6.0903732809430254E-2</v>
      </c>
      <c r="CM14">
        <v>1.8336607727570401E-2</v>
      </c>
      <c r="CN14">
        <v>0.77990430622009566</v>
      </c>
      <c r="CO14">
        <v>0.1674641148325359</v>
      </c>
      <c r="CP14">
        <v>2.3923444976076555E-2</v>
      </c>
    </row>
    <row r="15" spans="1:94" x14ac:dyDescent="0.15">
      <c r="A15" t="s">
        <v>443</v>
      </c>
      <c r="B15" t="s">
        <v>428</v>
      </c>
      <c r="C15" t="s">
        <v>444</v>
      </c>
      <c r="D15" s="202">
        <v>2931</v>
      </c>
      <c r="E15" s="202">
        <v>1607</v>
      </c>
      <c r="F15" s="202">
        <v>536</v>
      </c>
      <c r="G15" s="202">
        <v>525</v>
      </c>
      <c r="H15" s="202">
        <v>0.54827703855339471</v>
      </c>
      <c r="I15" s="202">
        <v>0.18287273967929035</v>
      </c>
      <c r="J15" s="202">
        <v>0.17911975435005117</v>
      </c>
      <c r="K15" s="202">
        <v>7124</v>
      </c>
      <c r="L15" s="202">
        <v>927</v>
      </c>
      <c r="M15" s="202">
        <v>2102</v>
      </c>
      <c r="N15" s="202">
        <v>3804</v>
      </c>
      <c r="O15" s="202">
        <v>0.13012352610892758</v>
      </c>
      <c r="P15" s="202">
        <v>0.29505895564289725</v>
      </c>
      <c r="Q15" s="202">
        <v>0.53396967995508138</v>
      </c>
      <c r="R15" s="202">
        <v>7124</v>
      </c>
      <c r="S15" s="202">
        <v>854</v>
      </c>
      <c r="T15" s="202">
        <v>96</v>
      </c>
      <c r="U15" s="202">
        <v>143</v>
      </c>
      <c r="V15" s="202">
        <v>70</v>
      </c>
      <c r="W15" s="202">
        <v>1163</v>
      </c>
      <c r="X15" s="202">
        <v>3312</v>
      </c>
      <c r="Y15" s="202">
        <v>384</v>
      </c>
      <c r="Z15" s="202">
        <v>40</v>
      </c>
      <c r="AA15" s="202">
        <v>76</v>
      </c>
      <c r="AB15" s="202">
        <v>20</v>
      </c>
      <c r="AC15" s="202">
        <v>520</v>
      </c>
      <c r="AD15" s="202">
        <v>3812</v>
      </c>
      <c r="AE15" s="202">
        <v>470</v>
      </c>
      <c r="AF15" s="202">
        <v>56</v>
      </c>
      <c r="AG15" s="202">
        <v>67</v>
      </c>
      <c r="AH15" s="202">
        <v>50</v>
      </c>
      <c r="AI15" s="202">
        <v>643</v>
      </c>
      <c r="AJ15" s="202">
        <v>0.1632509825940483</v>
      </c>
      <c r="AK15" s="202">
        <v>8.2545141874462602E-2</v>
      </c>
      <c r="AL15" s="202">
        <v>0.12295786758383491</v>
      </c>
      <c r="AM15" s="202">
        <v>6.0189165950128978E-2</v>
      </c>
      <c r="AN15" s="202">
        <v>0.44711951848667242</v>
      </c>
      <c r="AO15" s="202">
        <v>0.55288048151332758</v>
      </c>
      <c r="AP15" s="202">
        <v>3323</v>
      </c>
      <c r="AQ15" s="202">
        <v>481</v>
      </c>
      <c r="AR15" s="202">
        <v>0</v>
      </c>
      <c r="AS15" s="202">
        <v>2</v>
      </c>
      <c r="AT15" s="202">
        <v>360</v>
      </c>
      <c r="AU15" s="202">
        <v>546</v>
      </c>
      <c r="AV15" s="202">
        <v>10</v>
      </c>
      <c r="AW15" s="202">
        <v>18</v>
      </c>
      <c r="AX15" s="202">
        <v>133</v>
      </c>
      <c r="AY15" s="202">
        <v>423</v>
      </c>
      <c r="AZ15" s="202">
        <v>35</v>
      </c>
      <c r="BA15" s="202">
        <v>25</v>
      </c>
      <c r="BB15" s="202">
        <v>72</v>
      </c>
      <c r="BC15" s="202">
        <v>122</v>
      </c>
      <c r="BD15" s="202">
        <v>100</v>
      </c>
      <c r="BE15" s="202">
        <v>116</v>
      </c>
      <c r="BF15" s="202">
        <v>476</v>
      </c>
      <c r="BG15" s="202">
        <v>52</v>
      </c>
      <c r="BH15" s="202">
        <v>155</v>
      </c>
      <c r="BI15" s="202">
        <v>78</v>
      </c>
      <c r="BJ15" s="202">
        <v>0.14474872103520914</v>
      </c>
      <c r="BK15" s="202">
        <v>0</v>
      </c>
      <c r="BL15" s="202">
        <v>6.0186578393018361E-4</v>
      </c>
      <c r="BM15" s="202">
        <v>0.10833584110743304</v>
      </c>
      <c r="BN15" s="202">
        <v>0.16430935901294011</v>
      </c>
      <c r="BO15" s="202">
        <v>3.0093289196509178E-3</v>
      </c>
      <c r="BP15" s="202">
        <v>5.4167920553716518E-3</v>
      </c>
      <c r="BQ15" s="202">
        <v>4.0024074631357209E-2</v>
      </c>
      <c r="BR15" s="202">
        <v>0.12729461330123382</v>
      </c>
      <c r="BS15" s="202">
        <v>1.0532651218778213E-2</v>
      </c>
      <c r="BT15" s="202">
        <v>7.5233222991272948E-3</v>
      </c>
      <c r="BU15" s="202">
        <v>2.1667168221486607E-2</v>
      </c>
      <c r="BV15" s="202">
        <v>3.6713812819741197E-2</v>
      </c>
      <c r="BW15" s="202">
        <v>3.0093289196509179E-2</v>
      </c>
      <c r="BX15" s="202">
        <v>3.490821546795065E-2</v>
      </c>
      <c r="BY15" s="202">
        <v>0.14324405657538369</v>
      </c>
      <c r="BZ15" s="202">
        <v>1.5648510382184774E-2</v>
      </c>
      <c r="CA15" s="202">
        <v>4.6644598254589227E-2</v>
      </c>
      <c r="CB15" s="202">
        <v>2.3472765573277158E-2</v>
      </c>
      <c r="CC15" s="202">
        <v>3323</v>
      </c>
      <c r="CD15" s="202">
        <v>2979</v>
      </c>
      <c r="CE15" s="202">
        <v>158</v>
      </c>
      <c r="CF15" s="202">
        <v>114</v>
      </c>
      <c r="CG15" s="202">
        <v>216</v>
      </c>
      <c r="CH15" s="202">
        <v>168</v>
      </c>
      <c r="CI15" s="202">
        <v>38</v>
      </c>
      <c r="CJ15" s="202">
        <v>6</v>
      </c>
      <c r="CK15" s="202">
        <v>0.89647908516400843</v>
      </c>
      <c r="CL15" s="202">
        <v>4.7547396930484501E-2</v>
      </c>
      <c r="CM15" s="202">
        <v>3.4306349684020465E-2</v>
      </c>
      <c r="CN15" s="202">
        <v>0.77777777777777779</v>
      </c>
      <c r="CO15" s="202">
        <v>0.17592592592592593</v>
      </c>
      <c r="CP15" s="202">
        <v>2.7777777777777776E-2</v>
      </c>
    </row>
    <row r="16" spans="1:94" x14ac:dyDescent="0.15">
      <c r="A16" t="s">
        <v>445</v>
      </c>
      <c r="B16" t="s">
        <v>428</v>
      </c>
      <c r="C16" t="s">
        <v>446</v>
      </c>
      <c r="D16">
        <v>796</v>
      </c>
      <c r="E16">
        <v>617</v>
      </c>
      <c r="F16">
        <v>235</v>
      </c>
      <c r="G16">
        <v>235</v>
      </c>
      <c r="H16">
        <v>0.77512562814070352</v>
      </c>
      <c r="I16">
        <v>0.29522613065326631</v>
      </c>
      <c r="J16">
        <v>0.29522613065326631</v>
      </c>
      <c r="K16">
        <v>1584</v>
      </c>
      <c r="L16">
        <v>265</v>
      </c>
      <c r="M16">
        <v>324</v>
      </c>
      <c r="N16">
        <v>993</v>
      </c>
      <c r="O16">
        <v>0.16729797979797981</v>
      </c>
      <c r="P16">
        <v>0.20454545454545456</v>
      </c>
      <c r="Q16">
        <v>0.62689393939393945</v>
      </c>
      <c r="R16">
        <v>1584</v>
      </c>
      <c r="S16">
        <v>115</v>
      </c>
      <c r="T16">
        <v>16</v>
      </c>
      <c r="U16">
        <v>62</v>
      </c>
      <c r="V16">
        <v>10</v>
      </c>
      <c r="W16">
        <v>203</v>
      </c>
      <c r="X16">
        <v>732</v>
      </c>
      <c r="Y16">
        <v>52</v>
      </c>
      <c r="Z16">
        <v>12</v>
      </c>
      <c r="AA16">
        <v>29</v>
      </c>
      <c r="AB16">
        <v>4</v>
      </c>
      <c r="AC16">
        <v>97</v>
      </c>
      <c r="AD16">
        <v>852</v>
      </c>
      <c r="AE16">
        <v>63</v>
      </c>
      <c r="AF16">
        <v>4</v>
      </c>
      <c r="AG16">
        <v>33</v>
      </c>
      <c r="AH16">
        <v>6</v>
      </c>
      <c r="AI16">
        <v>106</v>
      </c>
      <c r="AJ16">
        <v>0.12815656565656566</v>
      </c>
      <c r="AK16">
        <v>7.8817733990147784E-2</v>
      </c>
      <c r="AL16">
        <v>0.30541871921182268</v>
      </c>
      <c r="AM16">
        <v>4.9261083743842367E-2</v>
      </c>
      <c r="AN16">
        <v>0.47783251231527096</v>
      </c>
      <c r="AO16">
        <v>0.52216748768472909</v>
      </c>
      <c r="AP16">
        <v>636</v>
      </c>
      <c r="AQ16">
        <v>239</v>
      </c>
      <c r="AR16">
        <v>0</v>
      </c>
      <c r="AS16">
        <v>0</v>
      </c>
      <c r="AT16">
        <v>35</v>
      </c>
      <c r="AU16">
        <v>68</v>
      </c>
      <c r="AV16">
        <v>0</v>
      </c>
      <c r="AW16">
        <v>1</v>
      </c>
      <c r="AX16">
        <v>24</v>
      </c>
      <c r="AY16">
        <v>70</v>
      </c>
      <c r="AZ16">
        <v>1</v>
      </c>
      <c r="BA16">
        <v>3</v>
      </c>
      <c r="BB16">
        <v>2</v>
      </c>
      <c r="BC16">
        <v>35</v>
      </c>
      <c r="BD16">
        <v>20</v>
      </c>
      <c r="BE16">
        <v>18</v>
      </c>
      <c r="BF16">
        <v>65</v>
      </c>
      <c r="BG16">
        <v>5</v>
      </c>
      <c r="BH16">
        <v>22</v>
      </c>
      <c r="BI16">
        <v>7</v>
      </c>
      <c r="BJ16">
        <v>0.37578616352201261</v>
      </c>
      <c r="BK16">
        <v>0</v>
      </c>
      <c r="BL16">
        <v>0</v>
      </c>
      <c r="BM16">
        <v>5.5031446540880505E-2</v>
      </c>
      <c r="BN16">
        <v>0.1069182389937107</v>
      </c>
      <c r="BO16">
        <v>0</v>
      </c>
      <c r="BP16">
        <v>1.5723270440251573E-3</v>
      </c>
      <c r="BQ16">
        <v>3.7735849056603772E-2</v>
      </c>
      <c r="BR16">
        <v>0.11006289308176101</v>
      </c>
      <c r="BS16">
        <v>1.5723270440251573E-3</v>
      </c>
      <c r="BT16">
        <v>4.7169811320754715E-3</v>
      </c>
      <c r="BU16">
        <v>3.1446540880503146E-3</v>
      </c>
      <c r="BV16">
        <v>5.5031446540880505E-2</v>
      </c>
      <c r="BW16">
        <v>3.1446540880503145E-2</v>
      </c>
      <c r="BX16">
        <v>2.8301886792452831E-2</v>
      </c>
      <c r="BY16">
        <v>0.10220125786163523</v>
      </c>
      <c r="BZ16">
        <v>7.8616352201257862E-3</v>
      </c>
      <c r="CA16">
        <v>3.4591194968553458E-2</v>
      </c>
      <c r="CB16">
        <v>1.10062893081761E-2</v>
      </c>
      <c r="CC16">
        <v>636</v>
      </c>
      <c r="CD16">
        <v>567</v>
      </c>
      <c r="CE16">
        <v>15</v>
      </c>
      <c r="CF16">
        <v>43</v>
      </c>
      <c r="CG16">
        <v>27</v>
      </c>
      <c r="CH16">
        <v>21</v>
      </c>
      <c r="CI16">
        <v>4</v>
      </c>
      <c r="CJ16">
        <v>2</v>
      </c>
      <c r="CK16">
        <v>0.89150943396226412</v>
      </c>
      <c r="CL16">
        <v>2.358490566037736E-2</v>
      </c>
      <c r="CM16">
        <v>6.761006289308176E-2</v>
      </c>
      <c r="CN16">
        <v>0.77777777777777779</v>
      </c>
      <c r="CO16">
        <v>0.14814814814814814</v>
      </c>
      <c r="CP16">
        <v>7.407407407407407E-2</v>
      </c>
    </row>
    <row r="17" spans="1:94" x14ac:dyDescent="0.15">
      <c r="A17" t="s">
        <v>447</v>
      </c>
      <c r="B17" t="s">
        <v>428</v>
      </c>
      <c r="C17" t="s">
        <v>448</v>
      </c>
      <c r="D17">
        <v>3421</v>
      </c>
      <c r="E17">
        <v>1894</v>
      </c>
      <c r="F17">
        <v>710</v>
      </c>
      <c r="G17">
        <v>645</v>
      </c>
      <c r="H17">
        <v>0.5536392867582578</v>
      </c>
      <c r="I17">
        <v>0.20754165448699211</v>
      </c>
      <c r="J17">
        <v>0.18854136217480269</v>
      </c>
      <c r="K17">
        <v>8206</v>
      </c>
      <c r="L17">
        <v>909</v>
      </c>
      <c r="M17">
        <v>2411</v>
      </c>
      <c r="N17">
        <v>4510</v>
      </c>
      <c r="O17">
        <v>0.11077260541067512</v>
      </c>
      <c r="P17">
        <v>0.29380940775042652</v>
      </c>
      <c r="Q17">
        <v>0.54959785522788207</v>
      </c>
      <c r="R17">
        <v>8206</v>
      </c>
      <c r="S17">
        <v>950</v>
      </c>
      <c r="T17">
        <v>125</v>
      </c>
      <c r="U17">
        <v>269</v>
      </c>
      <c r="V17">
        <v>72</v>
      </c>
      <c r="W17">
        <v>1416</v>
      </c>
      <c r="X17">
        <v>3799</v>
      </c>
      <c r="Y17">
        <v>392</v>
      </c>
      <c r="Z17">
        <v>45</v>
      </c>
      <c r="AA17">
        <v>137</v>
      </c>
      <c r="AB17">
        <v>11</v>
      </c>
      <c r="AC17">
        <v>585</v>
      </c>
      <c r="AD17">
        <v>4407</v>
      </c>
      <c r="AE17">
        <v>558</v>
      </c>
      <c r="AF17">
        <v>80</v>
      </c>
      <c r="AG17">
        <v>132</v>
      </c>
      <c r="AH17">
        <v>61</v>
      </c>
      <c r="AI17">
        <v>831</v>
      </c>
      <c r="AJ17">
        <v>0.17255666585425297</v>
      </c>
      <c r="AK17">
        <v>8.8276836158192096E-2</v>
      </c>
      <c r="AL17">
        <v>0.18997175141242939</v>
      </c>
      <c r="AM17">
        <v>5.0847457627118647E-2</v>
      </c>
      <c r="AN17">
        <v>0.41313559322033899</v>
      </c>
      <c r="AO17">
        <v>0.58686440677966101</v>
      </c>
      <c r="AP17">
        <v>3662</v>
      </c>
      <c r="AQ17">
        <v>452</v>
      </c>
      <c r="AR17">
        <v>1</v>
      </c>
      <c r="AS17">
        <v>0</v>
      </c>
      <c r="AT17">
        <v>363</v>
      </c>
      <c r="AU17">
        <v>672</v>
      </c>
      <c r="AV17">
        <v>14</v>
      </c>
      <c r="AW17">
        <v>20</v>
      </c>
      <c r="AX17">
        <v>174</v>
      </c>
      <c r="AY17">
        <v>473</v>
      </c>
      <c r="AZ17">
        <v>54</v>
      </c>
      <c r="BA17">
        <v>24</v>
      </c>
      <c r="BB17">
        <v>52</v>
      </c>
      <c r="BC17">
        <v>120</v>
      </c>
      <c r="BD17">
        <v>91</v>
      </c>
      <c r="BE17">
        <v>100</v>
      </c>
      <c r="BF17">
        <v>662</v>
      </c>
      <c r="BG17">
        <v>39</v>
      </c>
      <c r="BH17">
        <v>179</v>
      </c>
      <c r="BI17">
        <v>87</v>
      </c>
      <c r="BJ17">
        <v>0.12342981977061715</v>
      </c>
      <c r="BK17">
        <v>2.7307482250136535E-4</v>
      </c>
      <c r="BL17">
        <v>0</v>
      </c>
      <c r="BM17">
        <v>9.9126160567995628E-2</v>
      </c>
      <c r="BN17">
        <v>0.18350628072091754</v>
      </c>
      <c r="BO17">
        <v>3.8230475150191155E-3</v>
      </c>
      <c r="BP17">
        <v>5.4614964500273077E-3</v>
      </c>
      <c r="BQ17">
        <v>4.7515019115237575E-2</v>
      </c>
      <c r="BR17">
        <v>0.12916439104314581</v>
      </c>
      <c r="BS17">
        <v>1.4746040415073731E-2</v>
      </c>
      <c r="BT17">
        <v>6.5537957400327689E-3</v>
      </c>
      <c r="BU17">
        <v>1.4199890770071E-2</v>
      </c>
      <c r="BV17">
        <v>3.2768978700163848E-2</v>
      </c>
      <c r="BW17">
        <v>2.484980884762425E-2</v>
      </c>
      <c r="BX17">
        <v>2.7307482250136537E-2</v>
      </c>
      <c r="BY17">
        <v>0.18077553249590389</v>
      </c>
      <c r="BZ17">
        <v>1.064991807755325E-2</v>
      </c>
      <c r="CA17">
        <v>4.8880393227744401E-2</v>
      </c>
      <c r="CB17">
        <v>2.3757509557618788E-2</v>
      </c>
      <c r="CC17">
        <v>3662</v>
      </c>
      <c r="CD17">
        <v>3139</v>
      </c>
      <c r="CE17">
        <v>198</v>
      </c>
      <c r="CF17">
        <v>286</v>
      </c>
      <c r="CG17">
        <v>254</v>
      </c>
      <c r="CH17">
        <v>190</v>
      </c>
      <c r="CI17">
        <v>33</v>
      </c>
      <c r="CJ17">
        <v>28</v>
      </c>
      <c r="CK17">
        <v>0.85718186783178596</v>
      </c>
      <c r="CL17">
        <v>5.4068814855270347E-2</v>
      </c>
      <c r="CM17">
        <v>7.8099399235390499E-2</v>
      </c>
      <c r="CN17">
        <v>0.74803149606299213</v>
      </c>
      <c r="CO17">
        <v>0.12992125984251968</v>
      </c>
      <c r="CP17">
        <v>0.11023622047244094</v>
      </c>
    </row>
    <row r="18" spans="1:94" x14ac:dyDescent="0.15">
      <c r="A18" t="s">
        <v>449</v>
      </c>
      <c r="B18" t="s">
        <v>428</v>
      </c>
      <c r="C18" t="s">
        <v>450</v>
      </c>
      <c r="D18">
        <v>2408</v>
      </c>
      <c r="E18">
        <v>1454</v>
      </c>
      <c r="F18">
        <v>497</v>
      </c>
      <c r="G18">
        <v>487</v>
      </c>
      <c r="H18">
        <v>0.60382059800664456</v>
      </c>
      <c r="I18">
        <v>0.20639534883720931</v>
      </c>
      <c r="J18">
        <v>0.20224252491694353</v>
      </c>
      <c r="K18">
        <v>5817</v>
      </c>
      <c r="L18">
        <v>661</v>
      </c>
      <c r="M18">
        <v>1672</v>
      </c>
      <c r="N18">
        <v>3304</v>
      </c>
      <c r="O18">
        <v>0.1136324565927454</v>
      </c>
      <c r="P18">
        <v>0.2874333849063091</v>
      </c>
      <c r="Q18">
        <v>0.56799037304452471</v>
      </c>
      <c r="R18">
        <v>5817</v>
      </c>
      <c r="S18">
        <v>612</v>
      </c>
      <c r="T18">
        <v>143</v>
      </c>
      <c r="U18">
        <v>130</v>
      </c>
      <c r="V18">
        <v>31</v>
      </c>
      <c r="W18">
        <v>916</v>
      </c>
      <c r="X18">
        <v>2729</v>
      </c>
      <c r="Y18">
        <v>261</v>
      </c>
      <c r="Z18">
        <v>72</v>
      </c>
      <c r="AA18">
        <v>70</v>
      </c>
      <c r="AB18">
        <v>20</v>
      </c>
      <c r="AC18">
        <v>423</v>
      </c>
      <c r="AD18">
        <v>3088</v>
      </c>
      <c r="AE18">
        <v>351</v>
      </c>
      <c r="AF18">
        <v>71</v>
      </c>
      <c r="AG18">
        <v>60</v>
      </c>
      <c r="AH18">
        <v>11</v>
      </c>
      <c r="AI18">
        <v>493</v>
      </c>
      <c r="AJ18">
        <v>0.15746948598934157</v>
      </c>
      <c r="AK18">
        <v>0.15611353711790393</v>
      </c>
      <c r="AL18">
        <v>0.14192139737991266</v>
      </c>
      <c r="AM18">
        <v>3.384279475982533E-2</v>
      </c>
      <c r="AN18">
        <v>0.46179039301310043</v>
      </c>
      <c r="AO18">
        <v>0.53820960698689957</v>
      </c>
      <c r="AP18">
        <v>2604</v>
      </c>
      <c r="AQ18">
        <v>326</v>
      </c>
      <c r="AR18">
        <v>0</v>
      </c>
      <c r="AS18">
        <v>0</v>
      </c>
      <c r="AT18">
        <v>270</v>
      </c>
      <c r="AU18">
        <v>417</v>
      </c>
      <c r="AV18">
        <v>4</v>
      </c>
      <c r="AW18">
        <v>14</v>
      </c>
      <c r="AX18">
        <v>177</v>
      </c>
      <c r="AY18">
        <v>392</v>
      </c>
      <c r="AZ18">
        <v>24</v>
      </c>
      <c r="BA18">
        <v>20</v>
      </c>
      <c r="BB18">
        <v>36</v>
      </c>
      <c r="BC18">
        <v>98</v>
      </c>
      <c r="BD18">
        <v>88</v>
      </c>
      <c r="BE18">
        <v>77</v>
      </c>
      <c r="BF18">
        <v>373</v>
      </c>
      <c r="BG18">
        <v>39</v>
      </c>
      <c r="BH18">
        <v>139</v>
      </c>
      <c r="BI18">
        <v>69</v>
      </c>
      <c r="BJ18">
        <v>0.12519201228878649</v>
      </c>
      <c r="BK18">
        <v>0</v>
      </c>
      <c r="BL18">
        <v>0</v>
      </c>
      <c r="BM18">
        <v>0.10368663594470046</v>
      </c>
      <c r="BN18">
        <v>0.16013824884792627</v>
      </c>
      <c r="BO18">
        <v>1.5360983102918587E-3</v>
      </c>
      <c r="BP18">
        <v>5.3763440860215058E-3</v>
      </c>
      <c r="BQ18">
        <v>6.7972350230414744E-2</v>
      </c>
      <c r="BR18">
        <v>0.15053763440860216</v>
      </c>
      <c r="BS18">
        <v>9.2165898617511521E-3</v>
      </c>
      <c r="BT18">
        <v>7.6804915514592934E-3</v>
      </c>
      <c r="BU18">
        <v>1.3824884792626729E-2</v>
      </c>
      <c r="BV18">
        <v>3.7634408602150539E-2</v>
      </c>
      <c r="BW18">
        <v>3.3794162826420893E-2</v>
      </c>
      <c r="BX18">
        <v>2.9569892473118281E-2</v>
      </c>
      <c r="BY18">
        <v>0.14324116743471582</v>
      </c>
      <c r="BZ18">
        <v>1.4976958525345621E-2</v>
      </c>
      <c r="CA18">
        <v>5.3379416282642089E-2</v>
      </c>
      <c r="CB18">
        <v>2.6497695852534562E-2</v>
      </c>
      <c r="CC18">
        <v>2604</v>
      </c>
      <c r="CD18">
        <v>2240</v>
      </c>
      <c r="CE18">
        <v>290</v>
      </c>
      <c r="CF18">
        <v>38</v>
      </c>
      <c r="CG18">
        <v>206</v>
      </c>
      <c r="CH18">
        <v>151</v>
      </c>
      <c r="CI18">
        <v>50</v>
      </c>
      <c r="CJ18">
        <v>2</v>
      </c>
      <c r="CK18">
        <v>0.86021505376344087</v>
      </c>
      <c r="CL18">
        <v>0.11136712749615975</v>
      </c>
      <c r="CM18">
        <v>1.4592933947772658E-2</v>
      </c>
      <c r="CN18">
        <v>0.73300970873786409</v>
      </c>
      <c r="CO18">
        <v>0.24271844660194175</v>
      </c>
      <c r="CP18">
        <v>9.7087378640776691E-3</v>
      </c>
    </row>
    <row r="19" spans="1:94" x14ac:dyDescent="0.15">
      <c r="A19" t="s">
        <v>451</v>
      </c>
      <c r="B19" t="s">
        <v>428</v>
      </c>
      <c r="C19" t="s">
        <v>452</v>
      </c>
      <c r="D19">
        <v>4111</v>
      </c>
      <c r="E19">
        <v>2395</v>
      </c>
      <c r="F19">
        <v>848</v>
      </c>
      <c r="G19">
        <v>859</v>
      </c>
      <c r="H19">
        <v>0.58258331306251521</v>
      </c>
      <c r="I19">
        <v>0.20627584529311602</v>
      </c>
      <c r="J19">
        <v>0.20895159328630503</v>
      </c>
      <c r="K19">
        <v>9789</v>
      </c>
      <c r="L19">
        <v>1341</v>
      </c>
      <c r="M19">
        <v>2836</v>
      </c>
      <c r="N19">
        <v>5266</v>
      </c>
      <c r="O19">
        <v>0.13699049954030035</v>
      </c>
      <c r="P19">
        <v>0.28971294309939727</v>
      </c>
      <c r="Q19">
        <v>0.53795076105833073</v>
      </c>
      <c r="R19">
        <v>9789</v>
      </c>
      <c r="S19">
        <v>1232</v>
      </c>
      <c r="T19">
        <v>209</v>
      </c>
      <c r="U19">
        <v>221</v>
      </c>
      <c r="V19">
        <v>28</v>
      </c>
      <c r="W19">
        <v>1690</v>
      </c>
      <c r="X19">
        <v>4537</v>
      </c>
      <c r="Y19">
        <v>517</v>
      </c>
      <c r="Z19">
        <v>102</v>
      </c>
      <c r="AA19">
        <v>109</v>
      </c>
      <c r="AB19">
        <v>18</v>
      </c>
      <c r="AC19">
        <v>746</v>
      </c>
      <c r="AD19">
        <v>5252</v>
      </c>
      <c r="AE19">
        <v>715</v>
      </c>
      <c r="AF19">
        <v>107</v>
      </c>
      <c r="AG19">
        <v>112</v>
      </c>
      <c r="AH19">
        <v>10</v>
      </c>
      <c r="AI19">
        <v>944</v>
      </c>
      <c r="AJ19">
        <v>0.17264276228419656</v>
      </c>
      <c r="AK19">
        <v>0.12366863905325444</v>
      </c>
      <c r="AL19">
        <v>0.13076923076923078</v>
      </c>
      <c r="AM19">
        <v>1.6568047337278107E-2</v>
      </c>
      <c r="AN19">
        <v>0.44142011834319528</v>
      </c>
      <c r="AO19">
        <v>0.55857988165680472</v>
      </c>
      <c r="AP19">
        <v>4594</v>
      </c>
      <c r="AQ19">
        <v>687</v>
      </c>
      <c r="AR19">
        <v>0</v>
      </c>
      <c r="AS19">
        <v>2</v>
      </c>
      <c r="AT19">
        <v>418</v>
      </c>
      <c r="AU19">
        <v>736</v>
      </c>
      <c r="AV19">
        <v>11</v>
      </c>
      <c r="AW19">
        <v>26</v>
      </c>
      <c r="AX19">
        <v>253</v>
      </c>
      <c r="AY19">
        <v>571</v>
      </c>
      <c r="AZ19">
        <v>39</v>
      </c>
      <c r="BA19">
        <v>42</v>
      </c>
      <c r="BB19">
        <v>76</v>
      </c>
      <c r="BC19">
        <v>125</v>
      </c>
      <c r="BD19">
        <v>164</v>
      </c>
      <c r="BE19">
        <v>176</v>
      </c>
      <c r="BF19">
        <v>681</v>
      </c>
      <c r="BG19">
        <v>58</v>
      </c>
      <c r="BH19">
        <v>244</v>
      </c>
      <c r="BI19">
        <v>117</v>
      </c>
      <c r="BJ19">
        <v>0.14954288202002611</v>
      </c>
      <c r="BK19">
        <v>0</v>
      </c>
      <c r="BL19">
        <v>4.3535045711797995E-4</v>
      </c>
      <c r="BM19">
        <v>9.0988245537657816E-2</v>
      </c>
      <c r="BN19">
        <v>0.16020896821941663</v>
      </c>
      <c r="BO19">
        <v>2.3944275141488899E-3</v>
      </c>
      <c r="BP19">
        <v>5.6595559425337396E-3</v>
      </c>
      <c r="BQ19">
        <v>5.5071832825424466E-2</v>
      </c>
      <c r="BR19">
        <v>0.12429255550718328</v>
      </c>
      <c r="BS19">
        <v>8.4893339138006098E-3</v>
      </c>
      <c r="BT19">
        <v>9.1423595994775796E-3</v>
      </c>
      <c r="BU19">
        <v>1.654331737048324E-2</v>
      </c>
      <c r="BV19">
        <v>2.7209403569873749E-2</v>
      </c>
      <c r="BW19">
        <v>3.5698737483674359E-2</v>
      </c>
      <c r="BX19">
        <v>3.8310840226382238E-2</v>
      </c>
      <c r="BY19">
        <v>0.14823683064867219</v>
      </c>
      <c r="BZ19">
        <v>1.2625163256421419E-2</v>
      </c>
      <c r="CA19">
        <v>5.3112755768393555E-2</v>
      </c>
      <c r="CB19">
        <v>2.5468001741401829E-2</v>
      </c>
      <c r="CC19">
        <v>4594</v>
      </c>
      <c r="CD19">
        <v>4044</v>
      </c>
      <c r="CE19">
        <v>366</v>
      </c>
      <c r="CF19">
        <v>54</v>
      </c>
      <c r="CG19">
        <v>356</v>
      </c>
      <c r="CH19">
        <v>268</v>
      </c>
      <c r="CI19">
        <v>62</v>
      </c>
      <c r="CJ19">
        <v>10</v>
      </c>
      <c r="CK19">
        <v>0.88027862429255554</v>
      </c>
      <c r="CL19">
        <v>7.9669133652590332E-2</v>
      </c>
      <c r="CM19">
        <v>1.1754462342185459E-2</v>
      </c>
      <c r="CN19">
        <v>0.7528089887640449</v>
      </c>
      <c r="CO19">
        <v>0.17415730337078653</v>
      </c>
      <c r="CP19">
        <v>2.8089887640449437E-2</v>
      </c>
    </row>
    <row r="20" spans="1:94" x14ac:dyDescent="0.15">
      <c r="A20" t="s">
        <v>453</v>
      </c>
      <c r="B20" t="s">
        <v>428</v>
      </c>
      <c r="C20" t="s">
        <v>454</v>
      </c>
      <c r="D20">
        <v>2809</v>
      </c>
      <c r="E20">
        <v>1694</v>
      </c>
      <c r="F20">
        <v>589</v>
      </c>
      <c r="G20">
        <v>572</v>
      </c>
      <c r="H20">
        <v>0.60306158775364893</v>
      </c>
      <c r="I20">
        <v>0.20968316126735492</v>
      </c>
      <c r="J20">
        <v>0.2036311854752581</v>
      </c>
      <c r="K20">
        <v>6531</v>
      </c>
      <c r="L20">
        <v>917</v>
      </c>
      <c r="M20">
        <v>1646</v>
      </c>
      <c r="N20">
        <v>3771</v>
      </c>
      <c r="O20">
        <v>0.14040728831725616</v>
      </c>
      <c r="P20">
        <v>0.25202878579084365</v>
      </c>
      <c r="Q20">
        <v>0.57740009186954522</v>
      </c>
      <c r="R20">
        <v>6531</v>
      </c>
      <c r="S20">
        <v>680</v>
      </c>
      <c r="T20">
        <v>78</v>
      </c>
      <c r="U20">
        <v>172</v>
      </c>
      <c r="V20">
        <v>52</v>
      </c>
      <c r="W20">
        <v>982</v>
      </c>
      <c r="X20">
        <v>3087</v>
      </c>
      <c r="Y20">
        <v>288</v>
      </c>
      <c r="Z20">
        <v>40</v>
      </c>
      <c r="AA20">
        <v>88</v>
      </c>
      <c r="AB20">
        <v>12</v>
      </c>
      <c r="AC20">
        <v>428</v>
      </c>
      <c r="AD20">
        <v>3444</v>
      </c>
      <c r="AE20">
        <v>392</v>
      </c>
      <c r="AF20">
        <v>38</v>
      </c>
      <c r="AG20">
        <v>84</v>
      </c>
      <c r="AH20">
        <v>40</v>
      </c>
      <c r="AI20">
        <v>554</v>
      </c>
      <c r="AJ20">
        <v>0.15035982238554585</v>
      </c>
      <c r="AK20">
        <v>7.9429735234215884E-2</v>
      </c>
      <c r="AL20">
        <v>0.17515274949083504</v>
      </c>
      <c r="AM20">
        <v>5.2953156822810592E-2</v>
      </c>
      <c r="AN20">
        <v>0.43584521384928715</v>
      </c>
      <c r="AO20">
        <v>0.56415478615071279</v>
      </c>
      <c r="AP20">
        <v>3108</v>
      </c>
      <c r="AQ20">
        <v>499</v>
      </c>
      <c r="AR20">
        <v>2</v>
      </c>
      <c r="AS20">
        <v>4</v>
      </c>
      <c r="AT20">
        <v>351</v>
      </c>
      <c r="AU20">
        <v>567</v>
      </c>
      <c r="AV20">
        <v>7</v>
      </c>
      <c r="AW20">
        <v>18</v>
      </c>
      <c r="AX20">
        <v>168</v>
      </c>
      <c r="AY20">
        <v>347</v>
      </c>
      <c r="AZ20">
        <v>30</v>
      </c>
      <c r="BA20">
        <v>12</v>
      </c>
      <c r="BB20">
        <v>42</v>
      </c>
      <c r="BC20">
        <v>107</v>
      </c>
      <c r="BD20">
        <v>104</v>
      </c>
      <c r="BE20">
        <v>71</v>
      </c>
      <c r="BF20">
        <v>482</v>
      </c>
      <c r="BG20">
        <v>48</v>
      </c>
      <c r="BH20">
        <v>134</v>
      </c>
      <c r="BI20">
        <v>79</v>
      </c>
      <c r="BJ20">
        <v>0.16055341055341055</v>
      </c>
      <c r="BK20">
        <v>6.4350064350064348E-4</v>
      </c>
      <c r="BL20">
        <v>1.287001287001287E-3</v>
      </c>
      <c r="BM20">
        <v>0.11293436293436293</v>
      </c>
      <c r="BN20">
        <v>0.18243243243243243</v>
      </c>
      <c r="BO20">
        <v>2.2522522522522522E-3</v>
      </c>
      <c r="BP20">
        <v>5.7915057915057912E-3</v>
      </c>
      <c r="BQ20">
        <v>5.4054054054054057E-2</v>
      </c>
      <c r="BR20">
        <v>0.11164736164736165</v>
      </c>
      <c r="BS20">
        <v>9.6525096525096523E-3</v>
      </c>
      <c r="BT20">
        <v>3.8610038610038611E-3</v>
      </c>
      <c r="BU20">
        <v>1.3513513513513514E-2</v>
      </c>
      <c r="BV20">
        <v>3.4427284427284426E-2</v>
      </c>
      <c r="BW20">
        <v>3.3462033462033462E-2</v>
      </c>
      <c r="BX20">
        <v>2.2844272844272845E-2</v>
      </c>
      <c r="BY20">
        <v>0.15508365508365507</v>
      </c>
      <c r="BZ20">
        <v>1.5444015444015444E-2</v>
      </c>
      <c r="CA20">
        <v>4.3114543114543116E-2</v>
      </c>
      <c r="CB20">
        <v>2.5418275418275418E-2</v>
      </c>
      <c r="CC20">
        <v>3108</v>
      </c>
      <c r="CD20">
        <v>2848</v>
      </c>
      <c r="CE20">
        <v>153</v>
      </c>
      <c r="CF20">
        <v>74</v>
      </c>
      <c r="CG20">
        <v>257</v>
      </c>
      <c r="CH20">
        <v>197</v>
      </c>
      <c r="CI20">
        <v>46</v>
      </c>
      <c r="CJ20">
        <v>3</v>
      </c>
      <c r="CK20">
        <v>0.91634491634491633</v>
      </c>
      <c r="CL20">
        <v>4.9227799227799227E-2</v>
      </c>
      <c r="CM20">
        <v>2.3809523809523808E-2</v>
      </c>
      <c r="CN20">
        <v>0.7665369649805448</v>
      </c>
      <c r="CO20">
        <v>0.17898832684824903</v>
      </c>
      <c r="CP20">
        <v>1.1673151750972763E-2</v>
      </c>
    </row>
    <row r="21" spans="1:94" x14ac:dyDescent="0.15">
      <c r="A21" t="s">
        <v>455</v>
      </c>
      <c r="B21" t="s">
        <v>428</v>
      </c>
      <c r="C21" t="s">
        <v>456</v>
      </c>
      <c r="D21">
        <v>3538</v>
      </c>
      <c r="E21">
        <v>2291</v>
      </c>
      <c r="F21">
        <v>793</v>
      </c>
      <c r="G21">
        <v>784</v>
      </c>
      <c r="H21">
        <v>0.64754098360655743</v>
      </c>
      <c r="I21">
        <v>0.22413793103448276</v>
      </c>
      <c r="J21">
        <v>0.22159412097230075</v>
      </c>
      <c r="K21">
        <v>8148</v>
      </c>
      <c r="L21">
        <v>1215</v>
      </c>
      <c r="M21">
        <v>1845</v>
      </c>
      <c r="N21">
        <v>4867</v>
      </c>
      <c r="O21">
        <v>0.14911634756995581</v>
      </c>
      <c r="P21">
        <v>0.2264359351988218</v>
      </c>
      <c r="Q21">
        <v>0.59732449680903288</v>
      </c>
      <c r="R21">
        <v>8148</v>
      </c>
      <c r="S21">
        <v>666</v>
      </c>
      <c r="T21">
        <v>126</v>
      </c>
      <c r="U21">
        <v>150</v>
      </c>
      <c r="V21">
        <v>33</v>
      </c>
      <c r="W21">
        <v>975</v>
      </c>
      <c r="X21">
        <v>3823</v>
      </c>
      <c r="Y21">
        <v>280</v>
      </c>
      <c r="Z21">
        <v>54</v>
      </c>
      <c r="AA21">
        <v>73</v>
      </c>
      <c r="AB21">
        <v>23</v>
      </c>
      <c r="AC21">
        <v>430</v>
      </c>
      <c r="AD21">
        <v>4325</v>
      </c>
      <c r="AE21">
        <v>386</v>
      </c>
      <c r="AF21">
        <v>72</v>
      </c>
      <c r="AG21">
        <v>77</v>
      </c>
      <c r="AH21">
        <v>10</v>
      </c>
      <c r="AI21">
        <v>545</v>
      </c>
      <c r="AJ21">
        <v>0.11966126656848307</v>
      </c>
      <c r="AK21">
        <v>0.12923076923076923</v>
      </c>
      <c r="AL21">
        <v>0.15384615384615385</v>
      </c>
      <c r="AM21">
        <v>3.3846153846153845E-2</v>
      </c>
      <c r="AN21">
        <v>0.44102564102564101</v>
      </c>
      <c r="AO21">
        <v>0.55897435897435899</v>
      </c>
      <c r="AP21">
        <v>3996</v>
      </c>
      <c r="AQ21">
        <v>1010</v>
      </c>
      <c r="AR21">
        <v>0</v>
      </c>
      <c r="AS21">
        <v>12</v>
      </c>
      <c r="AT21">
        <v>379</v>
      </c>
      <c r="AU21">
        <v>551</v>
      </c>
      <c r="AV21">
        <v>7</v>
      </c>
      <c r="AW21">
        <v>17</v>
      </c>
      <c r="AX21">
        <v>162</v>
      </c>
      <c r="AY21">
        <v>472</v>
      </c>
      <c r="AZ21">
        <v>33</v>
      </c>
      <c r="BA21">
        <v>13</v>
      </c>
      <c r="BB21">
        <v>59</v>
      </c>
      <c r="BC21">
        <v>118</v>
      </c>
      <c r="BD21">
        <v>121</v>
      </c>
      <c r="BE21">
        <v>79</v>
      </c>
      <c r="BF21">
        <v>548</v>
      </c>
      <c r="BG21">
        <v>31</v>
      </c>
      <c r="BH21">
        <v>176</v>
      </c>
      <c r="BI21">
        <v>77</v>
      </c>
      <c r="BJ21">
        <v>0.25275275275275277</v>
      </c>
      <c r="BK21">
        <v>0</v>
      </c>
      <c r="BL21">
        <v>3.003003003003003E-3</v>
      </c>
      <c r="BM21">
        <v>9.4844844844844844E-2</v>
      </c>
      <c r="BN21">
        <v>0.13788788788788789</v>
      </c>
      <c r="BO21">
        <v>1.7517517517517517E-3</v>
      </c>
      <c r="BP21">
        <v>4.2542542542542547E-3</v>
      </c>
      <c r="BQ21">
        <v>4.0540540540540543E-2</v>
      </c>
      <c r="BR21">
        <v>0.11811811811811812</v>
      </c>
      <c r="BS21">
        <v>8.2582582582582578E-3</v>
      </c>
      <c r="BT21">
        <v>3.2532532532532532E-3</v>
      </c>
      <c r="BU21">
        <v>1.4764764764764765E-2</v>
      </c>
      <c r="BV21">
        <v>2.952952952952953E-2</v>
      </c>
      <c r="BW21">
        <v>3.0280280280280281E-2</v>
      </c>
      <c r="BX21">
        <v>1.9769769769769768E-2</v>
      </c>
      <c r="BY21">
        <v>0.13713713713713713</v>
      </c>
      <c r="BZ21">
        <v>7.7577577577577581E-3</v>
      </c>
      <c r="CA21">
        <v>4.4044044044044044E-2</v>
      </c>
      <c r="CB21">
        <v>1.9269269269269269E-2</v>
      </c>
      <c r="CC21">
        <v>3996</v>
      </c>
      <c r="CD21">
        <v>3391</v>
      </c>
      <c r="CE21">
        <v>493</v>
      </c>
      <c r="CF21">
        <v>33</v>
      </c>
      <c r="CG21">
        <v>248</v>
      </c>
      <c r="CH21">
        <v>182</v>
      </c>
      <c r="CI21">
        <v>57</v>
      </c>
      <c r="CJ21">
        <v>3</v>
      </c>
      <c r="CK21">
        <v>0.84859859859859865</v>
      </c>
      <c r="CL21">
        <v>0.12337337337337337</v>
      </c>
      <c r="CM21">
        <v>8.2582582582582578E-3</v>
      </c>
      <c r="CN21">
        <v>0.7338709677419355</v>
      </c>
      <c r="CO21">
        <v>0.22983870967741934</v>
      </c>
      <c r="CP21">
        <v>1.2096774193548387E-2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山田地区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6528</v>
      </c>
      <c r="F6" s="256"/>
      <c r="G6" s="20" t="s">
        <v>54</v>
      </c>
    </row>
    <row r="7" spans="1:10" ht="22.5" customHeight="1" x14ac:dyDescent="0.15">
      <c r="A7" s="249">
        <f>管理者用グラフシート!B4</f>
        <v>2010</v>
      </c>
      <c r="B7" s="249"/>
      <c r="C7" s="82" t="s">
        <v>226</v>
      </c>
      <c r="D7" s="248">
        <f>E6-管理者用グラフシート!E4</f>
        <v>-1279</v>
      </c>
      <c r="E7" s="248"/>
      <c r="F7" s="20" t="s">
        <v>356</v>
      </c>
    </row>
    <row r="8" spans="1:10" ht="22.5" customHeight="1" x14ac:dyDescent="0.15">
      <c r="A8" s="257" t="s">
        <v>380</v>
      </c>
      <c r="B8" s="257"/>
      <c r="C8" s="204">
        <f>管理者用グラフシート!C6-管理者用グラフシート!C4</f>
        <v>-569</v>
      </c>
      <c r="D8" s="207" t="s">
        <v>381</v>
      </c>
      <c r="F8" s="204">
        <f>管理者用グラフシート!D6-管理者用グラフシート!D4</f>
        <v>-710</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329</v>
      </c>
      <c r="G36" s="253"/>
      <c r="H36" s="20" t="s">
        <v>54</v>
      </c>
    </row>
    <row r="37" spans="1:9" ht="22.5" customHeight="1" x14ac:dyDescent="0.15">
      <c r="A37" s="20" t="s">
        <v>66</v>
      </c>
      <c r="F37" s="253">
        <f>管理者用グラフシート!C16</f>
        <v>176</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-120</v>
      </c>
      <c r="E40" s="248"/>
      <c r="F40" s="20" t="s">
        <v>60</v>
      </c>
    </row>
    <row r="41" spans="1:9" ht="22.5" customHeight="1" x14ac:dyDescent="0.15">
      <c r="B41" s="20" t="s">
        <v>69</v>
      </c>
      <c r="D41" s="248">
        <f>F37-管理者用グラフシート!C14</f>
        <v>-51</v>
      </c>
      <c r="E41" s="248"/>
      <c r="F41" s="20" t="s">
        <v>70</v>
      </c>
    </row>
    <row r="53" spans="1:13" ht="22.5" customHeight="1" x14ac:dyDescent="0.15">
      <c r="M53" s="72"/>
    </row>
    <row r="62" spans="1:13" ht="22.5" customHeight="1" thickBot="1" x14ac:dyDescent="0.2"/>
    <row r="63" spans="1:13" ht="22.5" customHeight="1" x14ac:dyDescent="0.15">
      <c r="A63" s="243" t="s">
        <v>458</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2575</v>
      </c>
      <c r="D70" s="253"/>
      <c r="E70" s="20" t="s">
        <v>76</v>
      </c>
      <c r="F70" s="37"/>
      <c r="G70" s="252">
        <f>管理者用グラフシート!C32</f>
        <v>0.39</v>
      </c>
      <c r="H70" s="252"/>
      <c r="I70" s="20" t="s">
        <v>77</v>
      </c>
    </row>
    <row r="71" spans="1:9" ht="22.5" customHeight="1" x14ac:dyDescent="0.15">
      <c r="A71" s="20" t="s">
        <v>78</v>
      </c>
      <c r="C71" s="253">
        <f>管理者用グラフシート!C26</f>
        <v>1328</v>
      </c>
      <c r="D71" s="253"/>
      <c r="E71" s="20" t="s">
        <v>76</v>
      </c>
      <c r="F71" s="37"/>
      <c r="G71" s="252">
        <f>管理者用グラフシート!C36</f>
        <v>0.2</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1ポイント上昇</v>
      </c>
      <c r="F75" s="254"/>
      <c r="G75" s="254"/>
      <c r="H75" s="20" t="s">
        <v>77</v>
      </c>
    </row>
    <row r="95" spans="1:9" ht="22.5" customHeight="1" thickBot="1" x14ac:dyDescent="0.2"/>
    <row r="96" spans="1:9" ht="22.5" customHeight="1" x14ac:dyDescent="0.15">
      <c r="A96" s="97" t="s">
        <v>459</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-213</v>
      </c>
      <c r="G135" s="208" t="s">
        <v>386</v>
      </c>
      <c r="H135" s="111"/>
    </row>
    <row r="136" spans="1:8" ht="22.5" customHeight="1" x14ac:dyDescent="0.15">
      <c r="A136" s="35" t="s">
        <v>387</v>
      </c>
      <c r="C136" s="206">
        <f>SUM(管理者用グラフシート!B95:C96)-SUM(管理者用グラフシート!B47:C48)</f>
        <v>-221</v>
      </c>
      <c r="D136" s="20" t="s">
        <v>388</v>
      </c>
      <c r="E136" s="34"/>
      <c r="F136" s="206">
        <f>SUM(管理者用グラフシート!B97:C98)-SUM(管理者用グラフシート!B49:C50)</f>
        <v>-14</v>
      </c>
      <c r="G136" s="20" t="s">
        <v>386</v>
      </c>
    </row>
    <row r="137" spans="1:8" ht="18.75" x14ac:dyDescent="0.15">
      <c r="A137" s="20" t="s">
        <v>389</v>
      </c>
      <c r="C137" s="206">
        <f>SUM(管理者用グラフシート!B99:C100)-SUM(管理者用グラフシート!B51:C52)</f>
        <v>-522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山田地区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5200</v>
      </c>
      <c r="E6" s="253"/>
      <c r="F6" s="20" t="s">
        <v>231</v>
      </c>
      <c r="H6" s="34"/>
      <c r="I6" s="34"/>
    </row>
    <row r="7" spans="1:9" ht="22.5" customHeight="1" x14ac:dyDescent="0.15">
      <c r="A7" s="249">
        <f>管理者入力シート!B5</f>
        <v>2020</v>
      </c>
      <c r="B7" s="249"/>
      <c r="C7" s="195" t="s">
        <v>362</v>
      </c>
      <c r="D7" s="248">
        <f>D6-現況シート!E6</f>
        <v>-1328</v>
      </c>
      <c r="E7" s="248"/>
      <c r="F7" s="20" t="s">
        <v>232</v>
      </c>
      <c r="I7" s="34"/>
    </row>
    <row r="8" spans="1:9" ht="22.5" customHeight="1" x14ac:dyDescent="0.15">
      <c r="A8" s="257" t="s">
        <v>397</v>
      </c>
      <c r="B8" s="257"/>
      <c r="C8" s="206">
        <f>管理者用グラフシート!I8-管理者用グラフシート!C6</f>
        <v>-641</v>
      </c>
      <c r="D8" s="207" t="s">
        <v>398</v>
      </c>
      <c r="F8" s="258">
        <f>管理者用グラフシート!J8-管理者用グラフシート!D6</f>
        <v>-687</v>
      </c>
      <c r="G8" s="258"/>
      <c r="H8" s="20" t="s">
        <v>399</v>
      </c>
    </row>
    <row r="10" spans="1:9" ht="22.5" customHeight="1" x14ac:dyDescent="0.15">
      <c r="A10" s="249">
        <f>管理者入力シート!B11</f>
        <v>2040</v>
      </c>
      <c r="B10" s="249"/>
      <c r="C10" s="20" t="s">
        <v>361</v>
      </c>
      <c r="D10" s="253">
        <f>管理者用グラフシート!K10</f>
        <v>4000</v>
      </c>
      <c r="E10" s="253"/>
      <c r="F10" s="20" t="s">
        <v>231</v>
      </c>
      <c r="H10" s="34"/>
    </row>
    <row r="11" spans="1:9" ht="22.5" customHeight="1" x14ac:dyDescent="0.15">
      <c r="A11" s="249">
        <f>管理者入力シート!B5</f>
        <v>2020</v>
      </c>
      <c r="B11" s="249"/>
      <c r="C11" s="195" t="s">
        <v>362</v>
      </c>
      <c r="D11" s="248">
        <f>D10-現況シート!E6</f>
        <v>-2528</v>
      </c>
      <c r="E11" s="248"/>
      <c r="F11" s="20" t="s">
        <v>232</v>
      </c>
      <c r="H11" s="34"/>
    </row>
    <row r="12" spans="1:9" ht="22.5" customHeight="1" x14ac:dyDescent="0.15">
      <c r="A12" s="257" t="s">
        <v>397</v>
      </c>
      <c r="B12" s="257"/>
      <c r="C12" s="206">
        <f>管理者用グラフシート!I10-管理者用グラフシート!C6</f>
        <v>-1219</v>
      </c>
      <c r="D12" s="207" t="s">
        <v>398</v>
      </c>
      <c r="F12" s="258">
        <f>管理者用グラフシート!J10-管理者用グラフシート!D6</f>
        <v>-1309</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163</v>
      </c>
      <c r="G36" s="253"/>
      <c r="H36" s="82" t="s">
        <v>233</v>
      </c>
      <c r="I36" s="34"/>
    </row>
    <row r="37" spans="1:9" ht="22.5" customHeight="1" x14ac:dyDescent="0.15">
      <c r="A37" s="20" t="s">
        <v>234</v>
      </c>
      <c r="F37" s="253">
        <f>管理者用グラフシート!I28</f>
        <v>86</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-166</v>
      </c>
      <c r="G40" s="248"/>
      <c r="H40" s="35" t="s">
        <v>60</v>
      </c>
    </row>
    <row r="41" spans="1:9" ht="22.5" customHeight="1" x14ac:dyDescent="0.15">
      <c r="A41" s="20" t="s">
        <v>69</v>
      </c>
      <c r="C41" s="199">
        <f>管理者入力シート!B5</f>
        <v>2020</v>
      </c>
      <c r="D41" s="20" t="s">
        <v>374</v>
      </c>
      <c r="F41" s="248">
        <f>F37-現況シート!F37</f>
        <v>-90</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1877</v>
      </c>
      <c r="D70" s="253"/>
      <c r="E70" s="82" t="s">
        <v>239</v>
      </c>
      <c r="F70" s="34"/>
      <c r="G70" s="252">
        <f>管理者用グラフシート!I56</f>
        <v>0.47</v>
      </c>
      <c r="H70" s="252"/>
      <c r="I70" s="110" t="s">
        <v>240</v>
      </c>
    </row>
    <row r="71" spans="1:9" ht="22.5" customHeight="1" x14ac:dyDescent="0.15">
      <c r="A71" s="20" t="s">
        <v>241</v>
      </c>
      <c r="C71" s="253">
        <f>管理者用グラフシート!I46</f>
        <v>1203</v>
      </c>
      <c r="D71" s="253"/>
      <c r="E71" s="20" t="s">
        <v>239</v>
      </c>
      <c r="G71" s="260">
        <f>管理者用グラフシート!I64</f>
        <v>0.3</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8ポイント上昇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10ポイント上昇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-76</v>
      </c>
      <c r="H103" s="208" t="s">
        <v>60</v>
      </c>
    </row>
    <row r="104" spans="1:8" ht="22.5" customHeight="1" x14ac:dyDescent="0.15">
      <c r="A104" s="35" t="s">
        <v>387</v>
      </c>
      <c r="C104" s="206">
        <f>SUM(管理者用グラフシート!H99:I100)-SUM(管理者用グラフシート!B95:C96)</f>
        <v>-196</v>
      </c>
      <c r="D104" s="20" t="s">
        <v>423</v>
      </c>
      <c r="E104" s="34"/>
      <c r="G104" s="206">
        <f>SUM(管理者用グラフシート!H101:I102)-SUM(管理者用グラフシート!B97:C98)</f>
        <v>-235</v>
      </c>
      <c r="H104" s="20" t="s">
        <v>60</v>
      </c>
    </row>
    <row r="105" spans="1:8" ht="22.5" customHeight="1" x14ac:dyDescent="0.15">
      <c r="A105" s="20" t="s">
        <v>389</v>
      </c>
      <c r="C105" s="206">
        <f>SUM(管理者用グラフシート!H103:I104)-SUM(管理者用グラフシート!B99:C100)</f>
        <v>-7</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-152</v>
      </c>
      <c r="H137" s="208" t="s">
        <v>60</v>
      </c>
    </row>
    <row r="138" spans="1:8" ht="22.5" customHeight="1" x14ac:dyDescent="0.15">
      <c r="A138" s="35" t="s">
        <v>387</v>
      </c>
      <c r="C138" s="206">
        <f>SUM(管理者用グラフシート!H147:I148)-SUM(管理者用グラフシート!B95:C96)</f>
        <v>-266</v>
      </c>
      <c r="D138" s="20" t="s">
        <v>423</v>
      </c>
      <c r="E138" s="34"/>
      <c r="G138" s="206">
        <f>SUM(管理者用グラフシート!H149:I150)-SUM(管理者用グラフシート!B97:C98)</f>
        <v>-424</v>
      </c>
      <c r="H138" s="20" t="s">
        <v>60</v>
      </c>
    </row>
    <row r="139" spans="1:8" ht="22.5" customHeight="1" x14ac:dyDescent="0.15">
      <c r="A139" s="20" t="s">
        <v>389</v>
      </c>
      <c r="C139" s="206">
        <f>SUM(管理者用グラフシート!H151:I152)-SUM(管理者用グラフシート!B99:C100)</f>
        <v>-236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山田地区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6303</v>
      </c>
      <c r="I36" s="270"/>
    </row>
    <row r="37" spans="1:9" s="130" customFormat="1" ht="17.25" customHeight="1" x14ac:dyDescent="0.15">
      <c r="A37" s="165"/>
      <c r="B37" s="226" t="s">
        <v>5</v>
      </c>
      <c r="C37" s="227">
        <f>管理者用人口入力シート!DX1</f>
        <v>76</v>
      </c>
      <c r="D37" s="228">
        <f>C37</f>
        <v>76</v>
      </c>
      <c r="F37" s="162"/>
      <c r="G37" s="238">
        <f>管理者入力シート!B9</f>
        <v>2030</v>
      </c>
      <c r="H37" s="269">
        <f>管理者用人口入力シート!EU25</f>
        <v>6279</v>
      </c>
      <c r="I37" s="270"/>
    </row>
    <row r="38" spans="1:9" s="132" customFormat="1" ht="17.25" customHeight="1" x14ac:dyDescent="0.15">
      <c r="A38" s="160"/>
      <c r="B38" s="226" t="s">
        <v>6</v>
      </c>
      <c r="C38" s="227">
        <f>C37</f>
        <v>76</v>
      </c>
      <c r="D38" s="228">
        <f>C37</f>
        <v>76</v>
      </c>
      <c r="F38" s="162"/>
      <c r="G38" s="238">
        <f>管理者入力シート!B10</f>
        <v>2035</v>
      </c>
      <c r="H38" s="269">
        <f>管理者用人口入力シート!EU28</f>
        <v>6329</v>
      </c>
      <c r="I38" s="270"/>
    </row>
    <row r="39" spans="1:9" ht="17.25" customHeight="1" thickBot="1" x14ac:dyDescent="0.2">
      <c r="A39" s="166"/>
      <c r="B39" s="229" t="s">
        <v>7</v>
      </c>
      <c r="C39" s="230">
        <f>C37</f>
        <v>76</v>
      </c>
      <c r="D39" s="231">
        <f>C37</f>
        <v>76</v>
      </c>
      <c r="F39" s="162"/>
      <c r="G39" s="239">
        <f>管理者入力シート!B11</f>
        <v>2040</v>
      </c>
      <c r="H39" s="271">
        <f>管理者用人口入力シート!EU31</f>
        <v>6397</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5219</v>
      </c>
      <c r="E43" s="253"/>
      <c r="F43" s="20" t="s">
        <v>231</v>
      </c>
      <c r="H43" s="34"/>
      <c r="I43" s="34"/>
    </row>
    <row r="44" spans="1:9" ht="22.5" customHeight="1" x14ac:dyDescent="0.15">
      <c r="A44" s="249">
        <f>管理者入力シート!B11</f>
        <v>2040</v>
      </c>
      <c r="B44" s="249"/>
      <c r="C44" s="20" t="s">
        <v>417</v>
      </c>
      <c r="D44" s="253">
        <f>管理者用グラフシート!U10</f>
        <v>4042</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19</v>
      </c>
      <c r="E46" s="256"/>
      <c r="F46" s="20" t="s">
        <v>122</v>
      </c>
    </row>
    <row r="47" spans="1:9" ht="22.5" customHeight="1" x14ac:dyDescent="0.15">
      <c r="A47" s="249">
        <f>管理者入力シート!B11</f>
        <v>2040</v>
      </c>
      <c r="B47" s="249"/>
      <c r="C47" s="20" t="s">
        <v>418</v>
      </c>
      <c r="D47" s="256">
        <f>D44-将来予測シート①!D10</f>
        <v>42</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170</v>
      </c>
      <c r="G78" s="253"/>
      <c r="H78" s="82" t="s">
        <v>264</v>
      </c>
      <c r="I78" s="34"/>
    </row>
    <row r="79" spans="1:9" ht="22.5" customHeight="1" x14ac:dyDescent="0.15">
      <c r="A79" s="20" t="s">
        <v>234</v>
      </c>
      <c r="F79" s="253">
        <f>管理者用グラフシート!Q28</f>
        <v>89</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7</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1877</v>
      </c>
      <c r="D112" s="253"/>
      <c r="E112" s="20" t="s">
        <v>270</v>
      </c>
      <c r="F112" s="36"/>
      <c r="G112" s="111">
        <f>管理者用グラフシート!Q56</f>
        <v>0.46</v>
      </c>
      <c r="H112" s="82" t="s">
        <v>271</v>
      </c>
      <c r="I112" s="34"/>
    </row>
    <row r="113" spans="1:9" ht="22.5" customHeight="1" x14ac:dyDescent="0.15">
      <c r="A113" s="20" t="s">
        <v>268</v>
      </c>
      <c r="C113" s="253">
        <f>管理者用グラフシート!Q46</f>
        <v>1203</v>
      </c>
      <c r="D113" s="253"/>
      <c r="E113" s="82" t="s">
        <v>270</v>
      </c>
      <c r="F113" s="34"/>
      <c r="G113" s="111">
        <f>管理者用グラフシート!Q64</f>
        <v>0.3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460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山田地区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0.60306158775364893</v>
      </c>
      <c r="G7" s="280"/>
      <c r="H7" s="20" t="s">
        <v>282</v>
      </c>
    </row>
    <row r="8" spans="1:8" ht="22.5" customHeight="1" x14ac:dyDescent="0.15">
      <c r="A8" s="34" t="str">
        <f>管理者入力シート!B3</f>
        <v>都城市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山田地区</v>
      </c>
      <c r="B11" s="255"/>
      <c r="C11" s="256">
        <f>管理者用地域特徴シート!D5</f>
        <v>2809</v>
      </c>
      <c r="D11" s="255"/>
      <c r="E11" s="20" t="s">
        <v>413</v>
      </c>
    </row>
    <row r="12" spans="1:8" ht="22.5" customHeight="1" x14ac:dyDescent="0.15">
      <c r="A12" s="255" t="str">
        <f>A8</f>
        <v>都城市</v>
      </c>
      <c r="B12" s="255"/>
      <c r="C12" s="256">
        <f>管理者用地域特徴シート!D4</f>
        <v>70860</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0.2036311854752581</v>
      </c>
      <c r="H23" s="35" t="s">
        <v>286</v>
      </c>
    </row>
    <row r="24" spans="1:8" ht="22.5" customHeight="1" x14ac:dyDescent="0.15">
      <c r="A24" s="34" t="str">
        <f>管理者入力シート!B3</f>
        <v>都城市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0.25202878579084365</v>
      </c>
      <c r="G37" s="280"/>
      <c r="H37" s="20" t="s">
        <v>286</v>
      </c>
    </row>
    <row r="38" spans="1:8" ht="22.5" customHeight="1" x14ac:dyDescent="0.15">
      <c r="A38" s="34" t="str">
        <f>管理者入力シート!B3</f>
        <v>都城市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都城市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982</v>
      </c>
      <c r="F70" s="281"/>
      <c r="G70" s="20" t="s">
        <v>290</v>
      </c>
    </row>
    <row r="71" spans="1:8" ht="22.5" customHeight="1" x14ac:dyDescent="0.15">
      <c r="A71" s="20" t="s">
        <v>295</v>
      </c>
      <c r="F71" s="280">
        <f>管理者用地域特徴シート!AK5</f>
        <v>7.9429735234215884E-2</v>
      </c>
      <c r="G71" s="280"/>
      <c r="H71" s="20" t="s">
        <v>271</v>
      </c>
    </row>
    <row r="72" spans="1:8" ht="22.5" customHeight="1" x14ac:dyDescent="0.15">
      <c r="A72" s="20" t="s">
        <v>296</v>
      </c>
      <c r="F72" s="280">
        <f>管理者用地域特徴シート!AL5</f>
        <v>0.17515274949083504</v>
      </c>
      <c r="G72" s="280"/>
      <c r="H72" s="20" t="s">
        <v>297</v>
      </c>
    </row>
    <row r="73" spans="1:8" ht="22.5" customHeight="1" x14ac:dyDescent="0.15">
      <c r="A73" s="20" t="s">
        <v>298</v>
      </c>
      <c r="E73" s="280"/>
      <c r="F73" s="280"/>
    </row>
    <row r="74" spans="1:8" ht="22.5" customHeight="1" x14ac:dyDescent="0.15">
      <c r="A74" s="20" t="s">
        <v>339</v>
      </c>
      <c r="C74" s="177">
        <f>管理者用地域特徴シート!AN5</f>
        <v>0.43584521384928715</v>
      </c>
      <c r="D74" s="156" t="s">
        <v>299</v>
      </c>
      <c r="E74" s="177">
        <f>管理者用地域特徴シート!AO5</f>
        <v>0.56415478615071279</v>
      </c>
      <c r="F74" s="20" t="s">
        <v>291</v>
      </c>
    </row>
    <row r="76" spans="1:8" ht="22.5" customHeight="1" x14ac:dyDescent="0.15">
      <c r="A76" s="34" t="str">
        <f>管理者入力シート!B3</f>
        <v>都城市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0.91634491634491633</v>
      </c>
      <c r="D139" s="280"/>
      <c r="E139" s="20" t="s">
        <v>316</v>
      </c>
      <c r="F139" s="157" t="str">
        <f>管理者入力シート!B3</f>
        <v>都城市</v>
      </c>
      <c r="G139" s="158" t="s">
        <v>317</v>
      </c>
    </row>
    <row r="140" spans="1:8" ht="22.5" customHeight="1" x14ac:dyDescent="0.15">
      <c r="A140" s="20" t="s">
        <v>318</v>
      </c>
    </row>
    <row r="141" spans="1:8" ht="22.5" customHeight="1" x14ac:dyDescent="0.15">
      <c r="C141" s="280">
        <f>管理者用地域特徴シート!CN5</f>
        <v>0.7665369649805448</v>
      </c>
      <c r="D141" s="280"/>
      <c r="E141" s="20" t="s">
        <v>316</v>
      </c>
      <c r="F141" s="157" t="str">
        <f>管理者入力シート!B3</f>
        <v>都城市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457</v>
      </c>
    </row>
    <row r="3" spans="1:3" x14ac:dyDescent="0.15">
      <c r="A3" s="203" t="s">
        <v>292</v>
      </c>
      <c r="B3" s="32" t="str">
        <f>管理者用地域特徴シート!B5</f>
        <v>都城市</v>
      </c>
    </row>
    <row r="4" spans="1:3" x14ac:dyDescent="0.15">
      <c r="A4" s="153" t="s">
        <v>24</v>
      </c>
      <c r="B4" s="154" t="str">
        <f>管理者用地域特徴シート!C5</f>
        <v>山田地区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45202_14</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461</v>
      </c>
      <c r="DW1" s="312"/>
      <c r="DX1" s="307">
        <f>DW17</f>
        <v>76</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173.3987477655015</v>
      </c>
      <c r="E3" s="9">
        <v>201.64862467963212</v>
      </c>
      <c r="F3" s="9">
        <v>233.86821934698798</v>
      </c>
      <c r="G3" s="9">
        <v>218.69859991169693</v>
      </c>
      <c r="H3" s="9">
        <v>175.5445211712003</v>
      </c>
      <c r="I3" s="9">
        <v>153.31702111735694</v>
      </c>
      <c r="J3" s="9">
        <v>182.41847224914392</v>
      </c>
      <c r="K3" s="9">
        <v>162.4609623419698</v>
      </c>
      <c r="L3" s="9">
        <v>200.5517641231074</v>
      </c>
      <c r="M3" s="9">
        <v>279.76967268635178</v>
      </c>
      <c r="N3" s="9">
        <v>356.87751001486077</v>
      </c>
      <c r="O3" s="9">
        <v>319.72652559712259</v>
      </c>
      <c r="P3" s="9">
        <v>233.48958788309534</v>
      </c>
      <c r="Q3" s="9">
        <v>258.57961178953713</v>
      </c>
      <c r="R3" s="9">
        <v>259.66837172363296</v>
      </c>
      <c r="S3" s="9">
        <v>237.54654675755424</v>
      </c>
      <c r="T3" s="9">
        <v>136.21098441773816</v>
      </c>
      <c r="U3" s="9">
        <v>68.142544205380034</v>
      </c>
      <c r="V3" s="9">
        <v>22.078075854493765</v>
      </c>
      <c r="W3" s="9">
        <v>4.0036363636363639</v>
      </c>
      <c r="X3" s="9">
        <v>0</v>
      </c>
      <c r="Y3" s="9">
        <f>SUM(D3:X3)</f>
        <v>3877.9999999999995</v>
      </c>
      <c r="Z3" s="9">
        <f>E3*3/5+F3*3/5</f>
        <v>261.31010641597209</v>
      </c>
      <c r="AA3" s="9">
        <f>F3*2/5+G3*1/5</f>
        <v>137.28700772113459</v>
      </c>
      <c r="AB3" s="9">
        <f t="shared" ref="AB3:AB20" si="0">SUM(Q3:X3)</f>
        <v>986.2297711119727</v>
      </c>
      <c r="AC3" s="9">
        <f>SUM(S3:X3)</f>
        <v>467.98178759880255</v>
      </c>
      <c r="AD3" s="13">
        <f>AB3/Y3</f>
        <v>0.25431402040019929</v>
      </c>
      <c r="AE3" s="13">
        <f>AC3/Y3</f>
        <v>0.12067606694141378</v>
      </c>
      <c r="AF3" s="9">
        <f>SUM(H3:K3)</f>
        <v>673.74097687967094</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1.0763812458727713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1.0263984381631439</v>
      </c>
      <c r="AO3" s="6">
        <f t="shared" si="1"/>
        <v>0.76415094339622647</v>
      </c>
      <c r="AP3" s="6">
        <f t="shared" si="1"/>
        <v>0.53666455495723786</v>
      </c>
      <c r="AQ3" s="6">
        <f t="shared" si="1"/>
        <v>0.94063079777365488</v>
      </c>
      <c r="AR3" s="6">
        <f t="shared" si="1"/>
        <v>0.94625374625374625</v>
      </c>
      <c r="AS3" s="6">
        <f t="shared" si="1"/>
        <v>1.0134170465296293</v>
      </c>
      <c r="AT3" s="6">
        <f t="shared" si="1"/>
        <v>0.99427952999381564</v>
      </c>
      <c r="AU3" s="6">
        <f t="shared" si="1"/>
        <v>1.0405925732558898</v>
      </c>
      <c r="AV3" s="6">
        <f t="shared" si="1"/>
        <v>1.0133265427383074</v>
      </c>
      <c r="AW3" s="6">
        <f t="shared" si="1"/>
        <v>1.0622936385648249</v>
      </c>
      <c r="AX3" s="6">
        <f t="shared" si="1"/>
        <v>0.97248744287071809</v>
      </c>
      <c r="AY3" s="6">
        <f t="shared" si="1"/>
        <v>0.99474425867387739</v>
      </c>
      <c r="AZ3" s="6">
        <f t="shared" si="1"/>
        <v>0.90754278833749025</v>
      </c>
      <c r="BA3" s="6">
        <f t="shared" si="1"/>
        <v>0.86558441558441557</v>
      </c>
      <c r="BB3" s="6">
        <f t="shared" si="1"/>
        <v>0.75980151923548156</v>
      </c>
      <c r="BC3" s="6">
        <f t="shared" si="1"/>
        <v>0.69280719280719283</v>
      </c>
      <c r="BD3" s="6">
        <f t="shared" si="1"/>
        <v>0.43554593554593551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0.27272727272727271</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75.534793701452472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101.2288550980316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131.17738456580571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123.69246073194357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82.695725604218239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84.076695578601274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76.607090054168751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124.95617871320479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149.24997683900853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164.08235641179144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201.72709701373265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160.07410104577031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183.28390289763561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270.42703213962403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309.51815381654029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235.76039874429114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127.35903061378978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104.72912065622035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41.180663682333496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9.7102859349537614</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6.0000000000000001E-3</v>
      </c>
      <c r="CF3" s="9">
        <f t="shared" ref="CF3:CF14" si="2">SUM(BK3:CE3)</f>
        <v>2757.077303843118</v>
      </c>
      <c r="CG3" s="9">
        <f>BL3*3/5+BM3*3/5</f>
        <v>139.44374379830239</v>
      </c>
      <c r="CH3" s="9">
        <f>BM3*2/5+BN3*1/5</f>
        <v>77.209445972710995</v>
      </c>
      <c r="CI3" s="9">
        <f t="shared" ref="CI3:CI14" si="3">SUM(BX3:CE3)</f>
        <v>1098.690685587753</v>
      </c>
      <c r="CJ3" s="9">
        <f>SUM(BZ3:CE3)</f>
        <v>518.74549963158847</v>
      </c>
      <c r="CK3" s="13">
        <f>CI3/CF3</f>
        <v>0.39849832431476512</v>
      </c>
      <c r="CL3" s="13">
        <f>CJ3/CF3</f>
        <v>0.18815050956623663</v>
      </c>
      <c r="CM3" s="9">
        <f>SUM(BO3:BR3)</f>
        <v>368.33568995019306</v>
      </c>
      <c r="CO3" s="7" t="str">
        <f>CP3&amp;"_"&amp;IF(CQ3="男性",1,IF(CQ3="女性",2,IF(CQ3="合計",3)))</f>
        <v>2025_1</v>
      </c>
      <c r="CP3" s="28">
        <f>管理者入力シート!B8</f>
        <v>2025</v>
      </c>
      <c r="CQ3" s="3" t="s">
        <v>21</v>
      </c>
      <c r="CR3" s="9">
        <f>BK3+将来予測シート②!$G17</f>
        <v>76.534793701452472</v>
      </c>
      <c r="CS3" s="9">
        <f>BL3+将来予測シート②!$G18</f>
        <v>101.2288550980316</v>
      </c>
      <c r="CT3" s="9">
        <f>BM3+将来予測シート②!$G19</f>
        <v>132.17738456580571</v>
      </c>
      <c r="CU3" s="9">
        <f>BN3+将来予測シート②!$G20</f>
        <v>123.69246073194357</v>
      </c>
      <c r="CV3" s="9">
        <f>BO3+将来予測シート②!$G21</f>
        <v>82.695725604218239</v>
      </c>
      <c r="CW3" s="9">
        <f>BP3+将来予測シート②!$G22</f>
        <v>86.076695578601274</v>
      </c>
      <c r="CX3" s="9">
        <f>BQ3+将来予測シート②!$G23</f>
        <v>76.607090054168751</v>
      </c>
      <c r="CY3" s="9">
        <f>BR3+将来予測シート②!$G24</f>
        <v>124.95617871320479</v>
      </c>
      <c r="CZ3" s="9">
        <f>BS3+将来予測シート②!$G25</f>
        <v>149.24997683900853</v>
      </c>
      <c r="DA3" s="9">
        <f>BT3+将来予測シート②!$G26</f>
        <v>164.08235641179144</v>
      </c>
      <c r="DB3" s="9">
        <f>BU3+将来予測シート②!$G27</f>
        <v>201.72709701373265</v>
      </c>
      <c r="DC3" s="9">
        <f>BV3+将来予測シート②!$G28</f>
        <v>160.07410104577031</v>
      </c>
      <c r="DD3" s="9">
        <f>BW3+将来予測シート②!$G29</f>
        <v>183.28390289763561</v>
      </c>
      <c r="DE3" s="9">
        <f>BX3</f>
        <v>270.42703213962403</v>
      </c>
      <c r="DF3" s="9">
        <f t="shared" ref="DF3:DL3" si="4">BY3</f>
        <v>309.51815381654029</v>
      </c>
      <c r="DG3" s="9">
        <f t="shared" si="4"/>
        <v>235.76039874429114</v>
      </c>
      <c r="DH3" s="9">
        <f t="shared" si="4"/>
        <v>127.35903061378978</v>
      </c>
      <c r="DI3" s="9">
        <f t="shared" si="4"/>
        <v>104.72912065622035</v>
      </c>
      <c r="DJ3" s="9">
        <f t="shared" si="4"/>
        <v>41.180663682333496</v>
      </c>
      <c r="DK3" s="9">
        <f t="shared" si="4"/>
        <v>9.7102859349537614</v>
      </c>
      <c r="DL3" s="9">
        <f t="shared" si="4"/>
        <v>6.0000000000000001E-3</v>
      </c>
      <c r="DM3" s="9">
        <f t="shared" ref="DM3:DM4" si="5">SUM(CR3:DL3)</f>
        <v>2761.077303843118</v>
      </c>
      <c r="DN3" s="9">
        <f>CS3*3/5+CT3*3/5</f>
        <v>140.04374379830239</v>
      </c>
      <c r="DO3" s="9">
        <f>CT3*2/5+CU3*1/5</f>
        <v>77.609445972711001</v>
      </c>
      <c r="DP3" s="9">
        <f t="shared" ref="DP3:DP14" si="6">SUM(DE3:DL3)</f>
        <v>1098.690685587753</v>
      </c>
      <c r="DQ3" s="9">
        <f>SUM(DG3:DL3)</f>
        <v>518.74549963158847</v>
      </c>
      <c r="DR3" s="13">
        <f>DP3/DM3</f>
        <v>0.39792101585076795</v>
      </c>
      <c r="DS3" s="13">
        <f>DQ3/DM3</f>
        <v>0.18787793406202405</v>
      </c>
      <c r="DT3" s="9">
        <f>SUM(CV3:CY3)</f>
        <v>370.33568995019306</v>
      </c>
      <c r="DV3" s="311"/>
      <c r="DW3" s="312"/>
      <c r="DX3" s="28">
        <f>管理者入力シート!B8</f>
        <v>2025</v>
      </c>
      <c r="DY3" s="3" t="s">
        <v>21</v>
      </c>
      <c r="DZ3" s="9">
        <f>BK$3</f>
        <v>75.534793701452472</v>
      </c>
      <c r="EA3" s="9">
        <f>BL$3</f>
        <v>101.2288550980316</v>
      </c>
      <c r="EB3" s="9">
        <f t="shared" ref="EB3:ED3" si="7">BM$3</f>
        <v>131.17738456580571</v>
      </c>
      <c r="EC3" s="9">
        <f t="shared" si="7"/>
        <v>123.69246073194357</v>
      </c>
      <c r="ED3" s="9">
        <f t="shared" si="7"/>
        <v>82.695725604218239</v>
      </c>
      <c r="EE3" s="9">
        <f>BP$3+DX1</f>
        <v>160.07669557860129</v>
      </c>
      <c r="EF3" s="9">
        <f>BQ$3+DX1</f>
        <v>152.60709005416874</v>
      </c>
      <c r="EG3" s="9">
        <f>BR$3+DX1</f>
        <v>200.95617871320479</v>
      </c>
      <c r="EH3" s="9">
        <f t="shared" ref="EH3:ET3" si="8">BS$3</f>
        <v>149.24997683900853</v>
      </c>
      <c r="EI3" s="9">
        <f t="shared" si="8"/>
        <v>164.08235641179144</v>
      </c>
      <c r="EJ3" s="9">
        <f t="shared" si="8"/>
        <v>201.72709701373265</v>
      </c>
      <c r="EK3" s="9">
        <f t="shared" si="8"/>
        <v>160.07410104577031</v>
      </c>
      <c r="EL3" s="9">
        <f t="shared" si="8"/>
        <v>183.28390289763561</v>
      </c>
      <c r="EM3" s="9">
        <f t="shared" si="8"/>
        <v>270.42703213962403</v>
      </c>
      <c r="EN3" s="9">
        <f t="shared" si="8"/>
        <v>309.51815381654029</v>
      </c>
      <c r="EO3" s="9">
        <f t="shared" si="8"/>
        <v>235.76039874429114</v>
      </c>
      <c r="EP3" s="9">
        <f t="shared" si="8"/>
        <v>127.35903061378978</v>
      </c>
      <c r="EQ3" s="9">
        <f t="shared" si="8"/>
        <v>104.72912065622035</v>
      </c>
      <c r="ER3" s="9">
        <f t="shared" si="8"/>
        <v>41.180663682333496</v>
      </c>
      <c r="ES3" s="9">
        <f t="shared" si="8"/>
        <v>9.7102859349537614</v>
      </c>
      <c r="ET3" s="9">
        <f t="shared" si="8"/>
        <v>6.0000000000000001E-3</v>
      </c>
      <c r="EU3" s="9">
        <f t="shared" ref="EU3:EU4" si="9">SUM(DZ3:ET3)</f>
        <v>2985.0773038431175</v>
      </c>
      <c r="EV3" s="9">
        <f>EA3*3/5+EB3*3/5</f>
        <v>139.44374379830239</v>
      </c>
      <c r="EW3" s="9">
        <f>EB3*2/5+EC3*1/5</f>
        <v>77.209445972710995</v>
      </c>
      <c r="EX3" s="9">
        <f t="shared" ref="EX3:EX14" si="10">SUM(EM3:ET3)</f>
        <v>1098.690685587753</v>
      </c>
      <c r="EY3" s="9">
        <f>SUM(EO3:ET3)</f>
        <v>518.74549963158847</v>
      </c>
      <c r="EZ3" s="13">
        <f>EX3/EU3</f>
        <v>0.36806104959936919</v>
      </c>
      <c r="FA3" s="13">
        <f>EY3/EU3</f>
        <v>0.17377958653323083</v>
      </c>
      <c r="FB3" s="9">
        <f>SUM(ED3:EG3)</f>
        <v>596.335689950193</v>
      </c>
    </row>
    <row r="4" spans="1:158" x14ac:dyDescent="0.15">
      <c r="A4" s="7" t="str">
        <f t="shared" ref="A4:A14" si="11">B4&amp;"_"&amp;IF(C4="男性",1,IF(C4="女性",2,IF(C4="合計",3)))</f>
        <v>2005_2</v>
      </c>
      <c r="B4" s="29">
        <v>2005</v>
      </c>
      <c r="C4" s="4" t="s">
        <v>22</v>
      </c>
      <c r="D4" s="10">
        <v>150.26029113036191</v>
      </c>
      <c r="E4" s="10">
        <v>181.26603676477285</v>
      </c>
      <c r="F4" s="10">
        <v>230.32704114630303</v>
      </c>
      <c r="G4" s="10">
        <v>192.25322921505935</v>
      </c>
      <c r="H4" s="10">
        <v>177.21381138469107</v>
      </c>
      <c r="I4" s="10">
        <v>188.21377950245494</v>
      </c>
      <c r="J4" s="10">
        <v>182.17903241967954</v>
      </c>
      <c r="K4" s="10">
        <v>194.30577569480499</v>
      </c>
      <c r="L4" s="10">
        <v>210.27279352152962</v>
      </c>
      <c r="M4" s="10">
        <v>302.49697346487034</v>
      </c>
      <c r="N4" s="10">
        <v>322.29977272520244</v>
      </c>
      <c r="O4" s="10">
        <v>303.28426884923346</v>
      </c>
      <c r="P4" s="10">
        <v>245.2118210222356</v>
      </c>
      <c r="Q4" s="10">
        <v>309.34427804953589</v>
      </c>
      <c r="R4" s="10">
        <v>337.33055502418495</v>
      </c>
      <c r="S4" s="10">
        <v>350.32676786999332</v>
      </c>
      <c r="T4" s="10">
        <v>259.26976015449225</v>
      </c>
      <c r="U4" s="10">
        <v>169.07347489046174</v>
      </c>
      <c r="V4" s="10">
        <v>82.063780413375966</v>
      </c>
      <c r="W4" s="10">
        <v>19.006756756756758</v>
      </c>
      <c r="X4" s="10">
        <v>4</v>
      </c>
      <c r="Y4" s="10">
        <f>SUM(D4:X4)</f>
        <v>4409.9999999999991</v>
      </c>
      <c r="Z4" s="10">
        <f t="shared" ref="Z4:Z11" si="12">E4*3/5+F4*3/5</f>
        <v>246.95584674664553</v>
      </c>
      <c r="AA4" s="10">
        <f t="shared" ref="AA4:AA11" si="13">F4*2/5+G4*1/5</f>
        <v>130.58146230153307</v>
      </c>
      <c r="AB4" s="10">
        <f t="shared" si="0"/>
        <v>1530.4153731588008</v>
      </c>
      <c r="AC4" s="10">
        <f t="shared" ref="AC4:AC11" si="14">SUM(S4:X4)</f>
        <v>883.74054008508006</v>
      </c>
      <c r="AD4" s="14">
        <f t="shared" ref="AD4:AD11" si="15">AB4/Y4</f>
        <v>0.34703296443510229</v>
      </c>
      <c r="AE4" s="14">
        <f t="shared" ref="AE4:AE11" si="16">AC4/Y4</f>
        <v>0.20039468029140142</v>
      </c>
      <c r="AF4" s="10">
        <f t="shared" ref="AF4:AF20" si="17">SUM(H4:K4)</f>
        <v>741.91239900163055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1.1101336644417656</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1.0310803209163757</v>
      </c>
      <c r="AO4" s="193">
        <f t="shared" si="18"/>
        <v>0.87361841580191268</v>
      </c>
      <c r="AP4" s="193">
        <f t="shared" si="18"/>
        <v>0.60647638443216101</v>
      </c>
      <c r="AQ4" s="193">
        <f t="shared" si="18"/>
        <v>0.8957722023347805</v>
      </c>
      <c r="AR4" s="193">
        <f t="shared" si="18"/>
        <v>1.0407497383698578</v>
      </c>
      <c r="AS4" s="193">
        <f t="shared" si="18"/>
        <v>0.99332163769153081</v>
      </c>
      <c r="AT4" s="193">
        <f t="shared" si="18"/>
        <v>0.95710746859266183</v>
      </c>
      <c r="AU4" s="193">
        <f t="shared" si="18"/>
        <v>0.97681192944572504</v>
      </c>
      <c r="AV4" s="193">
        <f t="shared" si="18"/>
        <v>1.0056728669319006</v>
      </c>
      <c r="AW4" s="193">
        <f t="shared" si="18"/>
        <v>0.99042489651096632</v>
      </c>
      <c r="AX4" s="193">
        <f t="shared" si="18"/>
        <v>0.99694357149143487</v>
      </c>
      <c r="AY4" s="193">
        <f t="shared" si="18"/>
        <v>1.0097091806653025</v>
      </c>
      <c r="AZ4" s="193">
        <f t="shared" si="18"/>
        <v>0.98150293221280327</v>
      </c>
      <c r="BA4" s="193">
        <f t="shared" si="18"/>
        <v>0.96207502886874485</v>
      </c>
      <c r="BB4" s="193">
        <f t="shared" si="18"/>
        <v>0.84956746066283695</v>
      </c>
      <c r="BC4" s="193">
        <f t="shared" si="18"/>
        <v>0.76804151777163698</v>
      </c>
      <c r="BD4" s="193">
        <f t="shared" si="18"/>
        <v>0.55910373126835167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0.40192705003160006</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0.21201623280213797</v>
      </c>
      <c r="BH4" s="7" t="str">
        <f t="shared" ref="BH4:BH20" si="19">BI4&amp;"_"&amp;IF(BJ4="男性",1,IF(BJ4="女性",2,IF(BJ4="合計",3)))</f>
        <v>2025_2</v>
      </c>
      <c r="BI4" s="29">
        <f>BI3</f>
        <v>2025</v>
      </c>
      <c r="BJ4" s="4" t="s">
        <v>22</v>
      </c>
      <c r="BK4" s="10">
        <f>CM4*AK$14</f>
        <v>81.27101795730384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103.08844078729149</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132.64918433502774</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115.33693459662622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75.8481999583245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81.446654011707764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84.335525931014587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104.49535884695727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139.71571509532154</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190.61031934039983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166.98013432038127</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178.19439223480586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207.95929215445784</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291.86656670533699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318.09521316141411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293.61748398664474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189.42489657880671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174.89888702935221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111.14521553439727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38.754689164016035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10.172859969560381</v>
      </c>
      <c r="CF4" s="10">
        <f t="shared" si="2"/>
        <v>3089.9069816991482</v>
      </c>
      <c r="CG4" s="10">
        <f t="shared" ref="CG4:CG14" si="20">BL4*3/5+BM4*3/5</f>
        <v>141.44257507339154</v>
      </c>
      <c r="CH4" s="10">
        <f t="shared" ref="CH4:CH14" si="21">BM4*2/5+BN4*1/5</f>
        <v>76.127060653336343</v>
      </c>
      <c r="CI4" s="10">
        <f t="shared" si="3"/>
        <v>1427.9758121295285</v>
      </c>
      <c r="CJ4" s="10">
        <f t="shared" ref="CJ4:CJ14" si="22">SUM(BZ4:CE4)</f>
        <v>818.01403226277728</v>
      </c>
      <c r="CK4" s="14">
        <f t="shared" ref="CK4:CK14" si="23">CI4/CF4</f>
        <v>0.46214200640573355</v>
      </c>
      <c r="CL4" s="14">
        <f t="shared" ref="CL4:CL14" si="24">CJ4/CF4</f>
        <v>0.26473742967270464</v>
      </c>
      <c r="CM4" s="10">
        <f t="shared" ref="CM4:CM14" si="25">SUM(BO4:BR4)</f>
        <v>346.1257387480041</v>
      </c>
      <c r="CO4" s="7" t="str">
        <f t="shared" ref="CO4:CO20" si="26">CP4&amp;"_"&amp;IF(CQ4="男性",1,IF(CQ4="女性",2,IF(CQ4="合計",3)))</f>
        <v>2025_2</v>
      </c>
      <c r="CP4" s="29">
        <f>CP3</f>
        <v>2025</v>
      </c>
      <c r="CQ4" s="4" t="s">
        <v>22</v>
      </c>
      <c r="CR4" s="10">
        <f>BK4+将来予測シート②!$H17</f>
        <v>82.27101795730384</v>
      </c>
      <c r="CS4" s="10">
        <f>BL4+将来予測シート②!$H18</f>
        <v>103.08844078729149</v>
      </c>
      <c r="CT4" s="10">
        <f>BM4+将来予測シート②!$H19</f>
        <v>133.64918433502774</v>
      </c>
      <c r="CU4" s="10">
        <f>BN4+将来予測シート②!$H20</f>
        <v>115.33693459662622</v>
      </c>
      <c r="CV4" s="10">
        <f>BO4+将来予測シート②!$H21</f>
        <v>75.8481999583245</v>
      </c>
      <c r="CW4" s="10">
        <f>BP4+将来予測シート②!$H22</f>
        <v>83.446654011707764</v>
      </c>
      <c r="CX4" s="10">
        <f>BQ4+将来予測シート②!$H23</f>
        <v>84.335525931014587</v>
      </c>
      <c r="CY4" s="10">
        <f>BR4+将来予測シート②!$H24</f>
        <v>104.49535884695727</v>
      </c>
      <c r="CZ4" s="10">
        <f>BS4+将来予測シート②!$H25</f>
        <v>140.71571509532154</v>
      </c>
      <c r="DA4" s="10">
        <f>BT4+将来予測シート②!$H26</f>
        <v>190.61031934039983</v>
      </c>
      <c r="DB4" s="10">
        <f>BU4+将来予測シート②!$H27</f>
        <v>166.98013432038127</v>
      </c>
      <c r="DC4" s="10">
        <f>BV4+将来予測シート②!$H28</f>
        <v>178.19439223480586</v>
      </c>
      <c r="DD4" s="10">
        <f>BW4+将来予測シート②!$H29</f>
        <v>207.95929215445784</v>
      </c>
      <c r="DE4" s="10">
        <f>BX4</f>
        <v>291.86656670533699</v>
      </c>
      <c r="DF4" s="10">
        <f t="shared" ref="DF4" si="27">BY4</f>
        <v>318.09521316141411</v>
      </c>
      <c r="DG4" s="10">
        <f t="shared" ref="DG4" si="28">BZ4</f>
        <v>293.61748398664474</v>
      </c>
      <c r="DH4" s="10">
        <f t="shared" ref="DH4" si="29">CA4</f>
        <v>189.42489657880671</v>
      </c>
      <c r="DI4" s="10">
        <f t="shared" ref="DI4" si="30">CB4</f>
        <v>174.89888702935221</v>
      </c>
      <c r="DJ4" s="10">
        <f t="shared" ref="DJ4" si="31">CC4</f>
        <v>111.14521553439727</v>
      </c>
      <c r="DK4" s="10">
        <f t="shared" ref="DK4" si="32">CD4</f>
        <v>38.754689164016035</v>
      </c>
      <c r="DL4" s="10">
        <f t="shared" ref="DL4" si="33">CE4</f>
        <v>10.172859969560381</v>
      </c>
      <c r="DM4" s="10">
        <f t="shared" si="5"/>
        <v>3094.9069816991482</v>
      </c>
      <c r="DN4" s="10">
        <f t="shared" ref="DN4:DN14" si="34">CS4*3/5+CT4*3/5</f>
        <v>142.04257507339156</v>
      </c>
      <c r="DO4" s="10">
        <f t="shared" ref="DO4:DO14" si="35">CT4*2/5+CU4*1/5</f>
        <v>76.527060653336349</v>
      </c>
      <c r="DP4" s="10">
        <f t="shared" si="6"/>
        <v>1427.9758121295285</v>
      </c>
      <c r="DQ4" s="10">
        <f t="shared" ref="DQ4:DQ14" si="36">SUM(DG4:DL4)</f>
        <v>818.01403226277728</v>
      </c>
      <c r="DR4" s="14">
        <f t="shared" ref="DR4:DR14" si="37">DP4/DM4</f>
        <v>0.46139538944900677</v>
      </c>
      <c r="DS4" s="14">
        <f t="shared" ref="DS4:DS14" si="38">DQ4/DM4</f>
        <v>0.26430973114858397</v>
      </c>
      <c r="DT4" s="10">
        <f>SUM(CV4:CY4)</f>
        <v>348.1257387480041</v>
      </c>
      <c r="DV4" s="311"/>
      <c r="DW4" s="312"/>
      <c r="DX4" s="29">
        <f>DX3</f>
        <v>2025</v>
      </c>
      <c r="DY4" s="4" t="s">
        <v>22</v>
      </c>
      <c r="DZ4" s="10">
        <f>BK$4</f>
        <v>81.27101795730384</v>
      </c>
      <c r="EA4" s="10">
        <f>BL$4</f>
        <v>103.08844078729149</v>
      </c>
      <c r="EB4" s="10">
        <f t="shared" ref="EB4:ED4" si="39">BM$4</f>
        <v>132.64918433502774</v>
      </c>
      <c r="EC4" s="10">
        <f t="shared" si="39"/>
        <v>115.33693459662622</v>
      </c>
      <c r="ED4" s="10">
        <f t="shared" si="39"/>
        <v>75.8481999583245</v>
      </c>
      <c r="EE4" s="10">
        <f>BP$4+DX1</f>
        <v>157.44665401170778</v>
      </c>
      <c r="EF4" s="10">
        <f>BQ$4+DX1</f>
        <v>160.33552593101459</v>
      </c>
      <c r="EG4" s="10">
        <f>BR$4+DX1</f>
        <v>180.49535884695729</v>
      </c>
      <c r="EH4" s="10">
        <f t="shared" ref="EH4:ET4" si="40">BS$4</f>
        <v>139.71571509532154</v>
      </c>
      <c r="EI4" s="10">
        <f t="shared" si="40"/>
        <v>190.61031934039983</v>
      </c>
      <c r="EJ4" s="10">
        <f t="shared" si="40"/>
        <v>166.98013432038127</v>
      </c>
      <c r="EK4" s="10">
        <f t="shared" si="40"/>
        <v>178.19439223480586</v>
      </c>
      <c r="EL4" s="10">
        <f t="shared" si="40"/>
        <v>207.95929215445784</v>
      </c>
      <c r="EM4" s="10">
        <f t="shared" si="40"/>
        <v>291.86656670533699</v>
      </c>
      <c r="EN4" s="10">
        <f t="shared" si="40"/>
        <v>318.09521316141411</v>
      </c>
      <c r="EO4" s="10">
        <f t="shared" si="40"/>
        <v>293.61748398664474</v>
      </c>
      <c r="EP4" s="10">
        <f t="shared" si="40"/>
        <v>189.42489657880671</v>
      </c>
      <c r="EQ4" s="10">
        <f t="shared" si="40"/>
        <v>174.89888702935221</v>
      </c>
      <c r="ER4" s="10">
        <f t="shared" si="40"/>
        <v>111.14521553439727</v>
      </c>
      <c r="ES4" s="10">
        <f t="shared" si="40"/>
        <v>38.754689164016035</v>
      </c>
      <c r="ET4" s="10">
        <f t="shared" si="40"/>
        <v>10.172859969560381</v>
      </c>
      <c r="EU4" s="10">
        <f t="shared" si="9"/>
        <v>3317.9069816991482</v>
      </c>
      <c r="EV4" s="10">
        <f t="shared" ref="EV4:EV14" si="41">EA4*3/5+EB4*3/5</f>
        <v>141.44257507339154</v>
      </c>
      <c r="EW4" s="10">
        <f t="shared" ref="EW4:EW14" si="42">EB4*2/5+EC4*1/5</f>
        <v>76.127060653336343</v>
      </c>
      <c r="EX4" s="10">
        <f t="shared" si="10"/>
        <v>1427.9758121295285</v>
      </c>
      <c r="EY4" s="10">
        <f t="shared" ref="EY4:EY14" si="43">SUM(EO4:ET4)</f>
        <v>818.01403226277728</v>
      </c>
      <c r="EZ4" s="14">
        <f t="shared" ref="EZ4:EZ14" si="44">EX4/EU4</f>
        <v>0.43038452253361287</v>
      </c>
      <c r="FA4" s="14">
        <f t="shared" ref="FA4:FA14" si="45">EY4/EU4</f>
        <v>0.24654519755218104</v>
      </c>
      <c r="FB4" s="10">
        <f>SUM(ED4:EG4)</f>
        <v>574.1257387480041</v>
      </c>
    </row>
    <row r="5" spans="1:158" x14ac:dyDescent="0.15">
      <c r="A5" s="7" t="str">
        <f t="shared" si="11"/>
        <v>2005_3</v>
      </c>
      <c r="B5" s="30">
        <v>2005</v>
      </c>
      <c r="C5" s="5" t="s">
        <v>23</v>
      </c>
      <c r="D5" s="11">
        <v>323.65903889586343</v>
      </c>
      <c r="E5" s="11">
        <v>382.91466144440494</v>
      </c>
      <c r="F5" s="11">
        <v>464.19526049329102</v>
      </c>
      <c r="G5" s="11">
        <v>410.95182912675625</v>
      </c>
      <c r="H5" s="11">
        <v>352.75833255589134</v>
      </c>
      <c r="I5" s="11">
        <v>341.53080061981188</v>
      </c>
      <c r="J5" s="11">
        <v>364.59750466882349</v>
      </c>
      <c r="K5" s="11">
        <v>356.76673803677477</v>
      </c>
      <c r="L5" s="11">
        <v>410.82455764463703</v>
      </c>
      <c r="M5" s="11">
        <v>582.26664615122218</v>
      </c>
      <c r="N5" s="11">
        <v>679.17728274006322</v>
      </c>
      <c r="O5" s="11">
        <v>623.01079444635604</v>
      </c>
      <c r="P5" s="11">
        <v>478.70140890533094</v>
      </c>
      <c r="Q5" s="11">
        <v>567.92388983907301</v>
      </c>
      <c r="R5" s="11">
        <v>596.9989267478179</v>
      </c>
      <c r="S5" s="11">
        <v>587.87331462754753</v>
      </c>
      <c r="T5" s="11">
        <v>395.48074457223038</v>
      </c>
      <c r="U5" s="11">
        <v>237.21601909584177</v>
      </c>
      <c r="V5" s="11">
        <v>104.14185626786973</v>
      </c>
      <c r="W5" s="11">
        <v>23.010393120393122</v>
      </c>
      <c r="X5" s="11">
        <v>4</v>
      </c>
      <c r="Y5" s="11">
        <f>SUM(D5:X5)</f>
        <v>8288.0000000000018</v>
      </c>
      <c r="Z5" s="11">
        <f t="shared" si="12"/>
        <v>508.26595316261756</v>
      </c>
      <c r="AA5" s="11">
        <f t="shared" si="13"/>
        <v>267.86847002266768</v>
      </c>
      <c r="AB5" s="11">
        <f t="shared" si="0"/>
        <v>2516.645144270773</v>
      </c>
      <c r="AC5" s="11">
        <f t="shared" si="14"/>
        <v>1351.7223276838824</v>
      </c>
      <c r="AD5" s="15">
        <f t="shared" si="15"/>
        <v>0.30364926933768971</v>
      </c>
      <c r="AE5" s="15">
        <f t="shared" si="16"/>
        <v>0.1630939101935186</v>
      </c>
      <c r="AF5" s="11">
        <f t="shared" si="17"/>
        <v>1415.6533758813016</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1.1007194244604317</v>
      </c>
      <c r="AN5" s="6">
        <f t="shared" si="1"/>
        <v>1.0392156862745099</v>
      </c>
      <c r="AO5" s="6">
        <f t="shared" si="1"/>
        <v>0.81188118811881194</v>
      </c>
      <c r="AP5" s="6">
        <f t="shared" si="1"/>
        <v>0.48554913294797686</v>
      </c>
      <c r="AQ5" s="6">
        <f t="shared" si="1"/>
        <v>0.97014925373134331</v>
      </c>
      <c r="AR5" s="6">
        <f t="shared" si="1"/>
        <v>0.99342105263157898</v>
      </c>
      <c r="AS5" s="6">
        <f t="shared" si="1"/>
        <v>1.0181818181818181</v>
      </c>
      <c r="AT5" s="6">
        <f t="shared" si="1"/>
        <v>0.95673076923076927</v>
      </c>
      <c r="AU5" s="6">
        <f t="shared" si="1"/>
        <v>0.92727272727272725</v>
      </c>
      <c r="AV5" s="6">
        <f t="shared" si="1"/>
        <v>0.93650793650793651</v>
      </c>
      <c r="AW5" s="6">
        <f t="shared" si="1"/>
        <v>1.0034965034965035</v>
      </c>
      <c r="AX5" s="6">
        <f t="shared" si="1"/>
        <v>0.97707736389684818</v>
      </c>
      <c r="AY5" s="6">
        <f t="shared" si="1"/>
        <v>0.94374999999999998</v>
      </c>
      <c r="AZ5" s="6">
        <f t="shared" si="1"/>
        <v>0.91743119266055051</v>
      </c>
      <c r="BA5" s="6">
        <f t="shared" si="1"/>
        <v>0.85483870967741937</v>
      </c>
      <c r="BB5" s="6">
        <f t="shared" si="1"/>
        <v>0.71232876712328763</v>
      </c>
      <c r="BC5" s="6">
        <f t="shared" si="1"/>
        <v>0.61016949152542377</v>
      </c>
      <c r="BD5" s="6">
        <f t="shared" si="1"/>
        <v>0.33333333333333331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0.15625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156.80581165875631</v>
      </c>
      <c r="BL5" s="16">
        <f t="shared" ref="BL5:CE5" si="46">BL3+BL4</f>
        <v>204.31729588532309</v>
      </c>
      <c r="BM5" s="16">
        <f t="shared" si="46"/>
        <v>263.82656890083342</v>
      </c>
      <c r="BN5" s="16">
        <f t="shared" si="46"/>
        <v>239.02939532856979</v>
      </c>
      <c r="BO5" s="16">
        <f t="shared" si="46"/>
        <v>158.54392556254274</v>
      </c>
      <c r="BP5" s="16">
        <f t="shared" si="46"/>
        <v>165.52334959030904</v>
      </c>
      <c r="BQ5" s="16">
        <f t="shared" si="46"/>
        <v>160.94261598518335</v>
      </c>
      <c r="BR5" s="16">
        <f t="shared" si="46"/>
        <v>229.45153756016208</v>
      </c>
      <c r="BS5" s="16">
        <f t="shared" si="46"/>
        <v>288.96569193433004</v>
      </c>
      <c r="BT5" s="16">
        <f t="shared" si="46"/>
        <v>354.69267575219124</v>
      </c>
      <c r="BU5" s="16">
        <f t="shared" si="46"/>
        <v>368.70723133411389</v>
      </c>
      <c r="BV5" s="16">
        <f t="shared" si="46"/>
        <v>338.26849328057619</v>
      </c>
      <c r="BW5" s="16">
        <f t="shared" si="46"/>
        <v>391.24319505209348</v>
      </c>
      <c r="BX5" s="16">
        <f t="shared" si="46"/>
        <v>562.29359884496102</v>
      </c>
      <c r="BY5" s="16">
        <f t="shared" si="46"/>
        <v>627.61336697795446</v>
      </c>
      <c r="BZ5" s="16">
        <f t="shared" si="46"/>
        <v>529.37788273093588</v>
      </c>
      <c r="CA5" s="16">
        <f t="shared" si="46"/>
        <v>316.78392719259648</v>
      </c>
      <c r="CB5" s="16">
        <f t="shared" si="46"/>
        <v>279.62800768557258</v>
      </c>
      <c r="CC5" s="16">
        <f t="shared" si="46"/>
        <v>152.32587921673075</v>
      </c>
      <c r="CD5" s="16">
        <f t="shared" si="46"/>
        <v>48.464975098969795</v>
      </c>
      <c r="CE5" s="16">
        <f t="shared" si="46"/>
        <v>10.178859969560381</v>
      </c>
      <c r="CF5" s="11">
        <f>SUM(BK5:CE5)</f>
        <v>5846.9842855422676</v>
      </c>
      <c r="CG5" s="11">
        <f t="shared" si="20"/>
        <v>280.8863188716939</v>
      </c>
      <c r="CH5" s="11">
        <f t="shared" si="21"/>
        <v>153.33650662604734</v>
      </c>
      <c r="CI5" s="11">
        <f t="shared" si="3"/>
        <v>2526.6664977172813</v>
      </c>
      <c r="CJ5" s="11">
        <f t="shared" si="22"/>
        <v>1336.7595318943656</v>
      </c>
      <c r="CK5" s="15">
        <f t="shared" si="23"/>
        <v>0.43213156976749945</v>
      </c>
      <c r="CL5" s="15">
        <f t="shared" si="24"/>
        <v>0.22862375997824158</v>
      </c>
      <c r="CM5" s="11">
        <f t="shared" si="25"/>
        <v>714.46142869819721</v>
      </c>
      <c r="CO5" s="7" t="str">
        <f t="shared" si="26"/>
        <v>2025_3</v>
      </c>
      <c r="CP5" s="30">
        <f>CP4</f>
        <v>2025</v>
      </c>
      <c r="CQ5" s="5" t="s">
        <v>23</v>
      </c>
      <c r="CR5" s="16">
        <f>CR3+CR4</f>
        <v>158.80581165875631</v>
      </c>
      <c r="CS5" s="16">
        <f t="shared" ref="CS5" si="47">CS3+CS4</f>
        <v>204.31729588532309</v>
      </c>
      <c r="CT5" s="16">
        <f t="shared" ref="CT5" si="48">CT3+CT4</f>
        <v>265.82656890083342</v>
      </c>
      <c r="CU5" s="16">
        <f t="shared" ref="CU5" si="49">CU3+CU4</f>
        <v>239.02939532856979</v>
      </c>
      <c r="CV5" s="16">
        <f t="shared" ref="CV5" si="50">CV3+CV4</f>
        <v>158.54392556254274</v>
      </c>
      <c r="CW5" s="16">
        <f t="shared" ref="CW5" si="51">CW3+CW4</f>
        <v>169.52334959030904</v>
      </c>
      <c r="CX5" s="16">
        <f t="shared" ref="CX5" si="52">CX3+CX4</f>
        <v>160.94261598518335</v>
      </c>
      <c r="CY5" s="16">
        <f t="shared" ref="CY5" si="53">CY3+CY4</f>
        <v>229.45153756016208</v>
      </c>
      <c r="CZ5" s="16">
        <f t="shared" ref="CZ5" si="54">CZ3+CZ4</f>
        <v>289.96569193433004</v>
      </c>
      <c r="DA5" s="16">
        <f t="shared" ref="DA5" si="55">DA3+DA4</f>
        <v>354.69267575219124</v>
      </c>
      <c r="DB5" s="16">
        <f t="shared" ref="DB5" si="56">DB3+DB4</f>
        <v>368.70723133411389</v>
      </c>
      <c r="DC5" s="16">
        <f t="shared" ref="DC5" si="57">DC3+DC4</f>
        <v>338.26849328057619</v>
      </c>
      <c r="DD5" s="16">
        <f t="shared" ref="DD5" si="58">DD3+DD4</f>
        <v>391.24319505209348</v>
      </c>
      <c r="DE5" s="16">
        <f t="shared" ref="DE5" si="59">DE3+DE4</f>
        <v>562.29359884496102</v>
      </c>
      <c r="DF5" s="16">
        <f t="shared" ref="DF5" si="60">DF3+DF4</f>
        <v>627.61336697795446</v>
      </c>
      <c r="DG5" s="16">
        <f t="shared" ref="DG5" si="61">DG3+DG4</f>
        <v>529.37788273093588</v>
      </c>
      <c r="DH5" s="16">
        <f t="shared" ref="DH5" si="62">DH3+DH4</f>
        <v>316.78392719259648</v>
      </c>
      <c r="DI5" s="16">
        <f t="shared" ref="DI5" si="63">DI3+DI4</f>
        <v>279.62800768557258</v>
      </c>
      <c r="DJ5" s="16">
        <f t="shared" ref="DJ5" si="64">DJ3+DJ4</f>
        <v>152.32587921673075</v>
      </c>
      <c r="DK5" s="16">
        <f t="shared" ref="DK5" si="65">DK3+DK4</f>
        <v>48.464975098969795</v>
      </c>
      <c r="DL5" s="16">
        <f t="shared" ref="DL5" si="66">DL3+DL4</f>
        <v>10.178859969560381</v>
      </c>
      <c r="DM5" s="11">
        <f>SUM(CR5:DL5)</f>
        <v>5855.9842855422676</v>
      </c>
      <c r="DN5" s="11">
        <f t="shared" si="34"/>
        <v>282.08631887169389</v>
      </c>
      <c r="DO5" s="11">
        <f t="shared" si="35"/>
        <v>154.13650662604732</v>
      </c>
      <c r="DP5" s="11">
        <f t="shared" si="6"/>
        <v>2526.6664977172813</v>
      </c>
      <c r="DQ5" s="11">
        <f t="shared" si="36"/>
        <v>1336.7595318943656</v>
      </c>
      <c r="DR5" s="15">
        <f t="shared" si="37"/>
        <v>0.43146743135143345</v>
      </c>
      <c r="DS5" s="15">
        <f t="shared" si="38"/>
        <v>0.2282723905517757</v>
      </c>
      <c r="DT5" s="11">
        <f>SUM(CV5:CY5)</f>
        <v>718.46142869819721</v>
      </c>
      <c r="DV5" s="311"/>
      <c r="DW5" s="312"/>
      <c r="DX5" s="30">
        <f>DX4</f>
        <v>2025</v>
      </c>
      <c r="DY5" s="5" t="s">
        <v>23</v>
      </c>
      <c r="DZ5" s="16">
        <f>DZ3+DZ4</f>
        <v>156.80581165875631</v>
      </c>
      <c r="EA5" s="16">
        <f t="shared" ref="EA5:ET5" si="67">EA3+EA4</f>
        <v>204.31729588532309</v>
      </c>
      <c r="EB5" s="16">
        <f t="shared" si="67"/>
        <v>263.82656890083342</v>
      </c>
      <c r="EC5" s="16">
        <f t="shared" si="67"/>
        <v>239.02939532856979</v>
      </c>
      <c r="ED5" s="16">
        <f t="shared" si="67"/>
        <v>158.54392556254274</v>
      </c>
      <c r="EE5" s="16">
        <f t="shared" si="67"/>
        <v>317.52334959030907</v>
      </c>
      <c r="EF5" s="16">
        <f t="shared" si="67"/>
        <v>312.94261598518335</v>
      </c>
      <c r="EG5" s="16">
        <f t="shared" si="67"/>
        <v>381.45153756016208</v>
      </c>
      <c r="EH5" s="16">
        <f t="shared" si="67"/>
        <v>288.96569193433004</v>
      </c>
      <c r="EI5" s="16">
        <f t="shared" si="67"/>
        <v>354.69267575219124</v>
      </c>
      <c r="EJ5" s="16">
        <f t="shared" si="67"/>
        <v>368.70723133411389</v>
      </c>
      <c r="EK5" s="16">
        <f t="shared" si="67"/>
        <v>338.26849328057619</v>
      </c>
      <c r="EL5" s="16">
        <f t="shared" si="67"/>
        <v>391.24319505209348</v>
      </c>
      <c r="EM5" s="16">
        <f t="shared" si="67"/>
        <v>562.29359884496102</v>
      </c>
      <c r="EN5" s="16">
        <f t="shared" si="67"/>
        <v>627.61336697795446</v>
      </c>
      <c r="EO5" s="16">
        <f t="shared" si="67"/>
        <v>529.37788273093588</v>
      </c>
      <c r="EP5" s="16">
        <f t="shared" si="67"/>
        <v>316.78392719259648</v>
      </c>
      <c r="EQ5" s="16">
        <f t="shared" si="67"/>
        <v>279.62800768557258</v>
      </c>
      <c r="ER5" s="16">
        <f t="shared" si="67"/>
        <v>152.32587921673075</v>
      </c>
      <c r="ES5" s="16">
        <f t="shared" si="67"/>
        <v>48.464975098969795</v>
      </c>
      <c r="ET5" s="16">
        <f t="shared" si="67"/>
        <v>10.178859969560381</v>
      </c>
      <c r="EU5" s="11">
        <f>SUM(DZ5:ET5)</f>
        <v>6302.9842855422676</v>
      </c>
      <c r="EV5" s="11">
        <f t="shared" si="41"/>
        <v>280.8863188716939</v>
      </c>
      <c r="EW5" s="11">
        <f t="shared" si="42"/>
        <v>153.33650662604734</v>
      </c>
      <c r="EX5" s="11">
        <f t="shared" si="10"/>
        <v>2526.6664977172813</v>
      </c>
      <c r="EY5" s="11">
        <f t="shared" si="43"/>
        <v>1336.7595318943656</v>
      </c>
      <c r="EZ5" s="15">
        <f t="shared" si="44"/>
        <v>0.40086828449071782</v>
      </c>
      <c r="FA5" s="15">
        <f t="shared" si="45"/>
        <v>0.2120835895086417</v>
      </c>
      <c r="FB5" s="11">
        <f>SUM(ED5:EG5)</f>
        <v>1170.4614286981973</v>
      </c>
    </row>
    <row r="6" spans="1:158" x14ac:dyDescent="0.15">
      <c r="A6" s="7" t="str">
        <f t="shared" si="11"/>
        <v>2010_1</v>
      </c>
      <c r="B6" s="28">
        <v>2010</v>
      </c>
      <c r="C6" s="3" t="s">
        <v>21</v>
      </c>
      <c r="D6" s="9">
        <v>139</v>
      </c>
      <c r="E6" s="9">
        <v>204</v>
      </c>
      <c r="F6" s="9">
        <v>202</v>
      </c>
      <c r="G6" s="9">
        <v>173</v>
      </c>
      <c r="H6" s="9">
        <v>134</v>
      </c>
      <c r="I6" s="9">
        <v>152</v>
      </c>
      <c r="J6" s="9">
        <v>165</v>
      </c>
      <c r="K6" s="9">
        <v>208</v>
      </c>
      <c r="L6" s="9">
        <v>165</v>
      </c>
      <c r="M6" s="9">
        <v>189</v>
      </c>
      <c r="N6" s="9">
        <v>286</v>
      </c>
      <c r="O6" s="9">
        <v>349</v>
      </c>
      <c r="P6" s="9">
        <v>320</v>
      </c>
      <c r="Q6" s="9">
        <v>218</v>
      </c>
      <c r="R6" s="9">
        <v>248</v>
      </c>
      <c r="S6" s="9">
        <v>219</v>
      </c>
      <c r="T6" s="9">
        <v>177</v>
      </c>
      <c r="U6" s="9">
        <v>66</v>
      </c>
      <c r="V6" s="9">
        <v>32</v>
      </c>
      <c r="W6" s="9">
        <v>8</v>
      </c>
      <c r="X6" s="9">
        <v>1</v>
      </c>
      <c r="Y6" s="9">
        <f t="shared" ref="Y6:Y11" si="68">SUM(D6:X6)</f>
        <v>3655</v>
      </c>
      <c r="Z6" s="9">
        <f t="shared" si="12"/>
        <v>243.60000000000002</v>
      </c>
      <c r="AA6" s="9">
        <f t="shared" si="13"/>
        <v>115.4</v>
      </c>
      <c r="AB6" s="9">
        <f t="shared" si="0"/>
        <v>969</v>
      </c>
      <c r="AC6" s="9">
        <f t="shared" si="14"/>
        <v>503</v>
      </c>
      <c r="AD6" s="13">
        <f t="shared" si="15"/>
        <v>0.26511627906976742</v>
      </c>
      <c r="AE6" s="13">
        <f t="shared" si="16"/>
        <v>0.13761969904240767</v>
      </c>
      <c r="AF6" s="9">
        <f t="shared" si="17"/>
        <v>659</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0.95609592661608522</v>
      </c>
      <c r="AN6" s="193">
        <f t="shared" si="18"/>
        <v>0.99394325268553896</v>
      </c>
      <c r="AO6" s="193">
        <f t="shared" si="18"/>
        <v>0.84697469647854384</v>
      </c>
      <c r="AP6" s="193">
        <f t="shared" si="18"/>
        <v>0.4975234673338475</v>
      </c>
      <c r="AQ6" s="193">
        <f t="shared" si="18"/>
        <v>0.837637877296317</v>
      </c>
      <c r="AR6" s="193">
        <f t="shared" si="18"/>
        <v>0.92347845550347052</v>
      </c>
      <c r="AS6" s="193">
        <f t="shared" si="18"/>
        <v>1.0558029663138186</v>
      </c>
      <c r="AT6" s="193">
        <f t="shared" si="18"/>
        <v>0.98262751103552237</v>
      </c>
      <c r="AU6" s="193">
        <f t="shared" si="18"/>
        <v>0.93799779800175276</v>
      </c>
      <c r="AV6" s="193">
        <f t="shared" si="18"/>
        <v>1.0047761560357427</v>
      </c>
      <c r="AW6" s="193">
        <f t="shared" si="18"/>
        <v>0.96702383528780078</v>
      </c>
      <c r="AX6" s="193">
        <f t="shared" si="18"/>
        <v>1.0315325105086268</v>
      </c>
      <c r="AY6" s="193">
        <f t="shared" si="18"/>
        <v>0.97488075536887497</v>
      </c>
      <c r="AZ6" s="193">
        <f t="shared" si="18"/>
        <v>0.97481992538619999</v>
      </c>
      <c r="BA6" s="193">
        <f t="shared" si="18"/>
        <v>0.93697893386028386</v>
      </c>
      <c r="BB6" s="193">
        <f t="shared" si="18"/>
        <v>0.82590367421627642</v>
      </c>
      <c r="BC6" s="193">
        <f t="shared" si="18"/>
        <v>0.67910920021117838</v>
      </c>
      <c r="BD6" s="193">
        <f t="shared" si="18"/>
        <v>0.50976700021191423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0.31420068433640064</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0.29027759393791547</v>
      </c>
      <c r="BH6" s="7" t="str">
        <f t="shared" si="19"/>
        <v>2030_1</v>
      </c>
      <c r="BI6" s="28">
        <f>管理者入力シート!B9</f>
        <v>2030</v>
      </c>
      <c r="BJ6" s="3" t="s">
        <v>21</v>
      </c>
      <c r="BK6" s="9">
        <f>CM7*$AK$13</f>
        <v>64.436635482965045</v>
      </c>
      <c r="BL6" s="9">
        <f>IF(管理者入力シート!$B$14=1,BK3*管理者用人口入力シート!AM$3,IF(管理者入力シート!$B$14=2,BK3*管理者用人口入力シート!AM$7))</f>
        <v>82.218286951226261</v>
      </c>
      <c r="BM6" s="9">
        <f>IF(管理者入力シート!$B$14=1,BL3*管理者用人口入力シート!AN$3,IF(管理者入力シート!$B$14=2,BL3*管理者用人口入力シート!AN$7))</f>
        <v>104.54786369989826</v>
      </c>
      <c r="BN6" s="9">
        <f>IF(管理者入力シート!$B$14=1,BM3*管理者用人口入力シート!AO$3,IF(管理者入力シート!$B$14=2,BM3*管理者用人口入力シート!AO$7))</f>
        <v>103.32247094591663</v>
      </c>
      <c r="BO6" s="9">
        <f>IF(管理者入力シート!$B$14=1,BN3*管理者用人口入力シート!AP$3,IF(管理者入力シート!$B$14=2,BN3*管理者用人口入力シート!AP$7))</f>
        <v>63.140974024687317</v>
      </c>
      <c r="BP6" s="9">
        <f>IF(管理者入力シート!$B$14=1,BO3*管理者用人口入力シート!AQ$3,IF(管理者入力シート!$B$14=2,BO3*管理者用人口入力シート!AQ$7))</f>
        <v>78.997243284692317</v>
      </c>
      <c r="BQ6" s="9">
        <f>IF(管理者入力シート!$B$14=1,BP3*管理者用人口入力シート!AR$3,IF(管理者入力シート!$B$14=2,BP3*管理者用人口入力シート!AR$7))</f>
        <v>81.516611801907743</v>
      </c>
      <c r="BR6" s="9">
        <f>IF(管理者入力シート!$B$14=1,BQ3*管理者用人口入力シート!AS$3,IF(管理者入力シート!$B$14=2,BQ3*管理者用人口入力シート!AS$7))</f>
        <v>77.817224570741217</v>
      </c>
      <c r="BS6" s="9">
        <f>IF(管理者入力シート!$B$14=1,BR3*管理者用人口入力シート!AT$3,IF(管理者入力シート!$B$14=2,BR3*管理者用人口入力シート!AT$7))</f>
        <v>121.87281863451035</v>
      </c>
      <c r="BT6" s="9">
        <f>IF(管理者入力シート!$B$14=1,BS3*管理者用人口入力シート!AU$3,IF(管理者入力シート!$B$14=2,BS3*管理者用人口入力シート!AU$7))</f>
        <v>146.60823883140537</v>
      </c>
      <c r="BU6" s="9">
        <f>IF(管理者入力シート!$B$14=1,BT3*管理者用人口入力シート!AV$3,IF(管理者入力シート!$B$14=2,BT3*管理者用人口入力シート!AV$7))</f>
        <v>159.84252255374693</v>
      </c>
      <c r="BV6" s="9">
        <f>IF(管理者入力シート!$B$14=1,BU3*管理者用人口入力シート!AW$3,IF(管理者入力シート!$B$14=2,BU3*管理者用人口入力シート!AW$7))</f>
        <v>208.27850944467696</v>
      </c>
      <c r="BW6" s="9">
        <f>IF(管理者入力シート!$B$14=1,BV3*管理者用人口入力シート!AX$3,IF(管理者入力シート!$B$14=2,BV3*管理者用人口入力シート!AX$7))</f>
        <v>156.0369844883578</v>
      </c>
      <c r="BX6" s="9">
        <f>IF(管理者入力シート!$B$14=1,BW3*管理者用人口入力シート!AY$3,IF(管理者入力シート!$B$14=2,BW3*管理者用人口入力シート!AY$7))</f>
        <v>177.58591904831079</v>
      </c>
      <c r="BY6" s="9">
        <f>IF(管理者入力シート!$B$14=1,BX3*管理者用人口入力シート!AZ$3,IF(管理者入力シート!$B$14=2,BX3*管理者用人口入力シート!AZ$7))</f>
        <v>246.757526367992</v>
      </c>
      <c r="BZ6" s="9">
        <f>IF(管理者入力シート!$B$14=1,BY3*管理者用人口入力シート!BA$3,IF(管理者入力シート!$B$14=2,BY3*管理者用人口入力シート!BA$7))</f>
        <v>266.24590119899534</v>
      </c>
      <c r="CA6" s="9">
        <f>IF(管理者入力シート!$B$14=1,BZ3*管理者用人口入力シート!BB$3,IF(管理者入力シート!$B$14=2,BZ3*管理者用人口入力シート!BB$7))</f>
        <v>173.44475767231032</v>
      </c>
      <c r="CB6" s="9">
        <f>IF(管理者入力シート!$B$14=1,CA3*管理者用人口入力シート!BC$3,IF(管理者入力シート!$B$14=2,CA3*管理者用人口入力シート!BC$7))</f>
        <v>82.8058812265932</v>
      </c>
      <c r="CC6" s="9">
        <f>IF(管理者入力シート!$B$14=1,CB3*管理者用人口入力シート!BD$3,IF(管理者入力シート!$B$14=2,CB3*管理者用人口入力シート!BD$7))</f>
        <v>39.904678148612817</v>
      </c>
      <c r="CD6" s="9">
        <f>IF(管理者入力シート!$B$14=1,CC3*管理者用人口入力シート!BE$3,IF(管理者入力シート!$B$14=2,CC3*管理者用人口入力シート!BE$7))</f>
        <v>8.5009534758945495</v>
      </c>
      <c r="CE6" s="9">
        <f>IF(管理者入力シート!$B$14=1,CD3*管理者用人口入力シート!BF$3,IF(管理者入力シート!$B$14=2,CD3*管理者用人口入力シート!BF$7))</f>
        <v>9.710285934953761E-3</v>
      </c>
      <c r="CF6" s="9">
        <f t="shared" si="2"/>
        <v>2443.8917121393765</v>
      </c>
      <c r="CG6" s="9">
        <f t="shared" si="20"/>
        <v>112.05969039067472</v>
      </c>
      <c r="CH6" s="9">
        <f t="shared" si="21"/>
        <v>62.483639669142633</v>
      </c>
      <c r="CI6" s="9">
        <f t="shared" si="3"/>
        <v>995.25532742464395</v>
      </c>
      <c r="CJ6" s="9">
        <f t="shared" si="22"/>
        <v>570.91188200834119</v>
      </c>
      <c r="CK6" s="13">
        <f t="shared" si="23"/>
        <v>0.40724199132104755</v>
      </c>
      <c r="CL6" s="13">
        <f t="shared" si="24"/>
        <v>0.23360768366801588</v>
      </c>
      <c r="CM6" s="9">
        <f t="shared" si="25"/>
        <v>301.47205368202856</v>
      </c>
      <c r="CO6" s="7" t="str">
        <f t="shared" si="26"/>
        <v>2030_1</v>
      </c>
      <c r="CP6" s="28">
        <f>管理者入力シート!B9</f>
        <v>2030</v>
      </c>
      <c r="CQ6" s="3" t="s">
        <v>21</v>
      </c>
      <c r="CR6" s="9">
        <f>DT7*$AK$13+将来予測シート②!$G17</f>
        <v>66.300981761310481</v>
      </c>
      <c r="CS6" s="9">
        <f>IF(管理者入力シート!$B$14=1,CR3*管理者用人口入力シート!AM$3,IF(管理者入力シート!$B$14=2,CR3*管理者用人口入力シート!AM$7))+将来予測シート②!$G18</f>
        <v>83.306769264108326</v>
      </c>
      <c r="CT6" s="9">
        <f>IF(管理者入力シート!$B$14=1,CS3*管理者用人口入力シート!AN$3,IF(管理者入力シート!$B$14=2,CS3*管理者用人口入力シート!AN$7))+将来予測シート②!$G19</f>
        <v>105.54786369989826</v>
      </c>
      <c r="CU6" s="9">
        <f>IF(管理者入力シート!$B$14=1,CT3*管理者用人口入力シート!AO$3,IF(管理者入力シート!$B$14=2,CT3*管理者用人口入力シート!AO$7))+将来予測シート②!$G20</f>
        <v>104.1101255503129</v>
      </c>
      <c r="CV6" s="9">
        <f>IF(管理者入力シート!$B$14=1,CU3*管理者用人口入力シート!AP$3,IF(管理者入力シート!$B$14=2,CU3*管理者用人口入力シート!AP$7))+将来予測シート②!$G21</f>
        <v>63.140974024687317</v>
      </c>
      <c r="CW6" s="9">
        <f>IF(管理者入力シート!$B$14=1,CV3*管理者用人口入力シート!AQ$3,IF(管理者入力シート!$B$14=2,CV3*管理者用人口入力シート!AQ$7))+将来予測シート②!$G22</f>
        <v>80.997243284692317</v>
      </c>
      <c r="CX6" s="9">
        <f>IF(管理者入力シート!$B$14=1,CW3*管理者用人口入力シート!AR$3,IF(管理者入力シート!$B$14=2,CW3*管理者用人口入力シート!AR$7))+将来予測シート②!$G23</f>
        <v>83.455713029445874</v>
      </c>
      <c r="CY6" s="9">
        <f>IF(管理者入力シート!$B$14=1,CX3*管理者用人口入力シート!AS$3,IF(管理者入力シート!$B$14=2,CX3*管理者用人口入力シート!AS$7))+将来予測シート②!$G24</f>
        <v>77.817224570741217</v>
      </c>
      <c r="CZ6" s="9">
        <f>IF(管理者入力シート!$B$14=1,CY3*管理者用人口入力シート!AT$3,IF(管理者入力シート!$B$14=2,CY3*管理者用人口入力シート!AT$7))+将来予測シート②!$G25</f>
        <v>121.87281863451035</v>
      </c>
      <c r="DA6" s="9">
        <f>IF(管理者入力シート!$B$14=1,CZ3*管理者用人口入力シート!AU$3,IF(管理者入力シート!$B$14=2,CZ3*管理者用人口入力シート!AU$7))+将来予測シート②!$G26</f>
        <v>146.60823883140537</v>
      </c>
      <c r="DB6" s="9">
        <f>IF(管理者入力シート!$B$14=1,DA3*管理者用人口入力シート!AV$3,IF(管理者入力シート!$B$14=2,DA3*管理者用人口入力シート!AV$7))+将来予測シート②!$G27</f>
        <v>159.84252255374693</v>
      </c>
      <c r="DC6" s="9">
        <f>IF(管理者入力シート!$B$14=1,DB3*管理者用人口入力シート!AW$3,IF(管理者入力シート!$B$14=2,DB3*管理者用人口入力シート!AW$7))+将来予測シート②!$G28</f>
        <v>208.27850944467696</v>
      </c>
      <c r="DD6" s="9">
        <f>IF(管理者入力シート!$B$14=1,DC3*管理者用人口入力シート!AX$3,IF(管理者入力シート!$B$14=2,DC3*管理者用人口入力シート!AX$7))+将来予測シート②!$G29</f>
        <v>156.0369844883578</v>
      </c>
      <c r="DE6" s="9">
        <f>IF(管理者入力シート!$B$14=1,DD3*管理者用人口入力シート!AY$3,IF(管理者入力シート!$B$14=2,DD3*管理者用人口入力シート!AY$7))</f>
        <v>177.58591904831079</v>
      </c>
      <c r="DF6" s="9">
        <f>IF(管理者入力シート!$B$14=1,DE3*管理者用人口入力シート!AZ$3,IF(管理者入力シート!$B$14=2,DE3*管理者用人口入力シート!AZ$7))</f>
        <v>246.757526367992</v>
      </c>
      <c r="DG6" s="9">
        <f>IF(管理者入力シート!$B$14=1,DF3*管理者用人口入力シート!BA$3,IF(管理者入力シート!$B$14=2,DF3*管理者用人口入力シート!BA$7))</f>
        <v>266.24590119899534</v>
      </c>
      <c r="DH6" s="9">
        <f>IF(管理者入力シート!$B$14=1,DG3*管理者用人口入力シート!BB$3,IF(管理者入力シート!$B$14=2,DG3*管理者用人口入力シート!BB$7))</f>
        <v>173.44475767231032</v>
      </c>
      <c r="DI6" s="9">
        <f>IF(管理者入力シート!$B$14=1,DH3*管理者用人口入力シート!BC$3,IF(管理者入力シート!$B$14=2,DH3*管理者用人口入力シート!BC$7))</f>
        <v>82.8058812265932</v>
      </c>
      <c r="DJ6" s="9">
        <f>IF(管理者入力シート!$B$14=1,DI3*管理者用人口入力シート!BD$3,IF(管理者入力シート!$B$14=2,DI3*管理者用人口入力シート!BD$7))</f>
        <v>39.904678148612817</v>
      </c>
      <c r="DK6" s="9">
        <f>IF(管理者入力シート!$B$14=1,DJ3*管理者用人口入力シート!BE$3,IF(管理者入力シート!$B$14=2,DJ3*管理者用人口入力シート!BE$7))</f>
        <v>8.5009534758945495</v>
      </c>
      <c r="DL6" s="9">
        <f>IF(管理者入力シート!$B$14=1,DK3*管理者用人口入力シート!BF$3,IF(管理者入力シート!$B$14=2,DK3*管理者用人口入力シート!BF$7))</f>
        <v>9.710285934953761E-3</v>
      </c>
      <c r="DM6" s="9">
        <f t="shared" ref="DM6:DM14" si="69">SUM(CR6:DL6)</f>
        <v>2452.5712965625385</v>
      </c>
      <c r="DN6" s="9">
        <f t="shared" si="34"/>
        <v>113.31277977840395</v>
      </c>
      <c r="DO6" s="9">
        <f t="shared" si="35"/>
        <v>63.041170590021878</v>
      </c>
      <c r="DP6" s="9">
        <f t="shared" si="6"/>
        <v>995.25532742464395</v>
      </c>
      <c r="DQ6" s="9">
        <f t="shared" si="36"/>
        <v>570.91188200834119</v>
      </c>
      <c r="DR6" s="13">
        <f t="shared" si="37"/>
        <v>0.40580077277246474</v>
      </c>
      <c r="DS6" s="13">
        <f t="shared" si="38"/>
        <v>0.23278095230443119</v>
      </c>
      <c r="DT6" s="9">
        <f t="shared" ref="DT6:DT14" si="70">SUM(CV6:CY6)</f>
        <v>305.41115490956668</v>
      </c>
      <c r="DV6" s="7" t="s">
        <v>400</v>
      </c>
      <c r="DX6" s="28">
        <f>管理者入力シート!B9</f>
        <v>2030</v>
      </c>
      <c r="DY6" s="3" t="s">
        <v>21</v>
      </c>
      <c r="DZ6" s="9">
        <f>FB7*$AK$13</f>
        <v>147.43756003862407</v>
      </c>
      <c r="EA6" s="129">
        <f>IF(管理者入力シート!$B$14=1,DZ3*管理者用人口入力シート!AM$3,IF(管理者入力シート!$B$14=2,DZ3*管理者用人口入力シート!AM$7))</f>
        <v>82.218286951226261</v>
      </c>
      <c r="EB6" s="9">
        <f>IF(管理者入力シート!$B$14=1,EA3*管理者用人口入力シート!AN$3,IF(管理者入力シート!$B$14=2,EA3*管理者用人口入力シート!AN$7))</f>
        <v>104.54786369989826</v>
      </c>
      <c r="EC6" s="9">
        <f>IF(管理者入力シート!$B$14=1,EB3*管理者用人口入力シート!AO$3,IF(管理者入力シート!$B$14=2,EB3*管理者用人口入力シート!AO$7))</f>
        <v>103.32247094591663</v>
      </c>
      <c r="ED6" s="9">
        <f>IF(管理者入力シート!$B$14=1,EC3*管理者用人口入力シート!AP$3,IF(管理者入力シート!$B$14=2,EC3*管理者用人口入力シート!AP$7))</f>
        <v>63.140974024687317</v>
      </c>
      <c r="EE6" s="9">
        <f>IF(管理者入力シート!$B$14=1,ED3*管理者用人口入力シート!AQ$3,IF(管理者入力シート!$B$14=2,ED3*管理者用人口入力シート!AQ$7))+DX1</f>
        <v>154.99724328469233</v>
      </c>
      <c r="EF6" s="9">
        <f>IF(管理者入力シート!$B$14=1,EE3*管理者用人口入力シート!AR$3,IF(管理者入力シート!$B$14=2,EE3*管理者用人口入力シート!AR$7))+DX1</f>
        <v>231.20245844835674</v>
      </c>
      <c r="EG6" s="9">
        <f>IF(管理者入力シート!$B$14=1,EF3*管理者用人口入力シート!AS$3,IF(管理者入力シート!$B$14=2,EF3*管理者用人口入力シート!AS$7))+DX1</f>
        <v>231.01776910512407</v>
      </c>
      <c r="EH6" s="9">
        <f>IF(管理者入力シート!$B$14=1,EG3*管理者用人口入力シート!AT$3,IF(管理者入力シート!$B$14=2,EG3*管理者用人口入力シート!AT$7))</f>
        <v>195.99747826803983</v>
      </c>
      <c r="EI6" s="9">
        <f>IF(管理者入力シート!$B$14=1,EH3*管理者用人口入力シート!AU$3,IF(管理者入力シート!$B$14=2,EH3*管理者用人口入力シート!AU$7))</f>
        <v>146.60823883140537</v>
      </c>
      <c r="EJ6" s="9">
        <f>IF(管理者入力シート!$B$14=1,EI3*管理者用人口入力シート!AV$3,IF(管理者入力シート!$B$14=2,EI3*管理者用人口入力シート!AV$7))</f>
        <v>159.84252255374693</v>
      </c>
      <c r="EK6" s="9">
        <f>IF(管理者入力シート!$B$14=1,EJ3*管理者用人口入力シート!AW$3,IF(管理者入力シート!$B$14=2,EJ3*管理者用人口入力シート!AW$7))</f>
        <v>208.27850944467696</v>
      </c>
      <c r="EL6" s="9">
        <f>IF(管理者入力シート!$B$14=1,EK3*管理者用人口入力シート!AX$3,IF(管理者入力シート!$B$14=2,EK3*管理者用人口入力シート!AX$7))</f>
        <v>156.0369844883578</v>
      </c>
      <c r="EM6" s="9">
        <f>IF(管理者入力シート!$B$14=1,EL3*管理者用人口入力シート!AY$3,IF(管理者入力シート!$B$14=2,EL3*管理者用人口入力シート!AY$7))</f>
        <v>177.58591904831079</v>
      </c>
      <c r="EN6" s="9">
        <f>IF(管理者入力シート!$B$14=1,EM3*管理者用人口入力シート!AZ$3,IF(管理者入力シート!$B$14=2,EM3*管理者用人口入力シート!AZ$7))</f>
        <v>246.757526367992</v>
      </c>
      <c r="EO6" s="9">
        <f>IF(管理者入力シート!$B$14=1,EN3*管理者用人口入力シート!BA$3,IF(管理者入力シート!$B$14=2,EN3*管理者用人口入力シート!BA$7))</f>
        <v>266.24590119899534</v>
      </c>
      <c r="EP6" s="9">
        <f>IF(管理者入力シート!$B$14=1,EO3*管理者用人口入力シート!BB$3,IF(管理者入力シート!$B$14=2,EO3*管理者用人口入力シート!BB$7))</f>
        <v>173.44475767231032</v>
      </c>
      <c r="EQ6" s="9">
        <f>IF(管理者入力シート!$B$14=1,EP3*管理者用人口入力シート!BC$3,IF(管理者入力シート!$B$14=2,EP3*管理者用人口入力シート!BC$7))</f>
        <v>82.8058812265932</v>
      </c>
      <c r="ER6" s="9">
        <f>IF(管理者入力シート!$B$14=1,EQ3*管理者用人口入力シート!BD$3,IF(管理者入力シート!$B$14=2,EQ3*管理者用人口入力シート!BD$7))</f>
        <v>39.904678148612817</v>
      </c>
      <c r="ES6" s="9">
        <f>IF(管理者入力シート!$B$14=1,ER3*管理者用人口入力シート!BE$3,IF(管理者入力シート!$B$14=2,ER3*管理者用人口入力シート!BE$7))</f>
        <v>8.5009534758945495</v>
      </c>
      <c r="ET6" s="9">
        <f>IF(管理者入力シート!$B$14=1,ES3*管理者用人口入力シート!BF$3,IF(管理者入力シート!$B$14=2,ES3*管理者用人口入力シート!BF$7))</f>
        <v>9.710285934953761E-3</v>
      </c>
      <c r="EU6" s="9">
        <f t="shared" ref="EU6:EU14" si="71">SUM(DZ6:ET6)</f>
        <v>2979.9036875093966</v>
      </c>
      <c r="EV6" s="9">
        <f t="shared" si="41"/>
        <v>112.05969039067472</v>
      </c>
      <c r="EW6" s="9">
        <f t="shared" si="42"/>
        <v>62.483639669142633</v>
      </c>
      <c r="EX6" s="9">
        <f t="shared" si="10"/>
        <v>995.25532742464395</v>
      </c>
      <c r="EY6" s="9">
        <f t="shared" si="43"/>
        <v>570.91188200834119</v>
      </c>
      <c r="EZ6" s="13">
        <f t="shared" si="44"/>
        <v>0.33398909219662676</v>
      </c>
      <c r="FA6" s="13">
        <f t="shared" si="45"/>
        <v>0.1915873604913417</v>
      </c>
      <c r="FB6" s="9">
        <f t="shared" ref="FB6:FB14" si="72">SUM(ED6:EG6)</f>
        <v>680.35844486286044</v>
      </c>
    </row>
    <row r="7" spans="1:158" x14ac:dyDescent="0.15">
      <c r="A7" s="7" t="str">
        <f t="shared" si="11"/>
        <v>2010_2</v>
      </c>
      <c r="B7" s="29">
        <v>2010</v>
      </c>
      <c r="C7" s="4" t="s">
        <v>22</v>
      </c>
      <c r="D7" s="10">
        <v>136.01234567901236</v>
      </c>
      <c r="E7" s="10">
        <v>159.01869158878503</v>
      </c>
      <c r="F7" s="10">
        <v>183.04672897196261</v>
      </c>
      <c r="G7" s="10">
        <v>193.02469135802468</v>
      </c>
      <c r="H7" s="10">
        <v>117.04638283142955</v>
      </c>
      <c r="I7" s="10">
        <v>157.0557286258221</v>
      </c>
      <c r="J7" s="10">
        <v>197.05907465097494</v>
      </c>
      <c r="K7" s="10">
        <v>173.06207453559477</v>
      </c>
      <c r="L7" s="10">
        <v>193.02169147340487</v>
      </c>
      <c r="M7" s="10">
        <v>206.06807430483443</v>
      </c>
      <c r="N7" s="10">
        <v>305.14249451944158</v>
      </c>
      <c r="O7" s="10">
        <v>312.22660666897428</v>
      </c>
      <c r="P7" s="10">
        <v>323.19856928579668</v>
      </c>
      <c r="Q7" s="10">
        <v>241.1238029306565</v>
      </c>
      <c r="R7" s="10">
        <v>304.22660666897428</v>
      </c>
      <c r="S7" s="10">
        <v>328.20456905503636</v>
      </c>
      <c r="T7" s="10">
        <v>287.22026075920155</v>
      </c>
      <c r="U7" s="10">
        <v>200.13949463482174</v>
      </c>
      <c r="V7" s="10">
        <v>105.08041998384678</v>
      </c>
      <c r="W7" s="10">
        <v>31.021691473404868</v>
      </c>
      <c r="X7" s="10">
        <v>2</v>
      </c>
      <c r="Y7" s="10">
        <f t="shared" si="68"/>
        <v>4154</v>
      </c>
      <c r="Z7" s="10">
        <f t="shared" si="12"/>
        <v>205.2392523364486</v>
      </c>
      <c r="AA7" s="10">
        <f t="shared" si="13"/>
        <v>111.82362986038999</v>
      </c>
      <c r="AB7" s="10">
        <f t="shared" si="0"/>
        <v>1499.0168455059422</v>
      </c>
      <c r="AC7" s="10">
        <f t="shared" si="14"/>
        <v>953.66643590631134</v>
      </c>
      <c r="AD7" s="14">
        <f t="shared" si="15"/>
        <v>0.36086106054548439</v>
      </c>
      <c r="AE7" s="14">
        <f t="shared" si="16"/>
        <v>0.22957786131591509</v>
      </c>
      <c r="AF7" s="10">
        <f t="shared" si="17"/>
        <v>644.22326064382139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1.0884823128820602</v>
      </c>
      <c r="AN7" s="48">
        <f t="shared" si="73"/>
        <v>1.0327871790968344</v>
      </c>
      <c r="AO7" s="48">
        <f t="shared" si="73"/>
        <v>0.78765460439626667</v>
      </c>
      <c r="AP7" s="48">
        <f t="shared" si="73"/>
        <v>0.51046744200134719</v>
      </c>
      <c r="AQ7" s="48">
        <f t="shared" si="73"/>
        <v>0.95527601587019306</v>
      </c>
      <c r="AR7" s="48">
        <f t="shared" si="73"/>
        <v>0.96955061376906548</v>
      </c>
      <c r="AS7" s="48">
        <f t="shared" si="73"/>
        <v>1.0157966386103008</v>
      </c>
      <c r="AT7" s="48">
        <f t="shared" si="73"/>
        <v>0.97532446886223001</v>
      </c>
      <c r="AU7" s="48">
        <f t="shared" si="73"/>
        <v>0.98229991010013551</v>
      </c>
      <c r="AV7" s="48">
        <f t="shared" si="73"/>
        <v>0.97416033051473283</v>
      </c>
      <c r="AW7" s="48">
        <f t="shared" si="73"/>
        <v>1.0324766108665031</v>
      </c>
      <c r="AX7" s="48">
        <f t="shared" si="73"/>
        <v>0.97477970183160256</v>
      </c>
      <c r="AY7" s="48">
        <f t="shared" si="73"/>
        <v>0.96891170605141919</v>
      </c>
      <c r="AZ7" s="48">
        <f t="shared" si="73"/>
        <v>0.91247359561520747</v>
      </c>
      <c r="BA7" s="48">
        <f t="shared" si="73"/>
        <v>0.86019478313639219</v>
      </c>
      <c r="BB7" s="48">
        <f t="shared" si="73"/>
        <v>0.73568232237522979</v>
      </c>
      <c r="BC7" s="48">
        <f t="shared" si="73"/>
        <v>0.65017675486003113</v>
      </c>
      <c r="BD7" s="48">
        <f t="shared" si="73"/>
        <v>0.38102752986537841</v>
      </c>
      <c r="BE7" s="48">
        <f t="shared" si="73"/>
        <v>0.20643070596119262</v>
      </c>
      <c r="BF7" s="48">
        <f t="shared" si="73"/>
        <v>1E-3</v>
      </c>
      <c r="BH7" s="7" t="str">
        <f t="shared" si="19"/>
        <v>2030_2</v>
      </c>
      <c r="BI7" s="29">
        <f>BI6</f>
        <v>2030</v>
      </c>
      <c r="BJ7" s="4" t="s">
        <v>22</v>
      </c>
      <c r="BK7" s="10">
        <f>CM7*$AK$14</f>
        <v>69.330049144538719</v>
      </c>
      <c r="BL7" s="10">
        <f>IF(管理者入力シート!$B$14=1,BK4*管理者用人口入力シート!AM$4,IF(管理者入力シート!$B$14=2,BK4*管理者用人口入力シート!AM$8))</f>
        <v>83.728646321209254</v>
      </c>
      <c r="BM7" s="10">
        <f>IF(管理者入力シート!$B$14=1,BL4*管理者用人口入力シート!AN$4,IF(管理者入力シート!$B$14=2,BL4*管理者用人口入力シート!AN$8))</f>
        <v>104.36070755977828</v>
      </c>
      <c r="BN7" s="10">
        <f>IF(管理者入力シート!$B$14=1,BM4*管理者用人口入力シート!AO$4,IF(管理者入力シート!$B$14=2,BM4*管理者用人口入力シート!AO$8))</f>
        <v>114.10395343231224</v>
      </c>
      <c r="BO7" s="10">
        <f>IF(管理者入力シート!$B$14=1,BN4*管理者用人口入力シート!AP$4,IF(管理者入力シート!$B$14=2,BN4*管理者用人口入力シート!AP$8))</f>
        <v>63.355181169137303</v>
      </c>
      <c r="BP7" s="10">
        <f>IF(管理者入力シート!$B$14=1,BO4*管理者用人口入力シート!AQ$4,IF(管理者入力シート!$B$14=2,BO4*管理者用人口入力シート!AQ$8))</f>
        <v>65.701036781358837</v>
      </c>
      <c r="BQ7" s="10">
        <f>IF(管理者入力シート!$B$14=1,BP4*管理者用人口入力シート!AR$4,IF(管理者入力シート!$B$14=2,BP4*管理者用人口入力シート!AR$8))</f>
        <v>79.847217493658093</v>
      </c>
      <c r="BR7" s="10">
        <f>IF(管理者入力シート!$B$14=1,BQ4*管理者用人口入力シート!AS$4,IF(管理者入力シート!$B$14=2,BQ4*管理者用人口入力シート!AS$8))</f>
        <v>86.366823016196292</v>
      </c>
      <c r="BS7" s="10">
        <f>IF(管理者入力シート!$B$14=1,BR4*管理者用人口入力シート!AT$4,IF(管理者入力シート!$B$14=2,BR4*管理者用人口入力シート!AT$8))</f>
        <v>101.33787983517799</v>
      </c>
      <c r="BT7" s="10">
        <f>IF(管理者入力シート!$B$14=1,BS4*管理者用人口入力シート!AU$4,IF(管理者入力シート!$B$14=2,BS4*管理者用人口入力シート!AU$8))</f>
        <v>133.73702091364001</v>
      </c>
      <c r="BU7" s="10">
        <f>IF(管理者入力シート!$B$14=1,BT4*管理者用人口入力シート!AV$4,IF(管理者入力シート!$B$14=2,BT4*管理者用人口入力シート!AV$8))</f>
        <v>191.60614608380953</v>
      </c>
      <c r="BV7" s="10">
        <f>IF(管理者入力シート!$B$14=1,BU4*管理者用人口入力シート!AW$4,IF(管理者入力シート!$B$14=2,BU4*管理者用人口入力シート!AW$8))</f>
        <v>163.41584720464346</v>
      </c>
      <c r="BW7" s="10">
        <f>IF(管理者入力シート!$B$14=1,BV4*管理者用人口入力シート!AX$4,IF(管理者入力シート!$B$14=2,BV4*管理者用人口入力シート!AX$8))</f>
        <v>180.70525463487533</v>
      </c>
      <c r="BX7" s="10">
        <f>IF(管理者入力シート!$B$14=1,BW4*管理者用人口入力シート!AY$4,IF(管理者入力シート!$B$14=2,BW4*管理者用人口入力シート!AY$8))</f>
        <v>206.32517953906444</v>
      </c>
      <c r="BY7" s="10">
        <f>IF(管理者入力シート!$B$14=1,BX4*管理者用人口入力シート!AZ$4,IF(管理者入力シート!$B$14=2,BX4*管理者用人口入力シート!AZ$8))</f>
        <v>285.49095208410063</v>
      </c>
      <c r="BZ7" s="10">
        <f>IF(管理者入力シート!$B$14=1,BY4*管理者用人口入力シート!BA$4,IF(管理者入力シート!$B$14=2,BY4*管理者用人口入力シート!BA$8))</f>
        <v>302.0136126228374</v>
      </c>
      <c r="CA7" s="10">
        <f>IF(管理者入力シート!$B$14=1,BZ4*管理者用人口入力シート!BB$4,IF(管理者入力シート!$B$14=2,BZ4*管理者用人口入力シート!BB$8))</f>
        <v>245.9492751766968</v>
      </c>
      <c r="CB7" s="10">
        <f>IF(管理者入力シート!$B$14=1,CA4*管理者用人口入力シート!BC$4,IF(管理者入力シート!$B$14=2,CA4*管理者用人口入力シート!BC$8))</f>
        <v>136.80413185404814</v>
      </c>
      <c r="CC7" s="10">
        <f>IF(管理者入力シート!$B$14=1,CB4*管理者用人口入力シート!BD$4,IF(管理者入力シート!$B$14=2,CB4*管理者用人口入力シート!BD$8))</f>
        <v>93.372524330640502</v>
      </c>
      <c r="CD7" s="10">
        <f>IF(管理者入力シート!$B$14=1,CC4*管理者用人口入力シート!BE$4,IF(管理者入力シート!$B$14=2,CC4*管理者用人口入力シート!BE$8))</f>
        <v>39.497349547200812</v>
      </c>
      <c r="CE7" s="10">
        <f>IF(管理者入力シート!$B$14=1,CD4*管理者用人口入力シート!BF$4,IF(管理者入力シート!$B$14=2,CD4*管理者用人口入力シート!BF$8))</f>
        <v>9.6142535658249759</v>
      </c>
      <c r="CF7" s="10">
        <f t="shared" si="2"/>
        <v>2756.6630423107486</v>
      </c>
      <c r="CG7" s="10">
        <f t="shared" si="20"/>
        <v>112.8536123285925</v>
      </c>
      <c r="CH7" s="10">
        <f t="shared" si="21"/>
        <v>64.565073710373753</v>
      </c>
      <c r="CI7" s="10">
        <f t="shared" si="3"/>
        <v>1319.0672787204139</v>
      </c>
      <c r="CJ7" s="10">
        <f t="shared" si="22"/>
        <v>827.25114709724858</v>
      </c>
      <c r="CK7" s="14">
        <f t="shared" si="23"/>
        <v>0.47850145573639546</v>
      </c>
      <c r="CL7" s="14">
        <f t="shared" si="24"/>
        <v>0.300091499904106</v>
      </c>
      <c r="CM7" s="10">
        <f t="shared" si="25"/>
        <v>295.27025846035053</v>
      </c>
      <c r="CO7" s="7" t="str">
        <f t="shared" si="26"/>
        <v>2030_2</v>
      </c>
      <c r="CP7" s="29">
        <f>CP6</f>
        <v>2030</v>
      </c>
      <c r="CQ7" s="4" t="s">
        <v>22</v>
      </c>
      <c r="CR7" s="10">
        <f>DT7*$AK$14+将来予測シート②!$H17</f>
        <v>71.260035161133743</v>
      </c>
      <c r="CS7" s="10">
        <f>IF(管理者入力シート!$B$14=1,CR4*管理者用人口入力シート!AM$4,IF(管理者入力シート!$B$14=2,CR4*管理者用人口入力シート!AM$8))+将来予測シート②!$H18</f>
        <v>84.758886232381485</v>
      </c>
      <c r="CT7" s="10">
        <f>IF(管理者入力シート!$B$14=1,CS4*管理者用人口入力シート!AN$4,IF(管理者入力シート!$B$14=2,CS4*管理者用人口入力シート!AN$8))+将来予測シート②!$H19</f>
        <v>105.36070755977828</v>
      </c>
      <c r="CU7" s="10">
        <f>IF(管理者入力シート!$B$14=1,CT4*管理者用人口入力シート!AO$4,IF(管理者入力シート!$B$14=2,CT4*管理者用人口入力シート!AO$8))+将来予測シート②!$H20</f>
        <v>114.96414683647312</v>
      </c>
      <c r="CV7" s="10">
        <f>IF(管理者入力シート!$B$14=1,CU4*管理者用人口入力シート!AP$4,IF(管理者入力シート!$B$14=2,CU4*管理者用人口入力シート!AP$8))+将来予測シート②!$H21</f>
        <v>63.355181169137303</v>
      </c>
      <c r="CW7" s="10">
        <f>IF(管理者入力シート!$B$14=1,CV4*管理者用人口入力シート!AQ$4,IF(管理者入力シート!$B$14=2,CV4*管理者用人口入力シート!AQ$8))+将来予測シート②!$H22</f>
        <v>67.701036781358837</v>
      </c>
      <c r="CX7" s="10">
        <f>IF(管理者入力シート!$B$14=1,CW4*管理者用人口入力シート!AR$4,IF(管理者入力シート!$B$14=2,CW4*管理者用人口入力シート!AR$8))+将来予測シート②!$H23</f>
        <v>81.807941809777461</v>
      </c>
      <c r="CY7" s="10">
        <f>IF(管理者入力シート!$B$14=1,CX4*管理者用人口入力シート!AS$4,IF(管理者入力シート!$B$14=2,CX4*管理者用人口入力シート!AS$8))+将来予測シート②!$H24</f>
        <v>86.366823016196292</v>
      </c>
      <c r="CZ7" s="10">
        <f>IF(管理者入力シート!$B$14=1,CY4*管理者用人口入力シート!AT$4,IF(管理者入力シート!$B$14=2,CY4*管理者用人口入力シート!AT$8))+将来予測シート②!$H25</f>
        <v>102.33787983517799</v>
      </c>
      <c r="DA7" s="10">
        <f>IF(管理者入力シート!$B$14=1,CZ4*管理者用人口入力シート!AU$4,IF(管理者入力シート!$B$14=2,CZ4*管理者用人口入力シート!AU$8))+将来予測シート②!$H26</f>
        <v>134.69422906178855</v>
      </c>
      <c r="DB7" s="10">
        <f>IF(管理者入力シート!$B$14=1,DA4*管理者用人口入力シート!AV$4,IF(管理者入力シート!$B$14=2,DA4*管理者用人口入力シート!AV$8))+将来予測シート②!$H27</f>
        <v>191.60614608380953</v>
      </c>
      <c r="DC7" s="10">
        <f>IF(管理者入力シート!$B$14=1,DB4*管理者用人口入力シート!AW$4,IF(管理者入力シート!$B$14=2,DB4*管理者用人口入力シート!AW$8))+将来予測シート②!$H28</f>
        <v>163.41584720464346</v>
      </c>
      <c r="DD7" s="10">
        <f>IF(管理者入力シート!$B$14=1,DC4*管理者用人口入力シート!AX$4,IF(管理者入力シート!$B$14=2,DC4*管理者用人口入力シート!AX$8))+将来予測シート②!$H29</f>
        <v>180.70525463487533</v>
      </c>
      <c r="DE7" s="10">
        <f>IF(管理者入力シート!$B$14=1,DD4*管理者用人口入力シート!AY$4,IF(管理者入力シート!$B$14=2,DD4*管理者用人口入力シート!AY$8))</f>
        <v>206.32517953906444</v>
      </c>
      <c r="DF7" s="10">
        <f>IF(管理者入力シート!$B$14=1,DE4*管理者用人口入力シート!AZ$4,IF(管理者入力シート!$B$14=2,DE4*管理者用人口入力シート!AZ$8))</f>
        <v>285.49095208410063</v>
      </c>
      <c r="DG7" s="10">
        <f>IF(管理者入力シート!$B$14=1,DF4*管理者用人口入力シート!BA$4,IF(管理者入力シート!$B$14=2,DF4*管理者用人口入力シート!BA$8))</f>
        <v>302.0136126228374</v>
      </c>
      <c r="DH7" s="10">
        <f>IF(管理者入力シート!$B$14=1,DG4*管理者用人口入力シート!BB$4,IF(管理者入力シート!$B$14=2,DG4*管理者用人口入力シート!BB$8))</f>
        <v>245.9492751766968</v>
      </c>
      <c r="DI7" s="10">
        <f>IF(管理者入力シート!$B$14=1,DH4*管理者用人口入力シート!BC$4,IF(管理者入力シート!$B$14=2,DH4*管理者用人口入力シート!BC$8))</f>
        <v>136.80413185404814</v>
      </c>
      <c r="DJ7" s="10">
        <f>IF(管理者入力シート!$B$14=1,DI4*管理者用人口入力シート!BD$4,IF(管理者入力シート!$B$14=2,DI4*管理者用人口入力シート!BD$8))</f>
        <v>93.372524330640502</v>
      </c>
      <c r="DK7" s="10">
        <f>IF(管理者入力シート!$B$14=1,DJ4*管理者用人口入力シート!BE$4,IF(管理者入力シート!$B$14=2,DJ4*管理者用人口入力シート!BE$8))</f>
        <v>39.497349547200812</v>
      </c>
      <c r="DL7" s="10">
        <f>IF(管理者入力シート!$B$14=1,DK4*管理者用人口入力シート!BF$4,IF(管理者入力シート!$B$14=2,DK4*管理者用人口入力シート!BF$8))</f>
        <v>9.6142535658249759</v>
      </c>
      <c r="DM7" s="10">
        <f t="shared" si="69"/>
        <v>2767.4013941069447</v>
      </c>
      <c r="DN7" s="10">
        <f t="shared" si="34"/>
        <v>114.07175627529585</v>
      </c>
      <c r="DO7" s="10">
        <f t="shared" si="35"/>
        <v>65.137112391205932</v>
      </c>
      <c r="DP7" s="10">
        <f t="shared" si="6"/>
        <v>1319.0672787204139</v>
      </c>
      <c r="DQ7" s="10">
        <f t="shared" si="36"/>
        <v>827.25114709724858</v>
      </c>
      <c r="DR7" s="14">
        <f t="shared" si="37"/>
        <v>0.47664472581726225</v>
      </c>
      <c r="DS7" s="14">
        <f t="shared" si="38"/>
        <v>0.29892705440520562</v>
      </c>
      <c r="DT7" s="10">
        <f t="shared" si="70"/>
        <v>299.23098277646989</v>
      </c>
      <c r="DV7" s="7" t="s">
        <v>401</v>
      </c>
      <c r="DW7" s="210">
        <f>(SUM(BK12:BW12)-SUM(D12:P12))/4</f>
        <v>-229.6799724210062</v>
      </c>
      <c r="DX7" s="29">
        <f>DX6</f>
        <v>2030</v>
      </c>
      <c r="DY7" s="4" t="s">
        <v>22</v>
      </c>
      <c r="DZ7" s="10">
        <f>FB7*$AK$14</f>
        <v>158.63418700579132</v>
      </c>
      <c r="EA7" s="10">
        <f>IF(管理者入力シート!$B$14=1,DZ4*管理者用人口入力シート!AM$4,IF(管理者入力シート!$B$14=2,DZ4*管理者用人口入力シート!AM$8))</f>
        <v>83.728646321209254</v>
      </c>
      <c r="EB7" s="10">
        <f>IF(管理者入力シート!$B$14=1,EA4*管理者用人口入力シート!AN$4,IF(管理者入力シート!$B$14=2,EA4*管理者用人口入力シート!AN$8))</f>
        <v>104.36070755977828</v>
      </c>
      <c r="EC7" s="10">
        <f>IF(管理者入力シート!$B$14=1,EB4*管理者用人口入力シート!AO$4,IF(管理者入力シート!$B$14=2,EB4*管理者用人口入力シート!AO$8))</f>
        <v>114.10395343231224</v>
      </c>
      <c r="ED7" s="10">
        <f>IF(管理者入力シート!$B$14=1,EC4*管理者用人口入力シート!AP$4,IF(管理者入力シート!$B$14=2,EC4*管理者用人口入力シート!AP$8))</f>
        <v>63.355181169137303</v>
      </c>
      <c r="EE7" s="10">
        <f>IF(管理者入力シート!$B$14=1,ED4*管理者用人口入力シート!AQ$4,IF(管理者入力シート!$B$14=2,ED4*管理者用人口入力シート!AQ$8))+DX1</f>
        <v>141.70103678135882</v>
      </c>
      <c r="EF7" s="10">
        <f>IF(管理者入力シート!$B$14=1,EE4*管理者用人口入力シート!AR$4,IF(管理者入力シート!$B$14=2,EE4*管理者用人口入力シート!AR$8))+DX1</f>
        <v>230.35474150619396</v>
      </c>
      <c r="EG7" s="10">
        <f>IF(管理者入力シート!$B$14=1,EF4*管理者用人口入力シート!AS$4,IF(管理者入力シート!$B$14=2,EF4*管理者用人口入力シート!AS$8))+DX1</f>
        <v>240.19735145328804</v>
      </c>
      <c r="EH7" s="10">
        <f>IF(管理者入力シート!$B$14=1,EG4*管理者用人口入力シート!AT$4,IF(管理者入力シート!$B$14=2,EG4*管理者用人口入力シート!AT$8))</f>
        <v>175.04142947084478</v>
      </c>
      <c r="EI7" s="10">
        <f>IF(管理者入力シート!$B$14=1,EH4*管理者用人口入力シート!AU$4,IF(管理者入力シート!$B$14=2,EH4*管理者用人口入力シート!AU$8))</f>
        <v>133.73702091364001</v>
      </c>
      <c r="EJ7" s="10">
        <f>IF(管理者入力シート!$B$14=1,EI4*管理者用人口入力シート!AV$4,IF(管理者入力シート!$B$14=2,EI4*管理者用人口入力シート!AV$8))</f>
        <v>191.60614608380953</v>
      </c>
      <c r="EK7" s="10">
        <f>IF(管理者入力シート!$B$14=1,EJ4*管理者用人口入力シート!AW$4,IF(管理者入力シート!$B$14=2,EJ4*管理者用人口入力シート!AW$8))</f>
        <v>163.41584720464346</v>
      </c>
      <c r="EL7" s="10">
        <f>IF(管理者入力シート!$B$14=1,EK4*管理者用人口入力シート!AX$4,IF(管理者入力シート!$B$14=2,EK4*管理者用人口入力シート!AX$8))</f>
        <v>180.70525463487533</v>
      </c>
      <c r="EM7" s="10">
        <f>IF(管理者入力シート!$B$14=1,EL4*管理者用人口入力シート!AY$4,IF(管理者入力シート!$B$14=2,EL4*管理者用人口入力シート!AY$8))</f>
        <v>206.32517953906444</v>
      </c>
      <c r="EN7" s="10">
        <f>IF(管理者入力シート!$B$14=1,EM4*管理者用人口入力シート!AZ$4,IF(管理者入力シート!$B$14=2,EM4*管理者用人口入力シート!AZ$8))</f>
        <v>285.49095208410063</v>
      </c>
      <c r="EO7" s="10">
        <f>IF(管理者入力シート!$B$14=1,EN4*管理者用人口入力シート!BA$4,IF(管理者入力シート!$B$14=2,EN4*管理者用人口入力シート!BA$8))</f>
        <v>302.0136126228374</v>
      </c>
      <c r="EP7" s="10">
        <f>IF(管理者入力シート!$B$14=1,EO4*管理者用人口入力シート!BB$4,IF(管理者入力シート!$B$14=2,EO4*管理者用人口入力シート!BB$8))</f>
        <v>245.9492751766968</v>
      </c>
      <c r="EQ7" s="10">
        <f>IF(管理者入力シート!$B$14=1,EP4*管理者用人口入力シート!BC$4,IF(管理者入力シート!$B$14=2,EP4*管理者用人口入力シート!BC$8))</f>
        <v>136.80413185404814</v>
      </c>
      <c r="ER7" s="10">
        <f>IF(管理者入力シート!$B$14=1,EQ4*管理者用人口入力シート!BD$4,IF(管理者入力シート!$B$14=2,EQ4*管理者用人口入力シート!BD$8))</f>
        <v>93.372524330640502</v>
      </c>
      <c r="ES7" s="10">
        <f>IF(管理者入力シート!$B$14=1,ER4*管理者用人口入力シート!BE$4,IF(管理者入力シート!$B$14=2,ER4*管理者用人口入力シート!BE$8))</f>
        <v>39.497349547200812</v>
      </c>
      <c r="ET7" s="10">
        <f>IF(管理者入力シート!$B$14=1,ES4*管理者用人口入力シート!BF$4,IF(管理者入力シート!$B$14=2,ES4*管理者用人口入力シート!BF$8))</f>
        <v>9.6142535658249759</v>
      </c>
      <c r="EU7" s="10">
        <f t="shared" si="71"/>
        <v>3300.0087822572955</v>
      </c>
      <c r="EV7" s="10">
        <f t="shared" si="41"/>
        <v>112.8536123285925</v>
      </c>
      <c r="EW7" s="10">
        <f t="shared" si="42"/>
        <v>64.565073710373753</v>
      </c>
      <c r="EX7" s="10">
        <f t="shared" si="10"/>
        <v>1319.0672787204139</v>
      </c>
      <c r="EY7" s="10">
        <f t="shared" si="43"/>
        <v>827.25114709724858</v>
      </c>
      <c r="EZ7" s="14">
        <f t="shared" si="44"/>
        <v>0.39971629342699388</v>
      </c>
      <c r="FA7" s="14">
        <f t="shared" si="45"/>
        <v>0.25068149865085704</v>
      </c>
      <c r="FB7" s="10">
        <f t="shared" si="72"/>
        <v>675.60831090997817</v>
      </c>
    </row>
    <row r="8" spans="1:158" x14ac:dyDescent="0.15">
      <c r="A8" s="7" t="str">
        <f t="shared" si="11"/>
        <v>2010_3</v>
      </c>
      <c r="B8" s="30">
        <v>2010</v>
      </c>
      <c r="C8" s="5" t="s">
        <v>23</v>
      </c>
      <c r="D8" s="11">
        <v>275.01234567901236</v>
      </c>
      <c r="E8" s="11">
        <v>363.01869158878503</v>
      </c>
      <c r="F8" s="11">
        <v>385.04672897196258</v>
      </c>
      <c r="G8" s="11">
        <v>366.02469135802471</v>
      </c>
      <c r="H8" s="11">
        <v>251.04638283142955</v>
      </c>
      <c r="I8" s="11">
        <v>309.0557286258221</v>
      </c>
      <c r="J8" s="11">
        <v>362.05907465097494</v>
      </c>
      <c r="K8" s="11">
        <v>381.06207453559477</v>
      </c>
      <c r="L8" s="11">
        <v>358.02169147340487</v>
      </c>
      <c r="M8" s="11">
        <v>395.06807430483445</v>
      </c>
      <c r="N8" s="11">
        <v>591.14249451944158</v>
      </c>
      <c r="O8" s="11">
        <v>661.22660666897423</v>
      </c>
      <c r="P8" s="11">
        <v>643.19856928579668</v>
      </c>
      <c r="Q8" s="11">
        <v>459.1238029306565</v>
      </c>
      <c r="R8" s="11">
        <v>552.22660666897423</v>
      </c>
      <c r="S8" s="11">
        <v>547.20456905503636</v>
      </c>
      <c r="T8" s="11">
        <v>464.22026075920155</v>
      </c>
      <c r="U8" s="11">
        <v>266.13949463482174</v>
      </c>
      <c r="V8" s="11">
        <v>137.08041998384678</v>
      </c>
      <c r="W8" s="11">
        <v>39.021691473404871</v>
      </c>
      <c r="X8" s="11">
        <v>3</v>
      </c>
      <c r="Y8" s="11">
        <f t="shared" si="68"/>
        <v>7809</v>
      </c>
      <c r="Z8" s="11">
        <f t="shared" si="12"/>
        <v>448.83925233644857</v>
      </c>
      <c r="AA8" s="11">
        <f t="shared" si="13"/>
        <v>227.22362986038996</v>
      </c>
      <c r="AB8" s="11">
        <f t="shared" si="0"/>
        <v>2468.016845505942</v>
      </c>
      <c r="AC8" s="11">
        <f t="shared" si="14"/>
        <v>1456.6664359063113</v>
      </c>
      <c r="AD8" s="15">
        <f t="shared" si="15"/>
        <v>0.31604774561479598</v>
      </c>
      <c r="AE8" s="15">
        <f t="shared" si="16"/>
        <v>0.1865368723148049</v>
      </c>
      <c r="AF8" s="11">
        <f t="shared" si="17"/>
        <v>1303.2232606438215</v>
      </c>
      <c r="AH8" s="7"/>
      <c r="AI8" s="30" t="s">
        <v>88</v>
      </c>
      <c r="AJ8" s="5">
        <f>AJ7</f>
        <v>2010</v>
      </c>
      <c r="AK8" s="5">
        <f>AK7</f>
        <v>2020</v>
      </c>
      <c r="AL8" s="33" t="s">
        <v>22</v>
      </c>
      <c r="AM8" s="47">
        <f t="shared" si="73"/>
        <v>1.030239911172228</v>
      </c>
      <c r="AN8" s="47">
        <f t="shared" si="73"/>
        <v>1.0123415075712701</v>
      </c>
      <c r="AO8" s="47">
        <f t="shared" si="73"/>
        <v>0.86019340416088486</v>
      </c>
      <c r="AP8" s="47">
        <f t="shared" si="73"/>
        <v>0.54930522811892502</v>
      </c>
      <c r="AQ8" s="47">
        <f t="shared" si="73"/>
        <v>0.86621748198980175</v>
      </c>
      <c r="AR8" s="47">
        <f t="shared" si="73"/>
        <v>0.98036215805968219</v>
      </c>
      <c r="AS8" s="47">
        <f t="shared" si="73"/>
        <v>1.0240859004880492</v>
      </c>
      <c r="AT8" s="47">
        <f t="shared" si="73"/>
        <v>0.96978354783772069</v>
      </c>
      <c r="AU8" s="47">
        <f t="shared" si="73"/>
        <v>0.95720814814852762</v>
      </c>
      <c r="AV8" s="47">
        <f t="shared" si="73"/>
        <v>1.005224411494906</v>
      </c>
      <c r="AW8" s="47">
        <f t="shared" si="73"/>
        <v>0.97865442419096937</v>
      </c>
      <c r="AX8" s="47">
        <f t="shared" si="73"/>
        <v>1.0140905803408276</v>
      </c>
      <c r="AY8" s="47">
        <f t="shared" si="73"/>
        <v>0.99214215148328311</v>
      </c>
      <c r="AZ8" s="47">
        <f t="shared" si="73"/>
        <v>0.97815572131742978</v>
      </c>
      <c r="BA8" s="47">
        <f t="shared" si="73"/>
        <v>0.9494440662003415</v>
      </c>
      <c r="BB8" s="47">
        <f t="shared" si="73"/>
        <v>0.83765200844743926</v>
      </c>
      <c r="BC8" s="47">
        <f t="shared" si="73"/>
        <v>0.72220776848693335</v>
      </c>
      <c r="BD8" s="47">
        <f t="shared" si="73"/>
        <v>0.53386574332500103</v>
      </c>
      <c r="BE8" s="47">
        <f t="shared" si="73"/>
        <v>0.35536706962412751</v>
      </c>
      <c r="BF8" s="47">
        <f t="shared" si="73"/>
        <v>0.24807974914044387</v>
      </c>
      <c r="BH8" s="7" t="str">
        <f t="shared" si="19"/>
        <v>2030_3</v>
      </c>
      <c r="BI8" s="30">
        <f>BI7</f>
        <v>2030</v>
      </c>
      <c r="BJ8" s="5" t="s">
        <v>23</v>
      </c>
      <c r="BK8" s="16">
        <f>BK6+BK7</f>
        <v>133.76668462750376</v>
      </c>
      <c r="BL8" s="16">
        <f t="shared" ref="BL8" si="74">BL6+BL7</f>
        <v>165.9469332724355</v>
      </c>
      <c r="BM8" s="16">
        <f t="shared" ref="BM8" si="75">BM6+BM7</f>
        <v>208.90857125967653</v>
      </c>
      <c r="BN8" s="16">
        <f t="shared" ref="BN8" si="76">BN6+BN7</f>
        <v>217.42642437822889</v>
      </c>
      <c r="BO8" s="16">
        <f t="shared" ref="BO8" si="77">BO6+BO7</f>
        <v>126.49615519382462</v>
      </c>
      <c r="BP8" s="16">
        <f t="shared" ref="BP8" si="78">BP6+BP7</f>
        <v>144.69828006605115</v>
      </c>
      <c r="BQ8" s="16">
        <f t="shared" ref="BQ8" si="79">BQ6+BQ7</f>
        <v>161.36382929556584</v>
      </c>
      <c r="BR8" s="16">
        <f t="shared" ref="BR8" si="80">BR6+BR7</f>
        <v>164.18404758693751</v>
      </c>
      <c r="BS8" s="16">
        <f t="shared" ref="BS8" si="81">BS6+BS7</f>
        <v>223.21069846968834</v>
      </c>
      <c r="BT8" s="16">
        <f t="shared" ref="BT8" si="82">BT6+BT7</f>
        <v>280.34525974504538</v>
      </c>
      <c r="BU8" s="16">
        <f t="shared" ref="BU8" si="83">BU6+BU7</f>
        <v>351.44866863755647</v>
      </c>
      <c r="BV8" s="16">
        <f t="shared" ref="BV8" si="84">BV6+BV7</f>
        <v>371.69435664932041</v>
      </c>
      <c r="BW8" s="16">
        <f t="shared" ref="BW8" si="85">BW6+BW7</f>
        <v>336.74223912323316</v>
      </c>
      <c r="BX8" s="16">
        <f t="shared" ref="BX8" si="86">BX6+BX7</f>
        <v>383.91109858737525</v>
      </c>
      <c r="BY8" s="16">
        <f t="shared" ref="BY8" si="87">BY6+BY7</f>
        <v>532.24847845209263</v>
      </c>
      <c r="BZ8" s="16">
        <f t="shared" ref="BZ8" si="88">BZ6+BZ7</f>
        <v>568.2595138218328</v>
      </c>
      <c r="CA8" s="16">
        <f t="shared" ref="CA8" si="89">CA6+CA7</f>
        <v>419.39403284900709</v>
      </c>
      <c r="CB8" s="16">
        <f t="shared" ref="CB8" si="90">CB6+CB7</f>
        <v>219.61001308064135</v>
      </c>
      <c r="CC8" s="16">
        <f t="shared" ref="CC8" si="91">CC6+CC7</f>
        <v>133.27720247925333</v>
      </c>
      <c r="CD8" s="16">
        <f t="shared" ref="CD8" si="92">CD6+CD7</f>
        <v>47.99830302309536</v>
      </c>
      <c r="CE8" s="16">
        <f t="shared" ref="CE8" si="93">CE6+CE7</f>
        <v>9.62396385175993</v>
      </c>
      <c r="CF8" s="11">
        <f t="shared" si="2"/>
        <v>5200.5547544501251</v>
      </c>
      <c r="CG8" s="11">
        <f t="shared" si="20"/>
        <v>224.91330271926722</v>
      </c>
      <c r="CH8" s="11">
        <f t="shared" si="21"/>
        <v>127.04871337951639</v>
      </c>
      <c r="CI8" s="11">
        <f t="shared" si="3"/>
        <v>2314.3226061450582</v>
      </c>
      <c r="CJ8" s="11">
        <f t="shared" si="22"/>
        <v>1398.1630291055901</v>
      </c>
      <c r="CK8" s="15">
        <f t="shared" si="23"/>
        <v>0.44501456391064581</v>
      </c>
      <c r="CL8" s="15">
        <f t="shared" si="24"/>
        <v>0.26884882385079767</v>
      </c>
      <c r="CM8" s="11">
        <f t="shared" si="25"/>
        <v>596.74231214237909</v>
      </c>
      <c r="CO8" s="7" t="str">
        <f t="shared" si="26"/>
        <v>2030_3</v>
      </c>
      <c r="CP8" s="30">
        <f>CP7</f>
        <v>2030</v>
      </c>
      <c r="CQ8" s="5" t="s">
        <v>23</v>
      </c>
      <c r="CR8" s="16">
        <f>CR6+CR7</f>
        <v>137.56101692244422</v>
      </c>
      <c r="CS8" s="16">
        <f t="shared" ref="CS8" si="94">CS6+CS7</f>
        <v>168.0656554964898</v>
      </c>
      <c r="CT8" s="16">
        <f t="shared" ref="CT8" si="95">CT6+CT7</f>
        <v>210.90857125967653</v>
      </c>
      <c r="CU8" s="16">
        <f t="shared" ref="CU8" si="96">CU6+CU7</f>
        <v>219.07427238678602</v>
      </c>
      <c r="CV8" s="16">
        <f t="shared" ref="CV8" si="97">CV6+CV7</f>
        <v>126.49615519382462</v>
      </c>
      <c r="CW8" s="16">
        <f t="shared" ref="CW8" si="98">CW6+CW7</f>
        <v>148.69828006605115</v>
      </c>
      <c r="CX8" s="16">
        <f t="shared" ref="CX8" si="99">CX6+CX7</f>
        <v>165.26365483922334</v>
      </c>
      <c r="CY8" s="16">
        <f t="shared" ref="CY8" si="100">CY6+CY7</f>
        <v>164.18404758693751</v>
      </c>
      <c r="CZ8" s="16">
        <f t="shared" ref="CZ8" si="101">CZ6+CZ7</f>
        <v>224.21069846968834</v>
      </c>
      <c r="DA8" s="16">
        <f t="shared" ref="DA8" si="102">DA6+DA7</f>
        <v>281.30246789319392</v>
      </c>
      <c r="DB8" s="16">
        <f t="shared" ref="DB8" si="103">DB6+DB7</f>
        <v>351.44866863755647</v>
      </c>
      <c r="DC8" s="16">
        <f t="shared" ref="DC8" si="104">DC6+DC7</f>
        <v>371.69435664932041</v>
      </c>
      <c r="DD8" s="16">
        <f t="shared" ref="DD8" si="105">DD6+DD7</f>
        <v>336.74223912323316</v>
      </c>
      <c r="DE8" s="16">
        <f t="shared" ref="DE8" si="106">DE6+DE7</f>
        <v>383.91109858737525</v>
      </c>
      <c r="DF8" s="16">
        <f t="shared" ref="DF8" si="107">DF6+DF7</f>
        <v>532.24847845209263</v>
      </c>
      <c r="DG8" s="16">
        <f t="shared" ref="DG8" si="108">DG6+DG7</f>
        <v>568.2595138218328</v>
      </c>
      <c r="DH8" s="16">
        <f t="shared" ref="DH8" si="109">DH6+DH7</f>
        <v>419.39403284900709</v>
      </c>
      <c r="DI8" s="16">
        <f t="shared" ref="DI8" si="110">DI6+DI7</f>
        <v>219.61001308064135</v>
      </c>
      <c r="DJ8" s="16">
        <f t="shared" ref="DJ8" si="111">DJ6+DJ7</f>
        <v>133.27720247925333</v>
      </c>
      <c r="DK8" s="16">
        <f t="shared" ref="DK8" si="112">DK6+DK7</f>
        <v>47.99830302309536</v>
      </c>
      <c r="DL8" s="16">
        <f t="shared" ref="DL8" si="113">DL6+DL7</f>
        <v>9.62396385175993</v>
      </c>
      <c r="DM8" s="11">
        <f t="shared" si="69"/>
        <v>5219.9726906694832</v>
      </c>
      <c r="DN8" s="11">
        <f t="shared" si="34"/>
        <v>227.38453605369978</v>
      </c>
      <c r="DO8" s="11">
        <f t="shared" si="35"/>
        <v>128.17828298122782</v>
      </c>
      <c r="DP8" s="11">
        <f t="shared" si="6"/>
        <v>2314.3226061450582</v>
      </c>
      <c r="DQ8" s="11">
        <f t="shared" si="36"/>
        <v>1398.1630291055901</v>
      </c>
      <c r="DR8" s="15">
        <f t="shared" si="37"/>
        <v>0.44335914061041509</v>
      </c>
      <c r="DS8" s="15">
        <f t="shared" si="38"/>
        <v>0.2678487248802579</v>
      </c>
      <c r="DT8" s="11">
        <f t="shared" si="70"/>
        <v>604.64213768603656</v>
      </c>
      <c r="DV8" s="7" t="s">
        <v>402</v>
      </c>
      <c r="DW8" s="210">
        <f>(SUM(BK13:BW13)-SUM(D13:P13))/4</f>
        <v>-228.11202520851566</v>
      </c>
      <c r="DX8" s="30">
        <f>DX7</f>
        <v>2030</v>
      </c>
      <c r="DY8" s="5" t="s">
        <v>23</v>
      </c>
      <c r="DZ8" s="16">
        <f>DZ6+DZ7</f>
        <v>306.07174704441536</v>
      </c>
      <c r="EA8" s="16">
        <f t="shared" ref="EA8:ET8" si="114">EA6+EA7</f>
        <v>165.9469332724355</v>
      </c>
      <c r="EB8" s="16">
        <f t="shared" si="114"/>
        <v>208.90857125967653</v>
      </c>
      <c r="EC8" s="16">
        <f t="shared" si="114"/>
        <v>217.42642437822889</v>
      </c>
      <c r="ED8" s="16">
        <f t="shared" si="114"/>
        <v>126.49615519382462</v>
      </c>
      <c r="EE8" s="16">
        <f t="shared" si="114"/>
        <v>296.69828006605115</v>
      </c>
      <c r="EF8" s="16">
        <f t="shared" si="114"/>
        <v>461.5571999545507</v>
      </c>
      <c r="EG8" s="16">
        <f t="shared" si="114"/>
        <v>471.21512055841208</v>
      </c>
      <c r="EH8" s="16">
        <f t="shared" si="114"/>
        <v>371.03890773888463</v>
      </c>
      <c r="EI8" s="16">
        <f t="shared" si="114"/>
        <v>280.34525974504538</v>
      </c>
      <c r="EJ8" s="16">
        <f t="shared" si="114"/>
        <v>351.44866863755647</v>
      </c>
      <c r="EK8" s="16">
        <f t="shared" si="114"/>
        <v>371.69435664932041</v>
      </c>
      <c r="EL8" s="16">
        <f t="shared" si="114"/>
        <v>336.74223912323316</v>
      </c>
      <c r="EM8" s="16">
        <f t="shared" si="114"/>
        <v>383.91109858737525</v>
      </c>
      <c r="EN8" s="16">
        <f t="shared" si="114"/>
        <v>532.24847845209263</v>
      </c>
      <c r="EO8" s="16">
        <f t="shared" si="114"/>
        <v>568.2595138218328</v>
      </c>
      <c r="EP8" s="16">
        <f t="shared" si="114"/>
        <v>419.39403284900709</v>
      </c>
      <c r="EQ8" s="16">
        <f t="shared" si="114"/>
        <v>219.61001308064135</v>
      </c>
      <c r="ER8" s="16">
        <f t="shared" si="114"/>
        <v>133.27720247925333</v>
      </c>
      <c r="ES8" s="16">
        <f t="shared" si="114"/>
        <v>47.99830302309536</v>
      </c>
      <c r="ET8" s="16">
        <f t="shared" si="114"/>
        <v>9.62396385175993</v>
      </c>
      <c r="EU8" s="11">
        <f t="shared" si="71"/>
        <v>6279.912469766693</v>
      </c>
      <c r="EV8" s="11">
        <f t="shared" si="41"/>
        <v>224.91330271926722</v>
      </c>
      <c r="EW8" s="11">
        <f t="shared" si="42"/>
        <v>127.04871337951639</v>
      </c>
      <c r="EX8" s="11">
        <f t="shared" si="10"/>
        <v>2314.3226061450582</v>
      </c>
      <c r="EY8" s="11">
        <f t="shared" si="43"/>
        <v>1398.1630291055901</v>
      </c>
      <c r="EZ8" s="15">
        <f t="shared" si="44"/>
        <v>0.36852784450211268</v>
      </c>
      <c r="FA8" s="15">
        <f t="shared" si="45"/>
        <v>0.22264052816607707</v>
      </c>
      <c r="FB8" s="11">
        <f t="shared" si="72"/>
        <v>1355.9667557728385</v>
      </c>
    </row>
    <row r="9" spans="1:158" x14ac:dyDescent="0.15">
      <c r="A9" s="7" t="str">
        <f t="shared" si="11"/>
        <v>2015_1</v>
      </c>
      <c r="B9" s="28">
        <v>2015</v>
      </c>
      <c r="C9" s="3" t="s">
        <v>21</v>
      </c>
      <c r="D9" s="9">
        <v>118</v>
      </c>
      <c r="E9" s="9">
        <v>153</v>
      </c>
      <c r="F9" s="9">
        <v>212</v>
      </c>
      <c r="G9" s="9">
        <v>164</v>
      </c>
      <c r="H9" s="9">
        <v>84</v>
      </c>
      <c r="I9" s="9">
        <v>130</v>
      </c>
      <c r="J9" s="9">
        <v>151</v>
      </c>
      <c r="K9" s="9">
        <v>168</v>
      </c>
      <c r="L9" s="9">
        <v>199</v>
      </c>
      <c r="M9" s="9">
        <v>153</v>
      </c>
      <c r="N9" s="9">
        <v>177</v>
      </c>
      <c r="O9" s="9">
        <v>287</v>
      </c>
      <c r="P9" s="9">
        <v>341</v>
      </c>
      <c r="Q9" s="9">
        <v>302</v>
      </c>
      <c r="R9" s="9">
        <v>200</v>
      </c>
      <c r="S9" s="9">
        <v>212</v>
      </c>
      <c r="T9" s="9">
        <v>156</v>
      </c>
      <c r="U9" s="9">
        <v>108</v>
      </c>
      <c r="V9" s="9">
        <v>22</v>
      </c>
      <c r="W9" s="9">
        <v>5</v>
      </c>
      <c r="X9" s="9">
        <v>0</v>
      </c>
      <c r="Y9" s="9">
        <f t="shared" si="68"/>
        <v>3342</v>
      </c>
      <c r="Z9" s="9">
        <f t="shared" si="12"/>
        <v>219</v>
      </c>
      <c r="AA9" s="9">
        <f t="shared" si="13"/>
        <v>117.6</v>
      </c>
      <c r="AB9" s="9">
        <f t="shared" si="0"/>
        <v>1005</v>
      </c>
      <c r="AC9" s="9">
        <f t="shared" si="14"/>
        <v>503</v>
      </c>
      <c r="AD9" s="13">
        <f t="shared" si="15"/>
        <v>0.3007181328545781</v>
      </c>
      <c r="AE9" s="13">
        <f t="shared" si="16"/>
        <v>0.15050867743865948</v>
      </c>
      <c r="AF9" s="9">
        <f t="shared" si="17"/>
        <v>533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57.555476847487455</v>
      </c>
      <c r="BL9" s="9">
        <f>IF(管理者入力シート!$B$14=1,BK6*管理者用人口入力シート!AM$3,IF(管理者入力シート!$B$14=2,BK6*管理者用人口入力シート!AM$7))</f>
        <v>70.138138024836024</v>
      </c>
      <c r="BM9" s="9">
        <f>IF(管理者入力シート!$B$14=1,BL6*管理者用人口入力シート!AN$3,IF(管理者入力シート!$B$14=2,BL6*管理者用人口入力シート!AN$7))</f>
        <v>84.913992650531043</v>
      </c>
      <c r="BN9" s="9">
        <f>IF(管理者入力シート!$B$14=1,BM6*管理者用人口入力シート!AO$3,IF(管理者入力シート!$B$14=2,BM6*管理者用人口入力シート!AO$7))</f>
        <v>82.347606223018175</v>
      </c>
      <c r="BO9" s="9">
        <f>IF(管理者入力シート!$B$14=1,BN6*管理者用人口入力シート!AP$3,IF(管理者入力シート!$B$14=2,BN6*管理者用人口入力シート!AP$7))</f>
        <v>52.74275744502058</v>
      </c>
      <c r="BP9" s="9">
        <f>IF(管理者入力シート!$B$14=1,BO6*管理者用人口入力シート!AQ$3,IF(管理者入力シート!$B$14=2,BO6*管理者用人口入力シート!AQ$7))</f>
        <v>60.317058104466646</v>
      </c>
      <c r="BQ9" s="9">
        <f>IF(管理者入力シート!$B$14=1,BP6*管理者用人口入力シート!AR$3,IF(管理者入力シート!$B$14=2,BP6*管理者用人口入力シート!AR$7))</f>
        <v>76.591825712737617</v>
      </c>
      <c r="BR9" s="9">
        <f>IF(管理者入力シート!$B$14=1,BQ6*管理者用人口入力シート!AS$3,IF(管理者入力シート!$B$14=2,BQ6*管理者用人口入力シート!AS$7))</f>
        <v>82.804300259278662</v>
      </c>
      <c r="BS9" s="9">
        <f>IF(管理者入力シート!$B$14=1,BR6*管理者用人口入力シート!AT$3,IF(管理者入力シート!$B$14=2,BR6*管理者用人口入力シート!AT$7))</f>
        <v>75.897043222791055</v>
      </c>
      <c r="BT9" s="9">
        <f>IF(管理者入力シート!$B$14=1,BS6*管理者用人口入力シート!AU$3,IF(管理者入力シート!$B$14=2,BS6*管理者用人口入力シート!AU$7))</f>
        <v>119.71565878832963</v>
      </c>
      <c r="BU9" s="9">
        <f>IF(管理者入力シート!$B$14=1,BT6*管理者用人口入力シート!AV$3,IF(管理者入力シート!$B$14=2,BT6*管理者用人口入力シート!AV$7))</f>
        <v>142.81993039618476</v>
      </c>
      <c r="BV9" s="9">
        <f>IF(管理者入力シート!$B$14=1,BU6*管理者用人口入力シート!AW$3,IF(管理者入力シート!$B$14=2,BU6*管理者用人口入力シート!AW$7))</f>
        <v>165.03366595864523</v>
      </c>
      <c r="BW9" s="9">
        <f>IF(管理者入力シート!$B$14=1,BV6*管理者用人口入力シート!AX$3,IF(管理者入力シート!$B$14=2,BV6*管理者用人口入力シート!AX$7))</f>
        <v>203.02566333441283</v>
      </c>
      <c r="BX9" s="9">
        <f>IF(管理者入力シート!$B$14=1,BW6*管理者用人口入力シート!AY$3,IF(管理者入力シート!$B$14=2,BW6*管理者用人口入力シート!AY$7))</f>
        <v>151.18606084773359</v>
      </c>
      <c r="BY9" s="9">
        <f>IF(管理者入力シート!$B$14=1,BX6*管理者用人口入力シート!AZ$3,IF(管理者入力シート!$B$14=2,BX6*管理者用人口入力シート!AZ$7))</f>
        <v>162.04246208464329</v>
      </c>
      <c r="BZ9" s="9">
        <f>IF(管理者入力シート!$B$14=1,BY6*管理者用人口入力シート!BA$3,IF(管理者入力シート!$B$14=2,BY6*管理者用人口入力シート!BA$7))</f>
        <v>212.25953688138745</v>
      </c>
      <c r="CA9" s="9">
        <f>IF(管理者入力シート!$B$14=1,BZ6*管理者用人口入力シート!BB$3,IF(管理者入力シート!$B$14=2,BZ6*管理者用人口入力シート!BB$7))</f>
        <v>195.87240291696287</v>
      </c>
      <c r="CB9" s="9">
        <f>IF(管理者入力シート!$B$14=1,CA6*管理者用人口入力シート!BC$3,IF(管理者入力シート!$B$14=2,CA6*管理者用人口入力シート!BC$7))</f>
        <v>112.7697496908672</v>
      </c>
      <c r="CC9" s="9">
        <f>IF(管理者入力シート!$B$14=1,CB6*管理者用人口入力シート!BD$3,IF(管理者入力シート!$B$14=2,CB6*管理者用人口入力シート!BD$7))</f>
        <v>31.551320382094719</v>
      </c>
      <c r="CD9" s="9">
        <f>IF(管理者入力シート!$B$14=1,CC6*管理者用人口入力シート!BE$3,IF(管理者入力シート!$B$14=2,CC6*管理者用人口入力シート!BE$7))</f>
        <v>8.2375508813723197</v>
      </c>
      <c r="CE9" s="9">
        <f>IF(管理者入力シート!$B$14=1,CD6*管理者用人口入力シート!BF$3,IF(管理者入力シート!$B$14=2,CD6*管理者用人口入力シート!BF$7))</f>
        <v>8.5009534758945498E-3</v>
      </c>
      <c r="CF9" s="9">
        <f t="shared" si="2"/>
        <v>2147.8307016062777</v>
      </c>
      <c r="CG9" s="9">
        <f t="shared" si="20"/>
        <v>93.031278405220235</v>
      </c>
      <c r="CH9" s="9">
        <f t="shared" si="21"/>
        <v>50.435118304816051</v>
      </c>
      <c r="CI9" s="9">
        <f t="shared" si="3"/>
        <v>873.92758463853727</v>
      </c>
      <c r="CJ9" s="9">
        <f t="shared" si="22"/>
        <v>560.69906170616036</v>
      </c>
      <c r="CK9" s="13">
        <f t="shared" si="23"/>
        <v>0.40688848706043795</v>
      </c>
      <c r="CL9" s="13">
        <f t="shared" si="24"/>
        <v>0.26105365813368608</v>
      </c>
      <c r="CM9" s="9">
        <f t="shared" si="25"/>
        <v>272.45594152150352</v>
      </c>
      <c r="CO9" s="7" t="str">
        <f t="shared" si="26"/>
        <v>2035_1</v>
      </c>
      <c r="CP9" s="28">
        <f>管理者入力シート!B10</f>
        <v>2035</v>
      </c>
      <c r="CQ9" s="3" t="s">
        <v>21</v>
      </c>
      <c r="CR9" s="9">
        <f>DT10*$AK$13+将来予測シート②!$G17</f>
        <v>59.961132041566366</v>
      </c>
      <c r="CS9" s="9">
        <f>IF(管理者入力シート!$B$14=1,CR6*管理者用人口入力シート!AM$3,IF(管理者入力シート!$B$14=2,CR6*管理者用人口入力シート!AM$7))+将来予測シート②!$G18</f>
        <v>72.167445973902517</v>
      </c>
      <c r="CT9" s="9">
        <f>IF(管理者入力シート!$B$14=1,CS6*管理者用人口入力シート!AN$3,IF(管理者入力シート!$B$14=2,CS6*管理者用人口入力シート!AN$7))+将来予測シート②!$G19</f>
        <v>87.038163227949298</v>
      </c>
      <c r="CU9" s="9">
        <f>IF(管理者入力シート!$B$14=1,CT6*管理者用人口入力シート!AO$3,IF(管理者入力シート!$B$14=2,CT6*管理者用人口入力シート!AO$7))+将来予測シート②!$G20</f>
        <v>83.135260827414442</v>
      </c>
      <c r="CV9" s="9">
        <f>IF(管理者入力シート!$B$14=1,CU6*管理者用人口入力シート!AP$3,IF(管理者入力シート!$B$14=2,CU6*管理者用人口入力シート!AP$7))+将来予測シート②!$G21</f>
        <v>53.144829476107326</v>
      </c>
      <c r="CW9" s="9">
        <f>IF(管理者入力シート!$B$14=1,CV6*管理者用人口入力シート!AQ$3,IF(管理者入力シート!$B$14=2,CV6*管理者用人口入力シート!AQ$7))+将来予測シート②!$G22</f>
        <v>62.317058104466646</v>
      </c>
      <c r="CX9" s="9">
        <f>IF(管理者入力シート!$B$14=1,CW6*管理者用人口入力シート!AR$3,IF(管理者入力シート!$B$14=2,CW6*管理者用人口入力シート!AR$7))+将来予測シート②!$G23</f>
        <v>78.530926940275748</v>
      </c>
      <c r="CY9" s="9">
        <f>IF(管理者入力シート!$B$14=1,CX6*管理者用人口入力シート!AS$3,IF(管理者入力シート!$B$14=2,CX6*管理者用人口入力シート!AS$7))+将来予測シート②!$G24</f>
        <v>84.774032768137005</v>
      </c>
      <c r="CZ9" s="9">
        <f>IF(管理者入力シート!$B$14=1,CY6*管理者用人口入力シート!AT$3,IF(管理者入力シート!$B$14=2,CY6*管理者用人口入力シート!AT$7))+将来予測シート②!$G25</f>
        <v>75.897043222791055</v>
      </c>
      <c r="DA9" s="9">
        <f>IF(管理者入力シート!$B$14=1,CZ6*管理者用人口入力シート!AU$3,IF(管理者入力シート!$B$14=2,CZ6*管理者用人口入力シート!AU$7))+将来予測シート②!$G26</f>
        <v>119.71565878832963</v>
      </c>
      <c r="DB9" s="9">
        <f>IF(管理者入力シート!$B$14=1,DA6*管理者用人口入力シート!AV$3,IF(管理者入力シート!$B$14=2,DA6*管理者用人口入力シート!AV$7))+将来予測シート②!$G27</f>
        <v>142.81993039618476</v>
      </c>
      <c r="DC9" s="9">
        <f>IF(管理者入力シート!$B$14=1,DB6*管理者用人口入力シート!AW$3,IF(管理者入力シート!$B$14=2,DB6*管理者用人口入力シート!AW$7))+将来予測シート②!$G28</f>
        <v>165.03366595864523</v>
      </c>
      <c r="DD9" s="9">
        <f>IF(管理者入力シート!$B$14=1,DC6*管理者用人口入力シート!AX$3,IF(管理者入力シート!$B$14=2,DC6*管理者用人口入力シート!AX$7))+将来予測シート②!$G29</f>
        <v>203.02566333441283</v>
      </c>
      <c r="DE9" s="9">
        <f>IF(管理者入力シート!$B$14=1,DD6*管理者用人口入力シート!AY$3,IF(管理者入力シート!$B$14=2,DD6*管理者用人口入力シート!AY$7))</f>
        <v>151.18606084773359</v>
      </c>
      <c r="DF9" s="9">
        <f>IF(管理者入力シート!$B$14=1,DE6*管理者用人口入力シート!AZ$3,IF(管理者入力シート!$B$14=2,DE6*管理者用人口入力シート!AZ$7))</f>
        <v>162.04246208464329</v>
      </c>
      <c r="DG9" s="9">
        <f>IF(管理者入力シート!$B$14=1,DF6*管理者用人口入力シート!BA$3,IF(管理者入力シート!$B$14=2,DF6*管理者用人口入力シート!BA$7))</f>
        <v>212.25953688138745</v>
      </c>
      <c r="DH9" s="9">
        <f>IF(管理者入力シート!$B$14=1,DG6*管理者用人口入力シート!BB$3,IF(管理者入力シート!$B$14=2,DG6*管理者用人口入力シート!BB$7))</f>
        <v>195.87240291696287</v>
      </c>
      <c r="DI9" s="9">
        <f>IF(管理者入力シート!$B$14=1,DH6*管理者用人口入力シート!BC$3,IF(管理者入力シート!$B$14=2,DH6*管理者用人口入力シート!BC$7))</f>
        <v>112.7697496908672</v>
      </c>
      <c r="DJ9" s="9">
        <f>IF(管理者入力シート!$B$14=1,DI6*管理者用人口入力シート!BD$3,IF(管理者入力シート!$B$14=2,DI6*管理者用人口入力シート!BD$7))</f>
        <v>31.551320382094719</v>
      </c>
      <c r="DK9" s="9">
        <f>IF(管理者入力シート!$B$14=1,DJ6*管理者用人口入力シート!BE$3,IF(管理者入力シート!$B$14=2,DJ6*管理者用人口入力シート!BE$7))</f>
        <v>8.2375508813723197</v>
      </c>
      <c r="DL9" s="9">
        <f>IF(管理者入力シート!$B$14=1,DK6*管理者用人口入力シート!BF$3,IF(管理者入力シート!$B$14=2,DK6*管理者用人口入力シート!BF$7))</f>
        <v>8.5009534758945498E-3</v>
      </c>
      <c r="DM9" s="9">
        <f t="shared" si="69"/>
        <v>2161.4883956987205</v>
      </c>
      <c r="DN9" s="9">
        <f t="shared" si="34"/>
        <v>95.523365521111089</v>
      </c>
      <c r="DO9" s="9">
        <f t="shared" si="35"/>
        <v>51.442317456662607</v>
      </c>
      <c r="DP9" s="9">
        <f t="shared" si="6"/>
        <v>873.92758463853727</v>
      </c>
      <c r="DQ9" s="9">
        <f t="shared" si="36"/>
        <v>560.69906170616036</v>
      </c>
      <c r="DR9" s="13">
        <f t="shared" si="37"/>
        <v>0.40431750009744205</v>
      </c>
      <c r="DS9" s="13">
        <f t="shared" si="38"/>
        <v>0.25940415077958784</v>
      </c>
      <c r="DT9" s="9">
        <f t="shared" si="70"/>
        <v>278.7668472889867</v>
      </c>
      <c r="DV9" s="7" t="s">
        <v>403</v>
      </c>
      <c r="DW9" s="210">
        <f>DW7+DW8</f>
        <v>-457.79199762952186</v>
      </c>
      <c r="DX9" s="28">
        <f>管理者入力シート!B10</f>
        <v>2035</v>
      </c>
      <c r="DY9" s="3" t="s">
        <v>21</v>
      </c>
      <c r="DZ9" s="9">
        <f>FB10*$AK$13</f>
        <v>157.2077598589695</v>
      </c>
      <c r="EA9" s="129">
        <f>IF(管理者入力シート!$B$14=1,DZ6*管理者用人口入力シート!AM$3,IF(管理者入力シート!$B$14=2,DZ6*管理者用人口入力シート!AM$7))</f>
        <v>160.48317635652916</v>
      </c>
      <c r="EB9" s="9">
        <f>IF(管理者入力シート!$B$14=1,EA6*管理者用人口入力シート!AN$3,IF(管理者入力シート!$B$14=2,EA6*管理者用人口入力シート!AN$7))</f>
        <v>84.913992650531043</v>
      </c>
      <c r="EC9" s="9">
        <f>IF(管理者入力シート!$B$14=1,EB6*管理者用人口入力シート!AO$3,IF(管理者入力シート!$B$14=2,EB6*管理者用人口入力シート!AO$7))</f>
        <v>82.347606223018175</v>
      </c>
      <c r="ED9" s="9">
        <f>IF(管理者入力シート!$B$14=1,EC6*管理者用人口入力シート!AP$3,IF(管理者入力シート!$B$14=2,EC6*管理者用人口入力シート!AP$7))</f>
        <v>52.74275744502058</v>
      </c>
      <c r="EE9" s="9">
        <f>IF(管理者入力シート!$B$14=1,ED6*管理者用人口入力シート!AQ$3,IF(管理者入力シート!$B$14=2,ED6*管理者用人口入力シート!AQ$7))+DX1</f>
        <v>136.31705810446664</v>
      </c>
      <c r="EF9" s="9">
        <f>IF(管理者入力シート!$B$14=1,EE6*管理者用人口入力シート!AR$3,IF(管理者入力シート!$B$14=2,EE6*管理者用人口入力シート!AR$7))+DX1</f>
        <v>226.27767235918662</v>
      </c>
      <c r="EG9" s="9">
        <f>IF(管理者入力シート!$B$14=1,EF6*管理者用人口入力シート!AS$3,IF(管理者入力シート!$B$14=2,EF6*管理者用人口入力シート!AS$7))+DX1</f>
        <v>310.85468013027855</v>
      </c>
      <c r="EH9" s="9">
        <f>IF(管理者入力シート!$B$14=1,EG6*管理者用人口入力シート!AT$3,IF(管理者入力シート!$B$14=2,EG6*管理者用人口入力シート!AT$7))</f>
        <v>225.31728295019244</v>
      </c>
      <c r="EI9" s="9">
        <f>IF(管理者入力シート!$B$14=1,EH6*管理者用人口入力シート!AU$3,IF(管理者入力シート!$B$14=2,EH6*管理者用人口入力シート!AU$7))</f>
        <v>192.52830528254879</v>
      </c>
      <c r="EJ9" s="9">
        <f>IF(管理者入力シート!$B$14=1,EI6*管理者用人口入力シート!AV$3,IF(管理者入力シート!$B$14=2,EI6*管理者用人口入力シート!AV$7))</f>
        <v>142.81993039618476</v>
      </c>
      <c r="EK9" s="9">
        <f>IF(管理者入力シート!$B$14=1,EJ6*管理者用人口入力シート!AW$3,IF(管理者入力シート!$B$14=2,EJ6*管理者用人口入力シート!AW$7))</f>
        <v>165.03366595864523</v>
      </c>
      <c r="EL9" s="9">
        <f>IF(管理者入力シート!$B$14=1,EK6*管理者用人口入力シート!AX$3,IF(管理者入力シート!$B$14=2,EK6*管理者用人口入力シート!AX$7))</f>
        <v>203.02566333441283</v>
      </c>
      <c r="EM9" s="9">
        <f>IF(管理者入力シート!$B$14=1,EL6*管理者用人口入力シート!AY$3,IF(管理者入力シート!$B$14=2,EL6*管理者用人口入力シート!AY$7))</f>
        <v>151.18606084773359</v>
      </c>
      <c r="EN9" s="9">
        <f>IF(管理者入力シート!$B$14=1,EM6*管理者用人口入力シート!AZ$3,IF(管理者入力シート!$B$14=2,EM6*管理者用人口入力シート!AZ$7))</f>
        <v>162.04246208464329</v>
      </c>
      <c r="EO9" s="9">
        <f>IF(管理者入力シート!$B$14=1,EN6*管理者用人口入力シート!BA$3,IF(管理者入力シート!$B$14=2,EN6*管理者用人口入力シート!BA$7))</f>
        <v>212.25953688138745</v>
      </c>
      <c r="EP9" s="9">
        <f>IF(管理者入力シート!$B$14=1,EO6*管理者用人口入力シート!BB$3,IF(管理者入力シート!$B$14=2,EO6*管理者用人口入力シート!BB$7))</f>
        <v>195.87240291696287</v>
      </c>
      <c r="EQ9" s="9">
        <f>IF(管理者入力シート!$B$14=1,EP6*管理者用人口入力シート!BC$3,IF(管理者入力シート!$B$14=2,EP6*管理者用人口入力シート!BC$7))</f>
        <v>112.7697496908672</v>
      </c>
      <c r="ER9" s="9">
        <f>IF(管理者入力シート!$B$14=1,EQ6*管理者用人口入力シート!BD$3,IF(管理者入力シート!$B$14=2,EQ6*管理者用人口入力シート!BD$7))</f>
        <v>31.551320382094719</v>
      </c>
      <c r="ES9" s="9">
        <f>IF(管理者入力シート!$B$14=1,ER6*管理者用人口入力シート!BE$3,IF(管理者入力シート!$B$14=2,ER6*管理者用人口入力シート!BE$7))</f>
        <v>8.2375508813723197</v>
      </c>
      <c r="ET9" s="9">
        <f>IF(管理者入力シート!$B$14=1,ES6*管理者用人口入力シート!BF$3,IF(管理者入力シート!$B$14=2,ES6*管理者用人口入力シート!BF$7))</f>
        <v>8.5009534758945498E-3</v>
      </c>
      <c r="EU9" s="9">
        <f t="shared" si="71"/>
        <v>3013.7971356885218</v>
      </c>
      <c r="EV9" s="9">
        <f t="shared" si="41"/>
        <v>147.23830140423613</v>
      </c>
      <c r="EW9" s="9">
        <f t="shared" si="42"/>
        <v>50.435118304816051</v>
      </c>
      <c r="EX9" s="9">
        <f t="shared" si="10"/>
        <v>873.92758463853727</v>
      </c>
      <c r="EY9" s="9">
        <f t="shared" si="43"/>
        <v>560.69906170616036</v>
      </c>
      <c r="EZ9" s="13">
        <f t="shared" si="44"/>
        <v>0.28997558405299989</v>
      </c>
      <c r="FA9" s="13">
        <f t="shared" si="45"/>
        <v>0.18604406217874547</v>
      </c>
      <c r="FB9" s="9">
        <f t="shared" si="72"/>
        <v>726.19216803895233</v>
      </c>
    </row>
    <row r="10" spans="1:158" x14ac:dyDescent="0.15">
      <c r="A10" s="7" t="str">
        <f t="shared" si="11"/>
        <v>2015_2</v>
      </c>
      <c r="B10" s="29">
        <v>2015</v>
      </c>
      <c r="C10" s="4" t="s">
        <v>22</v>
      </c>
      <c r="D10" s="10">
        <v>118.03267973856209</v>
      </c>
      <c r="E10" s="10">
        <v>130.04084967320262</v>
      </c>
      <c r="F10" s="10">
        <v>158.05555555555554</v>
      </c>
      <c r="G10" s="10">
        <v>155.03594771241831</v>
      </c>
      <c r="H10" s="10">
        <v>96.034313725490193</v>
      </c>
      <c r="I10" s="10">
        <v>98.042483660130728</v>
      </c>
      <c r="J10" s="10">
        <v>145.03758169934639</v>
      </c>
      <c r="K10" s="10">
        <v>208.05555555555554</v>
      </c>
      <c r="L10" s="10">
        <v>170.05555555555554</v>
      </c>
      <c r="M10" s="10">
        <v>181.05392156862746</v>
      </c>
      <c r="N10" s="10">
        <v>207.05228758169935</v>
      </c>
      <c r="O10" s="10">
        <v>295.08006535947715</v>
      </c>
      <c r="P10" s="10">
        <v>322.07189542483661</v>
      </c>
      <c r="Q10" s="10">
        <v>315.08006535947715</v>
      </c>
      <c r="R10" s="10">
        <v>235.05228758169935</v>
      </c>
      <c r="S10" s="10">
        <v>285.05392156862746</v>
      </c>
      <c r="T10" s="10">
        <v>271.06535947712416</v>
      </c>
      <c r="U10" s="10">
        <v>195.05392156862746</v>
      </c>
      <c r="V10" s="10">
        <v>102.02450980392157</v>
      </c>
      <c r="W10" s="10">
        <v>33.016339869281047</v>
      </c>
      <c r="X10" s="10">
        <v>9.0049019607843128</v>
      </c>
      <c r="Y10" s="10">
        <f t="shared" si="68"/>
        <v>3729.0000000000009</v>
      </c>
      <c r="Z10" s="10">
        <f t="shared" si="12"/>
        <v>172.85784313725492</v>
      </c>
      <c r="AA10" s="10">
        <f t="shared" si="13"/>
        <v>94.229411764705873</v>
      </c>
      <c r="AB10" s="10">
        <f t="shared" si="0"/>
        <v>1445.3513071895422</v>
      </c>
      <c r="AC10" s="10">
        <f t="shared" si="14"/>
        <v>895.218954248366</v>
      </c>
      <c r="AD10" s="14">
        <f t="shared" si="15"/>
        <v>0.3875975615954792</v>
      </c>
      <c r="AE10" s="14">
        <f t="shared" si="16"/>
        <v>0.2400694433489852</v>
      </c>
      <c r="AF10" s="10">
        <f t="shared" si="17"/>
        <v>547.1699346405228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61.926325117154484</v>
      </c>
      <c r="BL10" s="10">
        <f>IF(管理者入力シート!$B$14=1,BK7*管理者用人口入力シート!AM$4,IF(管理者入力シート!$B$14=2,BK7*管理者用人口入力シート!AM$8))</f>
        <v>71.426583672235779</v>
      </c>
      <c r="BM10" s="10">
        <f>IF(管理者入力シート!$B$14=1,BL7*管理者用人口入力シート!AN$4,IF(管理者入力シート!$B$14=2,BL7*管理者用人口入力シート!AN$8))</f>
        <v>84.761984043714648</v>
      </c>
      <c r="BN10" s="10">
        <f>IF(管理者入力シート!$B$14=1,BM7*管理者用人口入力シート!AO$4,IF(管理者入力シート!$B$14=2,BM7*管理者用人口入力シート!AO$8))</f>
        <v>89.77039229648426</v>
      </c>
      <c r="BO10" s="10">
        <f>IF(管理者入力シート!$B$14=1,BN7*管理者用人口入力シート!AP$4,IF(管理者入力シート!$B$14=2,BN7*管理者用人口入力シート!AP$8))</f>
        <v>62.67789816940747</v>
      </c>
      <c r="BP10" s="10">
        <f>IF(管理者入力シート!$B$14=1,BO7*管理者用人口入力シート!AQ$4,IF(管理者入力シート!$B$14=2,BO7*管理者用人口入力シート!AQ$8))</f>
        <v>54.879365503337816</v>
      </c>
      <c r="BQ10" s="10">
        <f>IF(管理者入力シート!$B$14=1,BP7*管理者用人口入力シート!AR$4,IF(管理者入力シート!$B$14=2,BP7*管理者用人口入力シート!AR$8))</f>
        <v>64.410810205731508</v>
      </c>
      <c r="BR10" s="10">
        <f>IF(管理者入力シート!$B$14=1,BQ7*管理者用人口入力シート!AS$4,IF(管理者入力シート!$B$14=2,BQ7*管理者用人口入力シート!AS$8))</f>
        <v>81.770409628457955</v>
      </c>
      <c r="BS10" s="10">
        <f>IF(管理者入力シート!$B$14=1,BR7*管理者用人口入力シート!AT$4,IF(管理者入力シート!$B$14=2,BR7*管理者用人口入力シート!AT$8))</f>
        <v>83.757124040119351</v>
      </c>
      <c r="BT10" s="10">
        <f>IF(管理者入力シート!$B$14=1,BS7*管理者用人口入力シート!AU$4,IF(管理者入力シート!$B$14=2,BS7*管理者用人口入力シート!AU$8))</f>
        <v>97.001444294328735</v>
      </c>
      <c r="BU10" s="10">
        <f>IF(管理者入力シート!$B$14=1,BT7*管理者用人口入力シート!AV$4,IF(管理者入力シート!$B$14=2,BT7*管理者用人口入力シート!AV$8))</f>
        <v>134.43571814299571</v>
      </c>
      <c r="BV10" s="10">
        <f>IF(管理者入力シート!$B$14=1,BU7*管理者用人口入力シート!AW$4,IF(管理者入力シート!$B$14=2,BU7*管理者用人口入力シート!AW$8))</f>
        <v>187.51620256710137</v>
      </c>
      <c r="BW10" s="10">
        <f>IF(管理者入力シート!$B$14=1,BV7*管理者用人口入力シート!AX$4,IF(管理者入力シート!$B$14=2,BV7*管理者用人口入力シート!AX$8))</f>
        <v>165.71847132864488</v>
      </c>
      <c r="BX10" s="10">
        <f>IF(管理者入力シート!$B$14=1,BW7*管理者用人口入力シート!AY$4,IF(管理者入力シート!$B$14=2,BW7*管理者用人口入力シート!AY$8))</f>
        <v>179.28530011777974</v>
      </c>
      <c r="BY10" s="10">
        <f>IF(管理者入力シート!$B$14=1,BX7*管理者用人口入力シート!AZ$4,IF(管理者入力シート!$B$14=2,BX7*管理者用人口入力シート!AZ$8))</f>
        <v>201.81815481798176</v>
      </c>
      <c r="BZ10" s="10">
        <f>IF(管理者入力シート!$B$14=1,BY7*管理者用人口入力シート!BA$4,IF(管理者入力シート!$B$14=2,BY7*管理者用人口入力シート!BA$8))</f>
        <v>271.05769041013536</v>
      </c>
      <c r="CA10" s="10">
        <f>IF(管理者入力シート!$B$14=1,BZ7*管理者用人口入力シート!BB$4,IF(管理者入力シート!$B$14=2,BZ7*管理者用人口入力シート!BB$8))</f>
        <v>252.98230919198664</v>
      </c>
      <c r="CB10" s="10">
        <f>IF(管理者入力シート!$B$14=1,CA7*管理者用人口入力シート!BC$4,IF(管理者入力シート!$B$14=2,CA7*管理者用人口入力シート!BC$8))</f>
        <v>177.62647718634091</v>
      </c>
      <c r="CC10" s="10">
        <f>IF(管理者入力シート!$B$14=1,CB7*管理者用人口入力シート!BD$4,IF(管理者入力シート!$B$14=2,CB7*管理者用人口入力シート!BD$8))</f>
        <v>73.035039542192862</v>
      </c>
      <c r="CD10" s="10">
        <f>IF(管理者入力シート!$B$14=1,CC7*管理者用人口入力シート!BE$4,IF(管理者入力シート!$B$14=2,CC7*管理者用人口入力シート!BE$8))</f>
        <v>33.18152035478726</v>
      </c>
      <c r="CE10" s="10">
        <f>IF(管理者入力シート!$B$14=1,CD7*管理者用人口入力シート!BF$4,IF(管理者入力シート!$B$14=2,CD7*管理者用人口入力シート!BF$8))</f>
        <v>9.7984925673820022</v>
      </c>
      <c r="CF10" s="10">
        <f t="shared" si="2"/>
        <v>2438.8377131983002</v>
      </c>
      <c r="CG10" s="10">
        <f t="shared" si="20"/>
        <v>93.713140629570262</v>
      </c>
      <c r="CH10" s="10">
        <f t="shared" si="21"/>
        <v>51.85887207678271</v>
      </c>
      <c r="CI10" s="10">
        <f t="shared" si="3"/>
        <v>1198.7849841885866</v>
      </c>
      <c r="CJ10" s="10">
        <f t="shared" si="22"/>
        <v>817.68152925282504</v>
      </c>
      <c r="CK10" s="14">
        <f t="shared" si="23"/>
        <v>0.49153946476270283</v>
      </c>
      <c r="CL10" s="14">
        <f t="shared" si="24"/>
        <v>0.3352750881404547</v>
      </c>
      <c r="CM10" s="10">
        <f t="shared" si="25"/>
        <v>263.73848350693476</v>
      </c>
      <c r="CO10" s="7" t="str">
        <f t="shared" si="26"/>
        <v>2035_2</v>
      </c>
      <c r="CP10" s="29">
        <f>CP9</f>
        <v>2035</v>
      </c>
      <c r="CQ10" s="4" t="s">
        <v>22</v>
      </c>
      <c r="CR10" s="10">
        <f>DT10*$AK$14+将来予測シート②!$H17</f>
        <v>64.438727851334036</v>
      </c>
      <c r="CS10" s="10">
        <f>IF(管理者入力シート!$B$14=1,CR7*管理者用人口入力シート!AM$4,IF(管理者入力シート!$B$14=2,CR7*管理者用人口入力シート!AM$8))+将来予測シート②!$H18</f>
        <v>73.414932294536271</v>
      </c>
      <c r="CT10" s="10">
        <f>IF(管理者入力シート!$B$14=1,CS7*管理者用人口入力シート!AN$4,IF(管理者入力シート!$B$14=2,CS7*管理者用人口入力シート!AN$8))+将来予測シート②!$H19</f>
        <v>86.804938668550832</v>
      </c>
      <c r="CU10" s="10">
        <f>IF(管理者入力シート!$B$14=1,CT7*管理者用人口入力シート!AO$4,IF(管理者入力シート!$B$14=2,CT7*管理者用人口入力シート!AO$8))+将来予測シート②!$H20</f>
        <v>90.630585700645156</v>
      </c>
      <c r="CV10" s="10">
        <f>IF(管理者入力シート!$B$14=1,CU7*管理者用人口入力シート!AP$4,IF(管理者入力シート!$B$14=2,CU7*管理者用人口入力シート!AP$8))+将来予測シート②!$H21</f>
        <v>63.150406903506457</v>
      </c>
      <c r="CW10" s="10">
        <f>IF(管理者入力シート!$B$14=1,CV7*管理者用人口入力シート!AQ$4,IF(管理者入力シート!$B$14=2,CV7*管理者用人口入力シート!AQ$8))+将来予測シート②!$H22</f>
        <v>56.879365503337816</v>
      </c>
      <c r="CX10" s="10">
        <f>IF(管理者入力シート!$B$14=1,CW7*管理者用人口入力シート!AR$4,IF(管理者入力シート!$B$14=2,CW7*管理者用人口入力シート!AR$8))+将来予測シート②!$H23</f>
        <v>66.371534521850876</v>
      </c>
      <c r="CY10" s="10">
        <f>IF(管理者入力シート!$B$14=1,CX7*管理者用人口入力シート!AS$4,IF(管理者入力シート!$B$14=2,CX7*管理者用人口入力シート!AS$8))+将来予測シート②!$H24</f>
        <v>83.778359755339878</v>
      </c>
      <c r="CZ10" s="10">
        <f>IF(管理者入力シート!$B$14=1,CY7*管理者用人口入力シート!AT$4,IF(管理者入力シート!$B$14=2,CY7*管理者用人口入力シート!AT$8))+将来予測シート②!$H25</f>
        <v>84.757124040119351</v>
      </c>
      <c r="DA10" s="10">
        <f>IF(管理者入力シート!$B$14=1,CZ7*管理者用人口入力シート!AU$4,IF(管理者入力シート!$B$14=2,CZ7*管理者用人口入力シート!AU$8))+将来予測シート②!$H26</f>
        <v>97.958652442477273</v>
      </c>
      <c r="DB10" s="10">
        <f>IF(管理者入力シート!$B$14=1,DA7*管理者用人口入力シート!AV$4,IF(管理者入力シート!$B$14=2,DA7*管理者用人口入力シート!AV$8))+将来予測シート②!$H27</f>
        <v>135.39792714039646</v>
      </c>
      <c r="DC10" s="10">
        <f>IF(管理者入力シート!$B$14=1,DB7*管理者用人口入力シート!AW$4,IF(管理者入力シート!$B$14=2,DB7*管理者用人口入力シート!AW$8))+将来予測シート②!$H28</f>
        <v>187.51620256710137</v>
      </c>
      <c r="DD10" s="10">
        <f>IF(管理者入力シート!$B$14=1,DC7*管理者用人口入力シート!AX$4,IF(管理者入力シート!$B$14=2,DC7*管理者用人口入力シート!AX$8))+将来予測シート②!$H29</f>
        <v>165.71847132864488</v>
      </c>
      <c r="DE10" s="10">
        <f>IF(管理者入力シート!$B$14=1,DD7*管理者用人口入力シート!AY$4,IF(管理者入力シート!$B$14=2,DD7*管理者用人口入力シート!AY$8))</f>
        <v>179.28530011777974</v>
      </c>
      <c r="DF10" s="10">
        <f>IF(管理者入力シート!$B$14=1,DE7*管理者用人口入力シート!AZ$4,IF(管理者入力シート!$B$14=2,DE7*管理者用人口入力シート!AZ$8))</f>
        <v>201.81815481798176</v>
      </c>
      <c r="DG10" s="10">
        <f>IF(管理者入力シート!$B$14=1,DF7*管理者用人口入力シート!BA$4,IF(管理者入力シート!$B$14=2,DF7*管理者用人口入力シート!BA$8))</f>
        <v>271.05769041013536</v>
      </c>
      <c r="DH10" s="10">
        <f>IF(管理者入力シート!$B$14=1,DG7*管理者用人口入力シート!BB$4,IF(管理者入力シート!$B$14=2,DG7*管理者用人口入力シート!BB$8))</f>
        <v>252.98230919198664</v>
      </c>
      <c r="DI10" s="10">
        <f>IF(管理者入力シート!$B$14=1,DH7*管理者用人口入力シート!BC$4,IF(管理者入力シート!$B$14=2,DH7*管理者用人口入力シート!BC$8))</f>
        <v>177.62647718634091</v>
      </c>
      <c r="DJ10" s="10">
        <f>IF(管理者入力シート!$B$14=1,DI7*管理者用人口入力シート!BD$4,IF(管理者入力シート!$B$14=2,DI7*管理者用人口入力シート!BD$8))</f>
        <v>73.035039542192862</v>
      </c>
      <c r="DK10" s="10">
        <f>IF(管理者入力シート!$B$14=1,DJ7*管理者用人口入力シート!BE$4,IF(管理者入力シート!$B$14=2,DJ7*管理者用人口入力シート!BE$8))</f>
        <v>33.18152035478726</v>
      </c>
      <c r="DL10" s="10">
        <f>IF(管理者入力シート!$B$14=1,DK7*管理者用人口入力シート!BF$4,IF(管理者入力シート!$B$14=2,DK7*管理者用人口入力シート!BF$8))</f>
        <v>9.7984925673820022</v>
      </c>
      <c r="DM10" s="10">
        <f t="shared" si="69"/>
        <v>2455.6022129064268</v>
      </c>
      <c r="DN10" s="10">
        <f t="shared" si="34"/>
        <v>96.131922577852265</v>
      </c>
      <c r="DO10" s="10">
        <f t="shared" si="35"/>
        <v>52.848092607549368</v>
      </c>
      <c r="DP10" s="10">
        <f t="shared" si="6"/>
        <v>1198.7849841885866</v>
      </c>
      <c r="DQ10" s="10">
        <f t="shared" si="36"/>
        <v>817.68152925282504</v>
      </c>
      <c r="DR10" s="14">
        <f t="shared" si="37"/>
        <v>0.48818370413900075</v>
      </c>
      <c r="DS10" s="14">
        <f t="shared" si="38"/>
        <v>0.33298615099594048</v>
      </c>
      <c r="DT10" s="10">
        <f t="shared" si="70"/>
        <v>270.179666684035</v>
      </c>
      <c r="DV10" s="62" t="s">
        <v>405</v>
      </c>
      <c r="DW10" s="210">
        <f>((SUM(BL12:BL13)*3/5+SUM(BM12:BM13)+SUM(BN12:BN13)*1/5)-(SUM(E12:E13)*3/5+SUM(F12:F13)+SUM(G12:G13)*1/5))/4</f>
        <v>-64.347888800447734</v>
      </c>
      <c r="DX10" s="29">
        <f>DX9</f>
        <v>2035</v>
      </c>
      <c r="DY10" s="4" t="s">
        <v>22</v>
      </c>
      <c r="DZ10" s="10">
        <f>FB10*$AK$14</f>
        <v>169.1463502902258</v>
      </c>
      <c r="EA10" s="10">
        <f>IF(管理者入力シート!$B$14=1,DZ7*管理者用人口入力シート!AM$4,IF(管理者入力シート!$B$14=2,DZ7*管理者用人口入力シート!AM$8))</f>
        <v>163.43127072972504</v>
      </c>
      <c r="EB10" s="10">
        <f>IF(管理者入力シート!$B$14=1,EA7*管理者用人口入力シート!AN$4,IF(管理者入力シート!$B$14=2,EA7*管理者用人口入力シート!AN$8))</f>
        <v>84.761984043714648</v>
      </c>
      <c r="EC10" s="10">
        <f>IF(管理者入力シート!$B$14=1,EB7*管理者用人口入力シート!AO$4,IF(管理者入力シート!$B$14=2,EB7*管理者用人口入力シート!AO$8))</f>
        <v>89.77039229648426</v>
      </c>
      <c r="ED10" s="10">
        <f>IF(管理者入力シート!$B$14=1,EC7*管理者用人口入力シート!AP$4,IF(管理者入力シート!$B$14=2,EC7*管理者用人口入力シート!AP$8))</f>
        <v>62.67789816940747</v>
      </c>
      <c r="EE10" s="10">
        <f>IF(管理者入力シート!$B$14=1,ED7*管理者用人口入力シート!AQ$4,IF(管理者入力シート!$B$14=2,ED7*管理者用人口入力シート!AQ$8))+DX1</f>
        <v>130.87936550333782</v>
      </c>
      <c r="EF10" s="10">
        <f>IF(管理者入力シート!$B$14=1,EE7*管理者用人口入力シート!AR$4,IF(管理者入力シート!$B$14=2,EE7*管理者用人口入力シート!AR$8))+DX1</f>
        <v>214.91833421826735</v>
      </c>
      <c r="EG10" s="10">
        <f>IF(管理者入力シート!$B$14=1,EF7*管理者用人口入力シート!AS$4,IF(管理者入力シート!$B$14=2,EF7*管理者用人口入力シート!AS$8))+DX1</f>
        <v>311.90304288706244</v>
      </c>
      <c r="EH10" s="10">
        <f>IF(管理者入力シート!$B$14=1,EG7*管理者用人口入力シート!AT$4,IF(管理者入力シート!$B$14=2,EG7*管理者用人口入力シート!AT$8))</f>
        <v>232.93943967359357</v>
      </c>
      <c r="EI10" s="10">
        <f>IF(管理者入力シート!$B$14=1,EH7*管理者用人口入力シート!AU$4,IF(管理者入力シート!$B$14=2,EH7*管理者用人口入力シート!AU$8))</f>
        <v>167.55108255305842</v>
      </c>
      <c r="EJ10" s="10">
        <f>IF(管理者入力シート!$B$14=1,EI7*管理者用人口入力シート!AV$4,IF(管理者入力シート!$B$14=2,EI7*管理者用人口入力シート!AV$8))</f>
        <v>134.43571814299571</v>
      </c>
      <c r="EK10" s="10">
        <f>IF(管理者入力シート!$B$14=1,EJ7*管理者用人口入力シート!AW$4,IF(管理者入力シート!$B$14=2,EJ7*管理者用人口入力シート!AW$8))</f>
        <v>187.51620256710137</v>
      </c>
      <c r="EL10" s="10">
        <f>IF(管理者入力シート!$B$14=1,EK7*管理者用人口入力シート!AX$4,IF(管理者入力シート!$B$14=2,EK7*管理者用人口入力シート!AX$8))</f>
        <v>165.71847132864488</v>
      </c>
      <c r="EM10" s="10">
        <f>IF(管理者入力シート!$B$14=1,EL7*管理者用人口入力シート!AY$4,IF(管理者入力シート!$B$14=2,EL7*管理者用人口入力シート!AY$8))</f>
        <v>179.28530011777974</v>
      </c>
      <c r="EN10" s="10">
        <f>IF(管理者入力シート!$B$14=1,EM7*管理者用人口入力シート!AZ$4,IF(管理者入力シート!$B$14=2,EM7*管理者用人口入力シート!AZ$8))</f>
        <v>201.81815481798176</v>
      </c>
      <c r="EO10" s="10">
        <f>IF(管理者入力シート!$B$14=1,EN7*管理者用人口入力シート!BA$4,IF(管理者入力シート!$B$14=2,EN7*管理者用人口入力シート!BA$8))</f>
        <v>271.05769041013536</v>
      </c>
      <c r="EP10" s="10">
        <f>IF(管理者入力シート!$B$14=1,EO7*管理者用人口入力シート!BB$4,IF(管理者入力シート!$B$14=2,EO7*管理者用人口入力シート!BB$8))</f>
        <v>252.98230919198664</v>
      </c>
      <c r="EQ10" s="10">
        <f>IF(管理者入力シート!$B$14=1,EP7*管理者用人口入力シート!BC$4,IF(管理者入力シート!$B$14=2,EP7*管理者用人口入力シート!BC$8))</f>
        <v>177.62647718634091</v>
      </c>
      <c r="ER10" s="10">
        <f>IF(管理者入力シート!$B$14=1,EQ7*管理者用人口入力シート!BD$4,IF(管理者入力シート!$B$14=2,EQ7*管理者用人口入力シート!BD$8))</f>
        <v>73.035039542192862</v>
      </c>
      <c r="ES10" s="10">
        <f>IF(管理者入力シート!$B$14=1,ER7*管理者用人口入力シート!BE$4,IF(管理者入力シート!$B$14=2,ER7*管理者用人口入力シート!BE$8))</f>
        <v>33.18152035478726</v>
      </c>
      <c r="ET10" s="10">
        <f>IF(管理者入力シート!$B$14=1,ES7*管理者用人口入力シート!BF$4,IF(管理者入力シート!$B$14=2,ES7*管理者用人口入力シート!BF$8))</f>
        <v>9.7984925673820022</v>
      </c>
      <c r="EU10" s="10">
        <f t="shared" si="71"/>
        <v>3314.4345365922045</v>
      </c>
      <c r="EV10" s="10">
        <f t="shared" si="41"/>
        <v>148.91595286406383</v>
      </c>
      <c r="EW10" s="10">
        <f t="shared" si="42"/>
        <v>51.85887207678271</v>
      </c>
      <c r="EX10" s="10">
        <f t="shared" si="10"/>
        <v>1198.7849841885866</v>
      </c>
      <c r="EY10" s="10">
        <f t="shared" si="43"/>
        <v>817.68152925282504</v>
      </c>
      <c r="EZ10" s="14">
        <f t="shared" si="44"/>
        <v>0.36168612502485536</v>
      </c>
      <c r="FA10" s="14">
        <f t="shared" si="45"/>
        <v>0.24670317673359118</v>
      </c>
      <c r="FB10" s="10">
        <f t="shared" si="72"/>
        <v>720.37864077807512</v>
      </c>
    </row>
    <row r="11" spans="1:158" x14ac:dyDescent="0.15">
      <c r="A11" s="7" t="str">
        <f t="shared" si="11"/>
        <v>2015_3</v>
      </c>
      <c r="B11" s="30">
        <v>2015</v>
      </c>
      <c r="C11" s="5" t="s">
        <v>23</v>
      </c>
      <c r="D11" s="11">
        <v>236.03267973856208</v>
      </c>
      <c r="E11" s="11">
        <v>283.04084967320262</v>
      </c>
      <c r="F11" s="11">
        <v>370.05555555555554</v>
      </c>
      <c r="G11" s="11">
        <v>319.03594771241831</v>
      </c>
      <c r="H11" s="11">
        <v>180.03431372549019</v>
      </c>
      <c r="I11" s="11">
        <v>228.04248366013073</v>
      </c>
      <c r="J11" s="11">
        <v>296.03758169934639</v>
      </c>
      <c r="K11" s="11">
        <v>376.05555555555554</v>
      </c>
      <c r="L11" s="11">
        <v>369.05555555555554</v>
      </c>
      <c r="M11" s="11">
        <v>334.05392156862746</v>
      </c>
      <c r="N11" s="11">
        <v>384.05228758169937</v>
      </c>
      <c r="O11" s="11">
        <v>582.0800653594772</v>
      </c>
      <c r="P11" s="11">
        <v>663.07189542483661</v>
      </c>
      <c r="Q11" s="11">
        <v>617.0800653594772</v>
      </c>
      <c r="R11" s="11">
        <v>435.05228758169937</v>
      </c>
      <c r="S11" s="11">
        <v>497.05392156862746</v>
      </c>
      <c r="T11" s="11">
        <v>427.06535947712416</v>
      </c>
      <c r="U11" s="11">
        <v>303.05392156862746</v>
      </c>
      <c r="V11" s="11">
        <v>124.02450980392157</v>
      </c>
      <c r="W11" s="11">
        <v>38.016339869281047</v>
      </c>
      <c r="X11" s="11">
        <v>9.0049019607843128</v>
      </c>
      <c r="Y11" s="11">
        <f t="shared" si="68"/>
        <v>7071</v>
      </c>
      <c r="Z11" s="11">
        <f t="shared" si="12"/>
        <v>391.85784313725486</v>
      </c>
      <c r="AA11" s="11">
        <f t="shared" si="13"/>
        <v>211.82941176470587</v>
      </c>
      <c r="AB11" s="11">
        <f t="shared" si="0"/>
        <v>2450.3513071895431</v>
      </c>
      <c r="AC11" s="11">
        <f t="shared" si="14"/>
        <v>1398.2189542483659</v>
      </c>
      <c r="AD11" s="15">
        <f t="shared" si="15"/>
        <v>0.34653532841034412</v>
      </c>
      <c r="AE11" s="15">
        <f t="shared" si="16"/>
        <v>0.19773991716141506</v>
      </c>
      <c r="AF11" s="11">
        <f t="shared" si="17"/>
        <v>1080.169934640523</v>
      </c>
      <c r="BH11" s="7" t="str">
        <f t="shared" si="19"/>
        <v>2035_3</v>
      </c>
      <c r="BI11" s="30">
        <f>BI10</f>
        <v>2035</v>
      </c>
      <c r="BJ11" s="5" t="s">
        <v>23</v>
      </c>
      <c r="BK11" s="16">
        <f>BK9+BK10</f>
        <v>119.48180196464193</v>
      </c>
      <c r="BL11" s="16">
        <f t="shared" ref="BL11" si="117">BL9+BL10</f>
        <v>141.5647216970718</v>
      </c>
      <c r="BM11" s="16">
        <f t="shared" ref="BM11" si="118">BM9+BM10</f>
        <v>169.67597669424569</v>
      </c>
      <c r="BN11" s="16">
        <f t="shared" ref="BN11" si="119">BN9+BN10</f>
        <v>172.11799851950244</v>
      </c>
      <c r="BO11" s="16">
        <f t="shared" ref="BO11" si="120">BO9+BO10</f>
        <v>115.42065561442806</v>
      </c>
      <c r="BP11" s="16">
        <f t="shared" ref="BP11" si="121">BP9+BP10</f>
        <v>115.19642360780446</v>
      </c>
      <c r="BQ11" s="16">
        <f t="shared" ref="BQ11" si="122">BQ9+BQ10</f>
        <v>141.00263591846914</v>
      </c>
      <c r="BR11" s="16">
        <f t="shared" ref="BR11" si="123">BR9+BR10</f>
        <v>164.57470988773662</v>
      </c>
      <c r="BS11" s="16">
        <f t="shared" ref="BS11" si="124">BS9+BS10</f>
        <v>159.65416726291039</v>
      </c>
      <c r="BT11" s="16">
        <f t="shared" ref="BT11" si="125">BT9+BT10</f>
        <v>216.71710308265835</v>
      </c>
      <c r="BU11" s="16">
        <f t="shared" ref="BU11" si="126">BU9+BU10</f>
        <v>277.25564853918047</v>
      </c>
      <c r="BV11" s="16">
        <f t="shared" ref="BV11" si="127">BV9+BV10</f>
        <v>352.5498685257466</v>
      </c>
      <c r="BW11" s="16">
        <f t="shared" ref="BW11" si="128">BW9+BW10</f>
        <v>368.74413466305771</v>
      </c>
      <c r="BX11" s="16">
        <f t="shared" ref="BX11" si="129">BX9+BX10</f>
        <v>330.47136096551333</v>
      </c>
      <c r="BY11" s="16">
        <f t="shared" ref="BY11" si="130">BY9+BY10</f>
        <v>363.86061690262505</v>
      </c>
      <c r="BZ11" s="16">
        <f t="shared" ref="BZ11" si="131">BZ9+BZ10</f>
        <v>483.31722729152284</v>
      </c>
      <c r="CA11" s="16">
        <f t="shared" ref="CA11" si="132">CA9+CA10</f>
        <v>448.85471210894951</v>
      </c>
      <c r="CB11" s="16">
        <f t="shared" ref="CB11" si="133">CB9+CB10</f>
        <v>290.39622687720811</v>
      </c>
      <c r="CC11" s="16">
        <f t="shared" ref="CC11" si="134">CC9+CC10</f>
        <v>104.58635992428758</v>
      </c>
      <c r="CD11" s="16">
        <f t="shared" ref="CD11" si="135">CD9+CD10</f>
        <v>41.419071236159581</v>
      </c>
      <c r="CE11" s="16">
        <f t="shared" ref="CE11" si="136">CE9+CE10</f>
        <v>9.8069935208578976</v>
      </c>
      <c r="CF11" s="11">
        <f t="shared" si="2"/>
        <v>4586.6684148045779</v>
      </c>
      <c r="CG11" s="11">
        <f t="shared" si="20"/>
        <v>186.7444190347905</v>
      </c>
      <c r="CH11" s="11">
        <f t="shared" si="21"/>
        <v>102.29399038159877</v>
      </c>
      <c r="CI11" s="11">
        <f t="shared" si="3"/>
        <v>2072.712568827124</v>
      </c>
      <c r="CJ11" s="11">
        <f t="shared" si="22"/>
        <v>1378.3805909589857</v>
      </c>
      <c r="CK11" s="15">
        <f t="shared" si="23"/>
        <v>0.45189937038765315</v>
      </c>
      <c r="CL11" s="15">
        <f t="shared" si="24"/>
        <v>0.30051890965344913</v>
      </c>
      <c r="CM11" s="11">
        <f t="shared" si="25"/>
        <v>536.19442502843822</v>
      </c>
      <c r="CO11" s="7" t="str">
        <f t="shared" si="26"/>
        <v>2035_3</v>
      </c>
      <c r="CP11" s="30">
        <f>CP10</f>
        <v>2035</v>
      </c>
      <c r="CQ11" s="5" t="s">
        <v>23</v>
      </c>
      <c r="CR11" s="16">
        <f>CR9+CR10</f>
        <v>124.39985989290039</v>
      </c>
      <c r="CS11" s="16">
        <f t="shared" ref="CS11" si="137">CS9+CS10</f>
        <v>145.58237826843879</v>
      </c>
      <c r="CT11" s="16">
        <f t="shared" ref="CT11" si="138">CT9+CT10</f>
        <v>173.84310189650012</v>
      </c>
      <c r="CU11" s="16">
        <f t="shared" ref="CU11" si="139">CU9+CU10</f>
        <v>173.7658465280596</v>
      </c>
      <c r="CV11" s="16">
        <f t="shared" ref="CV11" si="140">CV9+CV10</f>
        <v>116.29523637961378</v>
      </c>
      <c r="CW11" s="16">
        <f t="shared" ref="CW11" si="141">CW9+CW10</f>
        <v>119.19642360780446</v>
      </c>
      <c r="CX11" s="16">
        <f t="shared" ref="CX11" si="142">CX9+CX10</f>
        <v>144.90246146212661</v>
      </c>
      <c r="CY11" s="16">
        <f t="shared" ref="CY11" si="143">CY9+CY10</f>
        <v>168.5523925234769</v>
      </c>
      <c r="CZ11" s="16">
        <f t="shared" ref="CZ11" si="144">CZ9+CZ10</f>
        <v>160.65416726291039</v>
      </c>
      <c r="DA11" s="16">
        <f t="shared" ref="DA11" si="145">DA9+DA10</f>
        <v>217.67431123080689</v>
      </c>
      <c r="DB11" s="16">
        <f t="shared" ref="DB11" si="146">DB9+DB10</f>
        <v>278.21785753658122</v>
      </c>
      <c r="DC11" s="16">
        <f t="shared" ref="DC11" si="147">DC9+DC10</f>
        <v>352.5498685257466</v>
      </c>
      <c r="DD11" s="16">
        <f t="shared" ref="DD11" si="148">DD9+DD10</f>
        <v>368.74413466305771</v>
      </c>
      <c r="DE11" s="16">
        <f t="shared" ref="DE11" si="149">DE9+DE10</f>
        <v>330.47136096551333</v>
      </c>
      <c r="DF11" s="16">
        <f t="shared" ref="DF11" si="150">DF9+DF10</f>
        <v>363.86061690262505</v>
      </c>
      <c r="DG11" s="16">
        <f t="shared" ref="DG11" si="151">DG9+DG10</f>
        <v>483.31722729152284</v>
      </c>
      <c r="DH11" s="16">
        <f t="shared" ref="DH11" si="152">DH9+DH10</f>
        <v>448.85471210894951</v>
      </c>
      <c r="DI11" s="16">
        <f t="shared" ref="DI11" si="153">DI9+DI10</f>
        <v>290.39622687720811</v>
      </c>
      <c r="DJ11" s="16">
        <f t="shared" ref="DJ11" si="154">DJ9+DJ10</f>
        <v>104.58635992428758</v>
      </c>
      <c r="DK11" s="16">
        <f t="shared" ref="DK11" si="155">DK9+DK10</f>
        <v>41.419071236159581</v>
      </c>
      <c r="DL11" s="16">
        <f t="shared" ref="DL11" si="156">DL9+DL10</f>
        <v>9.8069935208578976</v>
      </c>
      <c r="DM11" s="11">
        <f t="shared" si="69"/>
        <v>4617.0906086051473</v>
      </c>
      <c r="DN11" s="11">
        <f t="shared" si="34"/>
        <v>191.65528809896335</v>
      </c>
      <c r="DO11" s="11">
        <f t="shared" si="35"/>
        <v>104.29041006421197</v>
      </c>
      <c r="DP11" s="11">
        <f t="shared" si="6"/>
        <v>2072.712568827124</v>
      </c>
      <c r="DQ11" s="11">
        <f t="shared" si="36"/>
        <v>1378.3805909589857</v>
      </c>
      <c r="DR11" s="15">
        <f t="shared" si="37"/>
        <v>0.44892178744859063</v>
      </c>
      <c r="DS11" s="15">
        <f t="shared" si="38"/>
        <v>0.29853877859577105</v>
      </c>
      <c r="DT11" s="11">
        <f t="shared" si="70"/>
        <v>548.94651397302175</v>
      </c>
      <c r="DW11" s="211"/>
      <c r="DX11" s="30">
        <f>DX10</f>
        <v>2035</v>
      </c>
      <c r="DY11" s="5" t="s">
        <v>23</v>
      </c>
      <c r="DZ11" s="16">
        <f>DZ9+DZ10</f>
        <v>326.35411014919532</v>
      </c>
      <c r="EA11" s="16">
        <f t="shared" ref="EA11" si="157">EA9+EA10</f>
        <v>323.9144470862542</v>
      </c>
      <c r="EB11" s="16">
        <f t="shared" ref="EB11" si="158">EB9+EB10</f>
        <v>169.67597669424569</v>
      </c>
      <c r="EC11" s="16">
        <f t="shared" ref="EC11" si="159">EC9+EC10</f>
        <v>172.11799851950244</v>
      </c>
      <c r="ED11" s="16">
        <f t="shared" ref="ED11" si="160">ED9+ED10</f>
        <v>115.42065561442806</v>
      </c>
      <c r="EE11" s="16">
        <f t="shared" ref="EE11" si="161">EE9+EE10</f>
        <v>267.19642360780449</v>
      </c>
      <c r="EF11" s="16">
        <f t="shared" ref="EF11" si="162">EF9+EF10</f>
        <v>441.196006577454</v>
      </c>
      <c r="EG11" s="16">
        <f t="shared" ref="EG11" si="163">EG9+EG10</f>
        <v>622.75772301734105</v>
      </c>
      <c r="EH11" s="16">
        <f t="shared" ref="EH11" si="164">EH9+EH10</f>
        <v>458.256722623786</v>
      </c>
      <c r="EI11" s="16">
        <f t="shared" ref="EI11" si="165">EI9+EI10</f>
        <v>360.07938783560724</v>
      </c>
      <c r="EJ11" s="16">
        <f t="shared" ref="EJ11" si="166">EJ9+EJ10</f>
        <v>277.25564853918047</v>
      </c>
      <c r="EK11" s="16">
        <f t="shared" ref="EK11" si="167">EK9+EK10</f>
        <v>352.5498685257466</v>
      </c>
      <c r="EL11" s="16">
        <f t="shared" ref="EL11" si="168">EL9+EL10</f>
        <v>368.74413466305771</v>
      </c>
      <c r="EM11" s="16">
        <f t="shared" ref="EM11" si="169">EM9+EM10</f>
        <v>330.47136096551333</v>
      </c>
      <c r="EN11" s="16">
        <f t="shared" ref="EN11" si="170">EN9+EN10</f>
        <v>363.86061690262505</v>
      </c>
      <c r="EO11" s="16">
        <f t="shared" ref="EO11" si="171">EO9+EO10</f>
        <v>483.31722729152284</v>
      </c>
      <c r="EP11" s="16">
        <f t="shared" ref="EP11" si="172">EP9+EP10</f>
        <v>448.85471210894951</v>
      </c>
      <c r="EQ11" s="16">
        <f t="shared" ref="EQ11" si="173">EQ9+EQ10</f>
        <v>290.39622687720811</v>
      </c>
      <c r="ER11" s="16">
        <f t="shared" ref="ER11" si="174">ER9+ER10</f>
        <v>104.58635992428758</v>
      </c>
      <c r="ES11" s="16">
        <f t="shared" ref="ES11" si="175">ES9+ES10</f>
        <v>41.419071236159581</v>
      </c>
      <c r="ET11" s="16">
        <f t="shared" ref="ET11" si="176">ET9+ET10</f>
        <v>9.8069935208578976</v>
      </c>
      <c r="EU11" s="11">
        <f t="shared" si="71"/>
        <v>6328.2316722807282</v>
      </c>
      <c r="EV11" s="11">
        <f t="shared" si="41"/>
        <v>296.15425426829995</v>
      </c>
      <c r="EW11" s="11">
        <f t="shared" si="42"/>
        <v>102.29399038159877</v>
      </c>
      <c r="EX11" s="11">
        <f t="shared" si="10"/>
        <v>2072.712568827124</v>
      </c>
      <c r="EY11" s="11">
        <f t="shared" si="43"/>
        <v>1378.3805909589857</v>
      </c>
      <c r="EZ11" s="15">
        <f t="shared" si="44"/>
        <v>0.32753424276581633</v>
      </c>
      <c r="FA11" s="15">
        <f t="shared" si="45"/>
        <v>0.21781449579297879</v>
      </c>
      <c r="FB11" s="11">
        <f t="shared" si="72"/>
        <v>1446.5708088170277</v>
      </c>
    </row>
    <row r="12" spans="1:158" x14ac:dyDescent="0.15">
      <c r="A12" s="7" t="str">
        <f t="shared" si="11"/>
        <v>2020_1</v>
      </c>
      <c r="B12" s="28">
        <v>2020</v>
      </c>
      <c r="C12" s="3" t="s">
        <v>21</v>
      </c>
      <c r="D12" s="9">
        <v>93</v>
      </c>
      <c r="E12" s="9">
        <v>127.01298701298701</v>
      </c>
      <c r="F12" s="9">
        <v>157.03896103896102</v>
      </c>
      <c r="G12" s="9">
        <v>162</v>
      </c>
      <c r="H12" s="9">
        <v>88.012987012987011</v>
      </c>
      <c r="I12" s="9">
        <v>79.012987012987011</v>
      </c>
      <c r="J12" s="9">
        <v>123.01298701298701</v>
      </c>
      <c r="K12" s="9">
        <v>153.02597402597402</v>
      </c>
      <c r="L12" s="9">
        <v>167.03896103896102</v>
      </c>
      <c r="M12" s="9">
        <v>207.07792207792207</v>
      </c>
      <c r="N12" s="9">
        <v>155.03896103896102</v>
      </c>
      <c r="O12" s="9">
        <v>188.02597402597402</v>
      </c>
      <c r="P12" s="9">
        <v>279.10389610389609</v>
      </c>
      <c r="Q12" s="9">
        <v>339.20779220779218</v>
      </c>
      <c r="R12" s="9">
        <v>274.07792207792204</v>
      </c>
      <c r="S12" s="9">
        <v>173.11688311688312</v>
      </c>
      <c r="T12" s="9">
        <v>161.0779220779221</v>
      </c>
      <c r="U12" s="9">
        <v>108.07792207792208</v>
      </c>
      <c r="V12" s="9">
        <v>47.038961038961034</v>
      </c>
      <c r="W12" s="9">
        <v>6</v>
      </c>
      <c r="X12" s="9">
        <v>0</v>
      </c>
      <c r="Y12" s="9">
        <f t="shared" ref="Y12:Y14" si="177">SUM(D12:X12)</f>
        <v>3087.0000000000005</v>
      </c>
      <c r="Z12" s="9">
        <f>E12*3/5+F12*3/5</f>
        <v>170.4311688311688</v>
      </c>
      <c r="AA12" s="9">
        <f>F12*2/5+G12*1/5</f>
        <v>95.215584415584402</v>
      </c>
      <c r="AB12" s="9">
        <f t="shared" ref="AB12:AB14" si="178">SUM(Q12:X12)</f>
        <v>1108.5974025974026</v>
      </c>
      <c r="AC12" s="9">
        <f>SUM(S12:X12)</f>
        <v>495.31168831168833</v>
      </c>
      <c r="AD12" s="13">
        <f>AB12/Y12</f>
        <v>0.35911804424923954</v>
      </c>
      <c r="AE12" s="13">
        <f>AC12/Y12</f>
        <v>0.1604508222584024</v>
      </c>
      <c r="AF12" s="9">
        <f>SUM(H12:K12)</f>
        <v>443.06493506493507</v>
      </c>
      <c r="AK12" s="61">
        <f>管理者入力シート!B5</f>
        <v>2020</v>
      </c>
      <c r="AL12" s="62"/>
      <c r="BH12" s="7" t="str">
        <f t="shared" si="19"/>
        <v>2040_1</v>
      </c>
      <c r="BI12" s="28">
        <f>管理者入力シート!B11</f>
        <v>2040</v>
      </c>
      <c r="BJ12" s="3" t="s">
        <v>21</v>
      </c>
      <c r="BK12" s="9">
        <f>CM13*$AK$13</f>
        <v>48.745429209793791</v>
      </c>
      <c r="BL12" s="9">
        <f>IF(管理者入力シート!$B$14=1,BK9*管理者用人口入力シート!AM$3,IF(管理者入力シート!$B$14=2,BK9*管理者用人口入力シート!AM$7))</f>
        <v>62.648118557983011</v>
      </c>
      <c r="BM12" s="9">
        <f>IF(管理者入力シート!$B$14=1,BL9*管理者用人口入力シート!AN$3,IF(管理者入力シート!$B$14=2,BL9*管理者用人口入力シート!AN$7))</f>
        <v>72.437769717774813</v>
      </c>
      <c r="BN12" s="9">
        <f>IF(管理者入力シート!$B$14=1,BM9*管理者用人口入力シート!AO$3,IF(管理者入力シート!$B$14=2,BM9*管理者用人口入力シート!AO$7))</f>
        <v>66.882897288861528</v>
      </c>
      <c r="BO12" s="9">
        <f>IF(管理者入力シート!$B$14=1,BN9*管理者用人口入力シート!AP$3,IF(管理者入力シート!$B$14=2,BN9*管理者用人口入力シート!AP$7))</f>
        <v>42.03577190359831</v>
      </c>
      <c r="BP12" s="9">
        <f>IF(管理者入力シート!$B$14=1,BO9*管理者用人口入力シート!AQ$3,IF(管理者入力シート!$B$14=2,BO9*管理者用人口入力シート!AQ$7))</f>
        <v>50.38389119808722</v>
      </c>
      <c r="BQ12" s="9">
        <f>IF(管理者入力シート!$B$14=1,BP9*管理者用人口入力シート!AR$3,IF(管理者入力シート!$B$14=2,BP9*管理者用人口入力シート!AR$7))</f>
        <v>58.480440705930022</v>
      </c>
      <c r="BR12" s="9">
        <f>IF(管理者入力シート!$B$14=1,BQ9*管理者用人口入力シート!AS$3,IF(管理者入力シート!$B$14=2,BQ9*管理者用人口入力シート!AS$7))</f>
        <v>77.801719104024869</v>
      </c>
      <c r="BS12" s="9">
        <f>IF(管理者入力シート!$B$14=1,BR9*管理者用人口入力シート!AT$3,IF(管理者入力シート!$B$14=2,BR9*管理者用人口入力シート!AT$7))</f>
        <v>80.761060169889575</v>
      </c>
      <c r="BT12" s="9">
        <f>IF(管理者入力シート!$B$14=1,BS9*管理者用人口入力シート!AU$3,IF(管理者入力シート!$B$14=2,BS9*管理者用人口入力シート!AU$7))</f>
        <v>74.553658734613748</v>
      </c>
      <c r="BU12" s="9">
        <f>IF(管理者入力シート!$B$14=1,BT9*管理者用人口入力シート!AV$3,IF(管理者入力シート!$B$14=2,BT9*管理者用人口入力シート!AV$7))</f>
        <v>116.62224573302818</v>
      </c>
      <c r="BV12" s="9">
        <f>IF(管理者入力シート!$B$14=1,BU9*管理者用人口入力シート!AW$3,IF(管理者入力シート!$B$14=2,BU9*管理者用人口入力シート!AW$7))</f>
        <v>147.45823769964272</v>
      </c>
      <c r="BW12" s="9">
        <f>IF(管理者入力シート!$B$14=1,BV9*管理者用人口入力シート!AX$3,IF(管理者入力シート!$B$14=2,BV9*管理者用人口入力シート!AX$7))</f>
        <v>160.87146769534451</v>
      </c>
      <c r="BX12" s="9">
        <f>IF(管理者入力シート!$B$14=1,BW9*管理者用人口入力シート!AY$3,IF(管理者入力シート!$B$14=2,BW9*管理者用人口入力シート!AY$7))</f>
        <v>196.71394183356699</v>
      </c>
      <c r="BY12" s="9">
        <f>IF(管理者入力シート!$B$14=1,BX9*管理者用人口入力シート!AZ$3,IF(管理者入力シート!$B$14=2,BX9*管理者用人口入力シート!AZ$7))</f>
        <v>137.95328854863101</v>
      </c>
      <c r="BZ12" s="9">
        <f>IF(管理者入力シート!$B$14=1,BY9*管理者用人口入力シート!BA$3,IF(管理者入力シート!$B$14=2,BY9*管理者用人口入力シート!BA$7))</f>
        <v>139.38808053178678</v>
      </c>
      <c r="CA12" s="9">
        <f>IF(管理者入力シート!$B$14=1,BZ9*管理者用人口入力シート!BB$3,IF(管理者入力シート!$B$14=2,BZ9*管理者用人口入力シート!BB$7))</f>
        <v>156.15558903918986</v>
      </c>
      <c r="CB12" s="9">
        <f>IF(管理者入力シート!$B$14=1,CA9*管理者用人口入力シート!BC$3,IF(管理者入力シート!$B$14=2,CA9*管理者用人口入力シート!BC$7))</f>
        <v>127.35168329518741</v>
      </c>
      <c r="CC12" s="9">
        <f>IF(管理者入力シート!$B$14=1,CB9*管理者用人口入力シート!BD$3,IF(管理者入力シート!$B$14=2,CB9*管理者用人口入力シート!BD$7))</f>
        <v>42.968379168248148</v>
      </c>
      <c r="CD12" s="9">
        <f>IF(管理者入力シート!$B$14=1,CC9*管理者用人口入力シート!BE$3,IF(管理者入力シート!$B$14=2,CC9*管理者用人口入力シート!BE$7))</f>
        <v>6.5131613404835784</v>
      </c>
      <c r="CE12" s="9">
        <f>IF(管理者入力シート!$B$14=1,CD9*管理者用人口入力シート!BF$3,IF(管理者入力シート!$B$14=2,CD9*管理者用人口入力シート!BF$7))</f>
        <v>8.2375508813723203E-3</v>
      </c>
      <c r="CF12" s="9">
        <f t="shared" si="2"/>
        <v>1866.7350690265478</v>
      </c>
      <c r="CG12" s="9">
        <f t="shared" si="20"/>
        <v>81.051532965454697</v>
      </c>
      <c r="CH12" s="9">
        <f t="shared" si="21"/>
        <v>42.35168734488223</v>
      </c>
      <c r="CI12" s="9">
        <f t="shared" si="3"/>
        <v>807.05236130797527</v>
      </c>
      <c r="CJ12" s="9">
        <f t="shared" si="22"/>
        <v>472.3851309257771</v>
      </c>
      <c r="CK12" s="13">
        <f t="shared" si="23"/>
        <v>0.43233363678587311</v>
      </c>
      <c r="CL12" s="13">
        <f t="shared" si="24"/>
        <v>0.25305419004750002</v>
      </c>
      <c r="CM12" s="9">
        <f t="shared" si="25"/>
        <v>228.70182291164042</v>
      </c>
      <c r="CO12" s="7" t="str">
        <f t="shared" si="26"/>
        <v>2040_1</v>
      </c>
      <c r="CP12" s="28">
        <f>管理者入力シート!B11</f>
        <v>2040</v>
      </c>
      <c r="CQ12" s="3" t="s">
        <v>21</v>
      </c>
      <c r="CR12" s="9">
        <f>DT13*$AK$13+将来予測シート②!$G17</f>
        <v>51.240404655277139</v>
      </c>
      <c r="CS12" s="9">
        <f>IF(管理者入力シート!$B$14=1,CR9*管理者用人口入力シート!AM$3,IF(管理者入力シート!$B$14=2,CR9*管理者用人口入力シート!AM$7))+将来予測シート②!$G18</f>
        <v>65.266631687630763</v>
      </c>
      <c r="CT12" s="9">
        <f>IF(管理者入力シート!$B$14=1,CS9*管理者用人口入力シート!AN$3,IF(管理者入力シート!$B$14=2,CS9*管理者用人口入力シート!AN$7))+将来予測シート②!$G19</f>
        <v>75.533612950009982</v>
      </c>
      <c r="CU12" s="9">
        <f>IF(管理者入力シート!$B$14=1,CT9*管理者用人口入力シート!AO$3,IF(管理者入力シート!$B$14=2,CT9*管理者用人口入力シート!AO$7))+将来予測シート②!$G20</f>
        <v>68.556010024688092</v>
      </c>
      <c r="CV12" s="9">
        <f>IF(管理者入力シート!$B$14=1,CU9*管理者用人口入力シート!AP$3,IF(管理者入力シート!$B$14=2,CU9*管理者用人口入力シート!AP$7))+将来予測シート②!$G21</f>
        <v>42.437843934685056</v>
      </c>
      <c r="CW12" s="9">
        <f>IF(管理者入力シート!$B$14=1,CV9*管理者用人口入力シート!AQ$3,IF(管理者入力シート!$B$14=2,CV9*管理者用人口入力シート!AQ$7))+将来予測シート②!$G22</f>
        <v>52.767980966036603</v>
      </c>
      <c r="CX12" s="9">
        <f>IF(管理者入力シート!$B$14=1,CW9*管理者用人口入力シート!AR$3,IF(管理者入力シート!$B$14=2,CW9*管理者用人口入力シート!AR$7))+将来予測シート②!$G23</f>
        <v>60.419541933468153</v>
      </c>
      <c r="CY12" s="9">
        <f>IF(管理者入力シート!$B$14=1,CX9*管理者用人口入力シート!AS$3,IF(管理者入力シート!$B$14=2,CX9*管理者用人口入力シート!AS$7))+将来予測シート②!$G24</f>
        <v>79.771451612883212</v>
      </c>
      <c r="CZ12" s="9">
        <f>IF(管理者入力シート!$B$14=1,CY9*管理者用人口入力シート!AT$3,IF(管理者入力シート!$B$14=2,CY9*管理者用人口入力シート!AT$7))+将来予測シート②!$G25</f>
        <v>82.682188482892514</v>
      </c>
      <c r="DA12" s="9">
        <f>IF(管理者入力シート!$B$14=1,CZ9*管理者用人口入力シート!AU$3,IF(管理者入力シート!$B$14=2,CZ9*管理者用人口入力シート!AU$7))+将来予測シート②!$G26</f>
        <v>74.553658734613748</v>
      </c>
      <c r="DB12" s="9">
        <f>IF(管理者入力シート!$B$14=1,DA9*管理者用人口入力シート!AV$3,IF(管理者入力シート!$B$14=2,DA9*管理者用人口入力シート!AV$7))+将来予測シート②!$G27</f>
        <v>116.62224573302818</v>
      </c>
      <c r="DC12" s="9">
        <f>IF(管理者入力シート!$B$14=1,DB9*管理者用人口入力シート!AW$3,IF(管理者入力シート!$B$14=2,DB9*管理者用人口入力シート!AW$7))+将来予測シート②!$G28</f>
        <v>147.45823769964272</v>
      </c>
      <c r="DD12" s="9">
        <f>IF(管理者入力シート!$B$14=1,DC9*管理者用人口入力シート!AX$3,IF(管理者入力シート!$B$14=2,DC9*管理者用人口入力シート!AX$7))+将来予測シート②!$G29</f>
        <v>160.87146769534451</v>
      </c>
      <c r="DE12" s="9">
        <f>IF(管理者入力シート!$B$14=1,DD9*管理者用人口入力シート!AY$3,IF(管理者入力シート!$B$14=2,DD9*管理者用人口入力シート!AY$7))</f>
        <v>196.71394183356699</v>
      </c>
      <c r="DF12" s="9">
        <f>IF(管理者入力シート!$B$14=1,DE9*管理者用人口入力シート!AZ$3,IF(管理者入力シート!$B$14=2,DE9*管理者用人口入力シート!AZ$7))</f>
        <v>137.95328854863101</v>
      </c>
      <c r="DG12" s="9">
        <f>IF(管理者入力シート!$B$14=1,DF9*管理者用人口入力シート!BA$3,IF(管理者入力シート!$B$14=2,DF9*管理者用人口入力シート!BA$7))</f>
        <v>139.38808053178678</v>
      </c>
      <c r="DH12" s="9">
        <f>IF(管理者入力シート!$B$14=1,DG9*管理者用人口入力シート!BB$3,IF(管理者入力シート!$B$14=2,DG9*管理者用人口入力シート!BB$7))</f>
        <v>156.15558903918986</v>
      </c>
      <c r="DI12" s="9">
        <f>IF(管理者入力シート!$B$14=1,DH9*管理者用人口入力シート!BC$3,IF(管理者入力シート!$B$14=2,DH9*管理者用人口入力シート!BC$7))</f>
        <v>127.35168329518741</v>
      </c>
      <c r="DJ12" s="9">
        <f>IF(管理者入力シート!$B$14=1,DI9*管理者用人口入力シート!BD$3,IF(管理者入力シート!$B$14=2,DI9*管理者用人口入力シート!BD$7))</f>
        <v>42.968379168248148</v>
      </c>
      <c r="DK12" s="9">
        <f>IF(管理者入力シート!$B$14=1,DJ9*管理者用人口入力シート!BE$3,IF(管理者入力シート!$B$14=2,DJ9*管理者用人口入力シート!BE$7))</f>
        <v>6.5131613404835784</v>
      </c>
      <c r="DL12" s="9">
        <f>IF(管理者入力シート!$B$14=1,DK9*管理者用人口入力シート!BF$3,IF(管理者入力シート!$B$14=2,DK9*管理者用人口入力シート!BF$7))</f>
        <v>8.2375508813723203E-3</v>
      </c>
      <c r="DM12" s="9">
        <f t="shared" si="69"/>
        <v>1885.2336374181762</v>
      </c>
      <c r="DN12" s="9">
        <f t="shared" si="34"/>
        <v>84.480146782584455</v>
      </c>
      <c r="DO12" s="9">
        <f t="shared" si="35"/>
        <v>43.924647184941612</v>
      </c>
      <c r="DP12" s="9">
        <f t="shared" si="6"/>
        <v>807.05236130797527</v>
      </c>
      <c r="DQ12" s="9">
        <f t="shared" si="36"/>
        <v>472.3851309257771</v>
      </c>
      <c r="DR12" s="13">
        <f t="shared" si="37"/>
        <v>0.42809142871714934</v>
      </c>
      <c r="DS12" s="13">
        <f t="shared" si="38"/>
        <v>0.2505711342880067</v>
      </c>
      <c r="DT12" s="9">
        <f t="shared" si="70"/>
        <v>235.39681844707303</v>
      </c>
      <c r="DV12" s="212"/>
      <c r="DX12" s="28">
        <f>管理者入力シート!B11</f>
        <v>2040</v>
      </c>
      <c r="DY12" s="3" t="s">
        <v>21</v>
      </c>
      <c r="DZ12" s="9">
        <f>FB13*$AK$13</f>
        <v>148.39771222127581</v>
      </c>
      <c r="EA12" s="129">
        <f>IF(管理者入力シート!$B$14=1,DZ9*管理者用人口入力シート!AM$3,IF(管理者入力シート!$B$14=2,DZ9*管理者用人口入力シート!AM$7))</f>
        <v>171.11786605429862</v>
      </c>
      <c r="EB12" s="9">
        <f>IF(管理者入力シート!$B$14=1,EA9*管理者用人口入力シート!AN$3,IF(管理者入力シート!$B$14=2,EA9*管理者用人口入力シート!AN$7))</f>
        <v>165.74496700175953</v>
      </c>
      <c r="EC12" s="9">
        <f>IF(管理者入力シート!$B$14=1,EB9*管理者用人口入力シート!AO$3,IF(管理者入力シート!$B$14=2,EB9*管理者用人口入力シート!AO$7))</f>
        <v>66.882897288861528</v>
      </c>
      <c r="ED12" s="9">
        <f>IF(管理者入力シート!$B$14=1,EC9*管理者用人口入力シート!AP$3,IF(管理者入力シート!$B$14=2,EC9*管理者用人口入力シート!AP$7))</f>
        <v>42.03577190359831</v>
      </c>
      <c r="EE12" s="9">
        <f>IF(管理者入力シート!$B$14=1,ED9*管理者用人口入力シート!AQ$3,IF(管理者入力シート!$B$14=2,ED9*管理者用人口入力シート!AQ$7))+DX1</f>
        <v>126.38389119808721</v>
      </c>
      <c r="EF12" s="9">
        <f>IF(管理者入力シート!$B$14=1,EE9*管理者用人口入力シート!AR$3,IF(管理者入力シート!$B$14=2,EE9*管理者用人口入力シート!AR$7))+DX1</f>
        <v>208.16628735237899</v>
      </c>
      <c r="EG12" s="9">
        <f>IF(管理者入力シート!$B$14=1,EF9*管理者用人口入力シート!AS$3,IF(管理者入力シート!$B$14=2,EF9*管理者用人口入力シート!AS$7))+DX1</f>
        <v>305.85209897502477</v>
      </c>
      <c r="EH12" s="9">
        <f>IF(管理者入力シート!$B$14=1,EG9*管理者用人口入力シート!AT$3,IF(管理者入力シート!$B$14=2,EG9*管理者用人口入力シート!AT$7))</f>
        <v>303.18417579140231</v>
      </c>
      <c r="EI12" s="9">
        <f>IF(管理者入力シート!$B$14=1,EH9*管理者用人口入力シート!AU$3,IF(管理者入力シート!$B$14=2,EH9*管理者用人口入力シート!AU$7))</f>
        <v>221.32914678598081</v>
      </c>
      <c r="EJ12" s="9">
        <f>IF(管理者入力シート!$B$14=1,EI9*管理者用人口入力シート!AV$3,IF(管理者入力シート!$B$14=2,EI9*管理者用人口入力シート!AV$7))</f>
        <v>187.55343750748912</v>
      </c>
      <c r="EK12" s="9">
        <f>IF(管理者入力シート!$B$14=1,EJ9*管理者用人口入力シート!AW$3,IF(管理者入力シート!$B$14=2,EJ9*管理者用人口入力シート!AW$7))</f>
        <v>147.45823769964272</v>
      </c>
      <c r="EL12" s="9">
        <f>IF(管理者入力シート!$B$14=1,EK9*管理者用人口入力シート!AX$3,IF(管理者入力シート!$B$14=2,EK9*管理者用人口入力シート!AX$7))</f>
        <v>160.87146769534451</v>
      </c>
      <c r="EM12" s="9">
        <f>IF(管理者入力シート!$B$14=1,EL9*管理者用人口入力シート!AY$3,IF(管理者入力シート!$B$14=2,EL9*管理者用人口入力シート!AY$7))</f>
        <v>196.71394183356699</v>
      </c>
      <c r="EN12" s="9">
        <f>IF(管理者入力シート!$B$14=1,EM9*管理者用人口入力シート!AZ$3,IF(管理者入力シート!$B$14=2,EM9*管理者用人口入力シート!AZ$7))</f>
        <v>137.95328854863101</v>
      </c>
      <c r="EO12" s="9">
        <f>IF(管理者入力シート!$B$14=1,EN9*管理者用人口入力シート!BA$3,IF(管理者入力シート!$B$14=2,EN9*管理者用人口入力シート!BA$7))</f>
        <v>139.38808053178678</v>
      </c>
      <c r="EP12" s="9">
        <f>IF(管理者入力シート!$B$14=1,EO9*管理者用人口入力シート!BB$3,IF(管理者入力シート!$B$14=2,EO9*管理者用人口入力シート!BB$7))</f>
        <v>156.15558903918986</v>
      </c>
      <c r="EQ12" s="9">
        <f>IF(管理者入力シート!$B$14=1,EP9*管理者用人口入力シート!BC$3,IF(管理者入力シート!$B$14=2,EP9*管理者用人口入力シート!BC$7))</f>
        <v>127.35168329518741</v>
      </c>
      <c r="ER12" s="9">
        <f>IF(管理者入力シート!$B$14=1,EQ9*管理者用人口入力シート!BD$3,IF(管理者入力シート!$B$14=2,EQ9*管理者用人口入力シート!BD$7))</f>
        <v>42.968379168248148</v>
      </c>
      <c r="ES12" s="9">
        <f>IF(管理者入力シート!$B$14=1,ER9*管理者用人口入力シート!BE$3,IF(管理者入力シート!$B$14=2,ER9*管理者用人口入力シート!BE$7))</f>
        <v>6.5131613404835784</v>
      </c>
      <c r="ET12" s="9">
        <f>IF(管理者入力シート!$B$14=1,ES9*管理者用人口入力シート!BF$3,IF(管理者入力シート!$B$14=2,ES9*管理者用人口入力シート!BF$7))</f>
        <v>8.2375508813723203E-3</v>
      </c>
      <c r="EU12" s="9">
        <f t="shared" si="71"/>
        <v>3062.0303187831191</v>
      </c>
      <c r="EV12" s="9">
        <f t="shared" si="41"/>
        <v>202.1176998336349</v>
      </c>
      <c r="EW12" s="9">
        <f t="shared" si="42"/>
        <v>79.674566258476119</v>
      </c>
      <c r="EX12" s="9">
        <f t="shared" si="10"/>
        <v>807.05236130797527</v>
      </c>
      <c r="EY12" s="9">
        <f t="shared" si="43"/>
        <v>472.3851309257771</v>
      </c>
      <c r="EZ12" s="13">
        <f t="shared" si="44"/>
        <v>0.26356772379337701</v>
      </c>
      <c r="FA12" s="13">
        <f t="shared" si="45"/>
        <v>0.15427186596686202</v>
      </c>
      <c r="FB12" s="9">
        <f t="shared" si="72"/>
        <v>682.43804942908923</v>
      </c>
    </row>
    <row r="13" spans="1:158" x14ac:dyDescent="0.15">
      <c r="A13" s="7" t="str">
        <f t="shared" si="11"/>
        <v>2020_2</v>
      </c>
      <c r="B13" s="29">
        <v>2020</v>
      </c>
      <c r="C13" s="4" t="s">
        <v>22</v>
      </c>
      <c r="D13" s="10">
        <v>100.0625579240037</v>
      </c>
      <c r="E13" s="10">
        <v>131.03205128205127</v>
      </c>
      <c r="F13" s="10">
        <v>134.08256101328391</v>
      </c>
      <c r="G13" s="10">
        <v>138.08024405313563</v>
      </c>
      <c r="H13" s="10">
        <v>94.025641025641022</v>
      </c>
      <c r="I13" s="10">
        <v>86.024868705591587</v>
      </c>
      <c r="J13" s="10">
        <v>102.03768921841211</v>
      </c>
      <c r="K13" s="10">
        <v>144.06896818041395</v>
      </c>
      <c r="L13" s="10">
        <v>199.13152610441767</v>
      </c>
      <c r="M13" s="10">
        <v>166.1122953351869</v>
      </c>
      <c r="N13" s="10">
        <v>182.08101637318504</v>
      </c>
      <c r="O13" s="10">
        <v>205.06974050046341</v>
      </c>
      <c r="P13" s="10">
        <v>294.17817423540316</v>
      </c>
      <c r="Q13" s="10">
        <v>325.19894964473275</v>
      </c>
      <c r="R13" s="10">
        <v>309.25200803212851</v>
      </c>
      <c r="S13" s="10">
        <v>226.13793636082792</v>
      </c>
      <c r="T13" s="10">
        <v>242.17253629904232</v>
      </c>
      <c r="U13" s="10">
        <v>208.18945010812482</v>
      </c>
      <c r="V13" s="10">
        <v>109.05537534754403</v>
      </c>
      <c r="W13" s="10">
        <v>41.006410256410255</v>
      </c>
      <c r="X13" s="10">
        <v>7</v>
      </c>
      <c r="Y13" s="10">
        <f t="shared" si="177"/>
        <v>3443.9999999999995</v>
      </c>
      <c r="Z13" s="10">
        <f t="shared" ref="Z13:Z14" si="179">E13*3/5+F13*3/5</f>
        <v>159.06876737720111</v>
      </c>
      <c r="AA13" s="10">
        <f t="shared" ref="AA13:AA14" si="180">F13*2/5+G13*1/5</f>
        <v>81.249073215940683</v>
      </c>
      <c r="AB13" s="10">
        <f t="shared" si="178"/>
        <v>1468.0126660488104</v>
      </c>
      <c r="AC13" s="10">
        <f t="shared" ref="AC13:AC14" si="181">SUM(S13:X13)</f>
        <v>833.56170837194929</v>
      </c>
      <c r="AD13" s="14">
        <f t="shared" ref="AD13:AD14" si="182">AB13/Y13</f>
        <v>0.4262522259142888</v>
      </c>
      <c r="AE13" s="14">
        <f t="shared" ref="AE13:AE14" si="183">AC13/Y13</f>
        <v>0.24203301636816185</v>
      </c>
      <c r="AF13" s="10">
        <f t="shared" ref="AF13:AF14" si="184">SUM(H13:K13)</f>
        <v>426.15716713005867</v>
      </c>
      <c r="AI13" s="60" t="s">
        <v>47</v>
      </c>
      <c r="AJ13" s="1" t="s">
        <v>21</v>
      </c>
      <c r="AK13" s="8">
        <f>VLOOKUP(AK12&amp;"_1",A:D,4,FALSE)/VLOOKUP(AK12&amp;"_2",A:AF,32,FALSE)</f>
        <v>0.2182293462909598</v>
      </c>
      <c r="AL13" s="63"/>
      <c r="BH13" s="7" t="str">
        <f t="shared" si="19"/>
        <v>2040_2</v>
      </c>
      <c r="BI13" s="29">
        <f>BI12</f>
        <v>2040</v>
      </c>
      <c r="BJ13" s="4" t="s">
        <v>22</v>
      </c>
      <c r="BK13" s="10">
        <f>CM13*$AK$14</f>
        <v>52.447229396079706</v>
      </c>
      <c r="BL13" s="10">
        <f>IF(管理者入力シート!$B$14=1,BK10*管理者用人口入力シート!AM$4,IF(管理者入力シート!$B$14=2,BK10*管理者用人口入力シート!AM$8))</f>
        <v>63.798971687919746</v>
      </c>
      <c r="BM13" s="10">
        <f>IF(管理者入力シート!$B$14=1,BL10*管理者用人口入力シート!AN$4,IF(管理者入力シート!$B$14=2,BL10*管理者用人口入力シート!AN$8))</f>
        <v>72.308095395416629</v>
      </c>
      <c r="BN13" s="10">
        <f>IF(管理者入力シート!$B$14=1,BM10*管理者用人口入力シート!AO$4,IF(管理者入力シート!$B$14=2,BM10*管理者用人口入力シート!AO$8))</f>
        <v>72.911699597993504</v>
      </c>
      <c r="BO13" s="10">
        <f>IF(管理者入力シート!$B$14=1,BN10*管理者用人口入力シート!AP$4,IF(管理者入力シート!$B$14=2,BN10*管理者用人口入力シート!AP$8))</f>
        <v>49.311345818745679</v>
      </c>
      <c r="BP13" s="10">
        <f>IF(管理者入力シート!$B$14=1,BO10*管理者用人口入力シート!AQ$4,IF(管理者入力シート!$B$14=2,BO10*管理者用人口入力シート!AQ$8))</f>
        <v>54.292691128717344</v>
      </c>
      <c r="BQ13" s="10">
        <f>IF(管理者入力シート!$B$14=1,BP10*管理者用人口入力シート!AR$4,IF(管理者入力シート!$B$14=2,BP10*管理者用人口入力シート!AR$8))</f>
        <v>53.801653197798338</v>
      </c>
      <c r="BR13" s="10">
        <f>IF(管理者入力シート!$B$14=1,BQ10*管理者用人口入力シート!AS$4,IF(管理者入力シート!$B$14=2,BQ10*管理者用人口入力シート!AS$8))</f>
        <v>65.962202570701379</v>
      </c>
      <c r="BS13" s="10">
        <f>IF(管理者入力シート!$B$14=1,BR10*管理者用人口入力シート!AT$4,IF(管理者入力シート!$B$14=2,BR10*管理者用人口入力シート!AT$8))</f>
        <v>79.299597957629672</v>
      </c>
      <c r="BT13" s="10">
        <f>IF(管理者入力シート!$B$14=1,BS10*管理者用人口入力シート!AU$4,IF(管理者入力シート!$B$14=2,BS10*管理者用人口入力シート!AU$8))</f>
        <v>80.173001596689161</v>
      </c>
      <c r="BU13" s="10">
        <f>IF(管理者入力シート!$B$14=1,BT10*管理者用人口入力シート!AV$4,IF(管理者入力シート!$B$14=2,BT10*管理者用人口入力シート!AV$8))</f>
        <v>97.508219754922521</v>
      </c>
      <c r="BV13" s="10">
        <f>IF(管理者入力シート!$B$14=1,BU10*管理者用人口入力シート!AW$4,IF(管理者入力シート!$B$14=2,BU10*管理者用人口入力シート!AW$8))</f>
        <v>131.56611032993291</v>
      </c>
      <c r="BW13" s="10">
        <f>IF(管理者入力シート!$B$14=1,BV10*管理者用人口入力シート!AX$4,IF(管理者入力シート!$B$14=2,BV10*管理者用人口入力シート!AX$8))</f>
        <v>190.15841468458001</v>
      </c>
      <c r="BX13" s="10">
        <f>IF(管理者入力シート!$B$14=1,BW10*管理者用人口入力シート!AY$4,IF(管理者入力シート!$B$14=2,BW10*管理者用人口入力シート!AY$8))</f>
        <v>164.41628068452249</v>
      </c>
      <c r="BY13" s="10">
        <f>IF(管理者入力シート!$B$14=1,BX10*管理者用人口入力シート!AZ$4,IF(管理者入力シート!$B$14=2,BX10*管理者用人口入力シート!AZ$8))</f>
        <v>175.36894205831871</v>
      </c>
      <c r="BZ13" s="10">
        <f>IF(管理者入力シート!$B$14=1,BY10*管理者用人口入力シート!BA$4,IF(管理者入力シート!$B$14=2,BY10*管理者用人口入力シート!BA$8))</f>
        <v>191.61504954343465</v>
      </c>
      <c r="CA13" s="10">
        <f>IF(管理者入力シート!$B$14=1,BZ10*管理者用人口入力シート!BB$4,IF(管理者入力シート!$B$14=2,BZ10*管理者用人口入力シート!BB$8))</f>
        <v>227.05201877717408</v>
      </c>
      <c r="CB13" s="10">
        <f>IF(管理者入力シート!$B$14=1,CA10*管理者用人口入力シート!BC$4,IF(管理者入力シート!$B$14=2,CA10*管理者用人口入力シート!BC$8))</f>
        <v>182.70578898821609</v>
      </c>
      <c r="CC13" s="10">
        <f>IF(管理者入力シート!$B$14=1,CB10*管理者用人口入力シート!BD$4,IF(管理者入力シート!$B$14=2,CB10*管理者用人口入力シート!BD$8))</f>
        <v>94.82869127728722</v>
      </c>
      <c r="CD13" s="10">
        <f>IF(管理者入力シート!$B$14=1,CC10*管理者用人口入力シート!BE$4,IF(管理者入力シート!$B$14=2,CC10*管理者用人口入力シート!BE$8))</f>
        <v>25.954247981991358</v>
      </c>
      <c r="CE13" s="10">
        <f>IF(管理者入力シート!$B$14=1,CD10*管理者用人口入力シート!BF$4,IF(管理者入力シート!$B$14=2,CD10*管理者用人口入力シート!BF$8))</f>
        <v>8.2316632457141559</v>
      </c>
      <c r="CF13" s="10">
        <f t="shared" si="2"/>
        <v>2133.7119156737854</v>
      </c>
      <c r="CG13" s="10">
        <f t="shared" si="20"/>
        <v>81.664240250001825</v>
      </c>
      <c r="CH13" s="10">
        <f t="shared" si="21"/>
        <v>43.50557807776535</v>
      </c>
      <c r="CI13" s="10">
        <f t="shared" si="3"/>
        <v>1070.1726825566586</v>
      </c>
      <c r="CJ13" s="10">
        <f t="shared" si="22"/>
        <v>730.38745981381749</v>
      </c>
      <c r="CK13" s="14">
        <f t="shared" si="23"/>
        <v>0.5015544388609362</v>
      </c>
      <c r="CL13" s="14">
        <f t="shared" si="24"/>
        <v>0.34230837558179689</v>
      </c>
      <c r="CM13" s="10">
        <f t="shared" si="25"/>
        <v>223.36789271596274</v>
      </c>
      <c r="CO13" s="7" t="str">
        <f t="shared" si="26"/>
        <v>2040_2</v>
      </c>
      <c r="CP13" s="29">
        <f>CP12</f>
        <v>2040</v>
      </c>
      <c r="CQ13" s="4" t="s">
        <v>22</v>
      </c>
      <c r="CR13" s="10">
        <f>DT13*$AK$14+将来予測シート②!$H17</f>
        <v>55.055735494022088</v>
      </c>
      <c r="CS13" s="10">
        <f>IF(管理者入力シート!$B$14=1,CR10*管理者用人口入力シート!AM$4,IF(管理者入力シート!$B$14=2,CR10*管理者用人口入力シート!AM$8))+将来予測シート②!$H18</f>
        <v>66.387349257609756</v>
      </c>
      <c r="CT13" s="10">
        <f>IF(管理者入力シート!$B$14=1,CS10*管理者用人口入力シート!AN$4,IF(管理者入力シート!$B$14=2,CS10*管理者用人口入力シート!AN$8))+将来予測シート②!$H19</f>
        <v>75.320983237293575</v>
      </c>
      <c r="CU13" s="10">
        <f>IF(管理者入力シート!$B$14=1,CT10*管理者用人口入力シート!AO$4,IF(管理者入力シート!$B$14=2,CT10*管理者用人口入力シート!AO$8))+将来予測シート②!$H20</f>
        <v>74.669035691277571</v>
      </c>
      <c r="CV13" s="10">
        <f>IF(管理者入力シート!$B$14=1,CU10*管理者用人口入力シート!AP$4,IF(管理者入力シート!$B$14=2,CU10*管理者用人口入力シート!AP$8))+将来予測シート②!$H21</f>
        <v>49.783854552844673</v>
      </c>
      <c r="CW13" s="10">
        <f>IF(管理者入力シート!$B$14=1,CV10*管理者用人口入力シート!AQ$4,IF(管理者入力シート!$B$14=2,CV10*管理者用人口入力シート!AQ$8))+将来予測シート②!$H22</f>
        <v>56.701986454586759</v>
      </c>
      <c r="CX13" s="10">
        <f>IF(管理者入力シート!$B$14=1,CW10*管理者用人口入力シート!AR$4,IF(管理者入力シート!$B$14=2,CW10*管理者用人口入力シート!AR$8))+将来予測シート②!$H23</f>
        <v>55.762377513917706</v>
      </c>
      <c r="CY13" s="10">
        <f>IF(管理者入力シート!$B$14=1,CX10*管理者用人口入力シート!AS$4,IF(管理者入力シート!$B$14=2,CX10*管理者用人口入力シート!AS$8))+将来予測シート②!$H24</f>
        <v>67.970152697583302</v>
      </c>
      <c r="CZ13" s="10">
        <f>IF(管理者入力シート!$B$14=1,CY10*管理者用人口入力シート!AT$4,IF(管理者入力シート!$B$14=2,CY10*管理者用人口入力シート!AT$8))+将来予測シート②!$H25</f>
        <v>82.246874955558425</v>
      </c>
      <c r="DA13" s="10">
        <f>IF(管理者入力シート!$B$14=1,CZ10*管理者用人口入力シート!AU$4,IF(管理者入力シート!$B$14=2,CZ10*管理者用人口入力シート!AU$8))+将来予測シート②!$H26</f>
        <v>81.1302097448377</v>
      </c>
      <c r="DB13" s="10">
        <f>IF(管理者入力シート!$B$14=1,DA10*管理者用人口入力シート!AV$4,IF(管理者入力シート!$B$14=2,DA10*管理者用人口入力シート!AV$8))+将来予測シート②!$H27</f>
        <v>98.470428752323258</v>
      </c>
      <c r="DC13" s="10">
        <f>IF(管理者入力シート!$B$14=1,DB10*管理者用人口入力シート!AW$4,IF(管理者入力シート!$B$14=2,DB10*管理者用人口入力シート!AW$8))+将来予測シート②!$H28</f>
        <v>132.50778042223553</v>
      </c>
      <c r="DD13" s="10">
        <f>IF(管理者入力シート!$B$14=1,DC10*管理者用人口入力シート!AX$4,IF(管理者入力シート!$B$14=2,DC10*管理者用人口入力シート!AX$8))+将来予測シート②!$H29</f>
        <v>190.15841468458001</v>
      </c>
      <c r="DE13" s="10">
        <f>IF(管理者入力シート!$B$14=1,DD10*管理者用人口入力シート!AY$4,IF(管理者入力シート!$B$14=2,DD10*管理者用人口入力シート!AY$8))</f>
        <v>164.41628068452249</v>
      </c>
      <c r="DF13" s="10">
        <f>IF(管理者入力シート!$B$14=1,DE10*管理者用人口入力シート!AZ$4,IF(管理者入力シート!$B$14=2,DE10*管理者用人口入力シート!AZ$8))</f>
        <v>175.36894205831871</v>
      </c>
      <c r="DG13" s="10">
        <f>IF(管理者入力シート!$B$14=1,DF10*管理者用人口入力シート!BA$4,IF(管理者入力シート!$B$14=2,DF10*管理者用人口入力シート!BA$8))</f>
        <v>191.61504954343465</v>
      </c>
      <c r="DH13" s="10">
        <f>IF(管理者入力シート!$B$14=1,DG10*管理者用人口入力シート!BB$4,IF(管理者入力シート!$B$14=2,DG10*管理者用人口入力シート!BB$8))</f>
        <v>227.05201877717408</v>
      </c>
      <c r="DI13" s="10">
        <f>IF(管理者入力シート!$B$14=1,DH10*管理者用人口入力シート!BC$4,IF(管理者入力シート!$B$14=2,DH10*管理者用人口入力シート!BC$8))</f>
        <v>182.70578898821609</v>
      </c>
      <c r="DJ13" s="10">
        <f>IF(管理者入力シート!$B$14=1,DI10*管理者用人口入力シート!BD$4,IF(管理者入力シート!$B$14=2,DI10*管理者用人口入力シート!BD$8))</f>
        <v>94.82869127728722</v>
      </c>
      <c r="DK13" s="10">
        <f>IF(管理者入力シート!$B$14=1,DJ10*管理者用人口入力シート!BE$4,IF(管理者入力シート!$B$14=2,DJ10*管理者用人口入力シート!BE$8))</f>
        <v>25.954247981991358</v>
      </c>
      <c r="DL13" s="10">
        <f>IF(管理者入力シート!$B$14=1,DK10*管理者用人口入力シート!BF$4,IF(管理者入力シート!$B$14=2,DK10*管理者用人口入力シート!BF$8))</f>
        <v>8.2316632457141559</v>
      </c>
      <c r="DM13" s="10">
        <f t="shared" si="69"/>
        <v>2156.3378660153289</v>
      </c>
      <c r="DN13" s="10">
        <f t="shared" si="34"/>
        <v>85.024999496942002</v>
      </c>
      <c r="DO13" s="10">
        <f t="shared" si="35"/>
        <v>45.062200433172947</v>
      </c>
      <c r="DP13" s="10">
        <f t="shared" si="6"/>
        <v>1070.1726825566586</v>
      </c>
      <c r="DQ13" s="10">
        <f t="shared" si="36"/>
        <v>730.38745981381749</v>
      </c>
      <c r="DR13" s="14">
        <f t="shared" si="37"/>
        <v>0.49629174510310758</v>
      </c>
      <c r="DS13" s="14">
        <f t="shared" si="38"/>
        <v>0.33871661362766486</v>
      </c>
      <c r="DT13" s="10">
        <f t="shared" si="70"/>
        <v>230.21837121893245</v>
      </c>
      <c r="DV13" s="62"/>
      <c r="DX13" s="29">
        <f>DX12</f>
        <v>2040</v>
      </c>
      <c r="DY13" s="4" t="s">
        <v>22</v>
      </c>
      <c r="DZ13" s="10">
        <f>FB13*$AK$14</f>
        <v>159.667254569151</v>
      </c>
      <c r="EA13" s="10">
        <f>IF(管理者入力シート!$B$14=1,DZ10*管理者用人口入力シート!AM$4,IF(管理者入力シート!$B$14=2,DZ10*管理者用人口入力シート!AM$8))</f>
        <v>174.26132089810878</v>
      </c>
      <c r="EB13" s="10">
        <f>IF(管理者入力シート!$B$14=1,EA10*管理者用人口入力シート!AN$4,IF(管理者入力シート!$B$14=2,EA10*管理者用人口入力シート!AN$8))</f>
        <v>165.44825899481822</v>
      </c>
      <c r="EC13" s="10">
        <f>IF(管理者入力シート!$B$14=1,EB10*管理者用人口入力シート!AO$4,IF(管理者入力シート!$B$14=2,EB10*管理者用人口入力シート!AO$8))</f>
        <v>72.911699597993504</v>
      </c>
      <c r="ED13" s="10">
        <f>IF(管理者入力シート!$B$14=1,EC10*管理者用人口入力シート!AP$4,IF(管理者入力シート!$B$14=2,EC10*管理者用人口入力シート!AP$8))</f>
        <v>49.311345818745679</v>
      </c>
      <c r="EE13" s="10">
        <f>IF(管理者入力シート!$B$14=1,ED10*管理者用人口入力シート!AQ$4,IF(管理者入力シート!$B$14=2,ED10*管理者用人口入力シート!AQ$8))+DX1</f>
        <v>130.29269112871734</v>
      </c>
      <c r="EF13" s="10">
        <f>IF(管理者入力シート!$B$14=1,EE10*管理者用人口入力シート!AR$4,IF(管理者入力シート!$B$14=2,EE10*管理者用人口入力シート!AR$8))+DX1</f>
        <v>204.30917721033418</v>
      </c>
      <c r="EG13" s="10">
        <f>IF(管理者入力シート!$B$14=1,EF10*管理者用人口入力シート!AS$4,IF(管理者入力シート!$B$14=2,EF10*管理者用人口入力シート!AS$8))+DX1</f>
        <v>296.09483582930579</v>
      </c>
      <c r="EH13" s="10">
        <f>IF(管理者入力シート!$B$14=1,EG10*管理者用人口入力シート!AT$4,IF(管理者入力シート!$B$14=2,EG10*管理者用人口入力シート!AT$8))</f>
        <v>302.47843951239616</v>
      </c>
      <c r="EI13" s="10">
        <f>IF(管理者入力シート!$B$14=1,EH10*管理者用人口入力シート!AU$4,IF(管理者入力シート!$B$14=2,EH10*管理者用人口入力シート!AU$8))</f>
        <v>222.97152968071617</v>
      </c>
      <c r="EJ13" s="10">
        <f>IF(管理者入力シート!$B$14=1,EI10*管理者用人口入力シート!AV$4,IF(管理者入力シート!$B$14=2,EI10*管理者用人口入力シート!AV$8))</f>
        <v>168.42643835473257</v>
      </c>
      <c r="EK13" s="10">
        <f>IF(管理者入力シート!$B$14=1,EJ10*管理者用人口入力シート!AW$4,IF(管理者入力シート!$B$14=2,EJ10*管理者用人口入力シート!AW$8))</f>
        <v>131.56611032993291</v>
      </c>
      <c r="EL13" s="10">
        <f>IF(管理者入力シート!$B$14=1,EK10*管理者用人口入力シート!AX$4,IF(管理者入力シート!$B$14=2,EK10*管理者用人口入力シート!AX$8))</f>
        <v>190.15841468458001</v>
      </c>
      <c r="EM13" s="10">
        <f>IF(管理者入力シート!$B$14=1,EL10*管理者用人口入力シート!AY$4,IF(管理者入力シート!$B$14=2,EL10*管理者用人口入力シート!AY$8))</f>
        <v>164.41628068452249</v>
      </c>
      <c r="EN13" s="10">
        <f>IF(管理者入力シート!$B$14=1,EM10*管理者用人口入力シート!AZ$4,IF(管理者入力シート!$B$14=2,EM10*管理者用人口入力シート!AZ$8))</f>
        <v>175.36894205831871</v>
      </c>
      <c r="EO13" s="10">
        <f>IF(管理者入力シート!$B$14=1,EN10*管理者用人口入力シート!BA$4,IF(管理者入力シート!$B$14=2,EN10*管理者用人口入力シート!BA$8))</f>
        <v>191.61504954343465</v>
      </c>
      <c r="EP13" s="10">
        <f>IF(管理者入力シート!$B$14=1,EO10*管理者用人口入力シート!BB$4,IF(管理者入力シート!$B$14=2,EO10*管理者用人口入力シート!BB$8))</f>
        <v>227.05201877717408</v>
      </c>
      <c r="EQ13" s="10">
        <f>IF(管理者入力シート!$B$14=1,EP10*管理者用人口入力シート!BC$4,IF(管理者入力シート!$B$14=2,EP10*管理者用人口入力シート!BC$8))</f>
        <v>182.70578898821609</v>
      </c>
      <c r="ER13" s="10">
        <f>IF(管理者入力シート!$B$14=1,EQ10*管理者用人口入力シート!BD$4,IF(管理者入力シート!$B$14=2,EQ10*管理者用人口入力シート!BD$8))</f>
        <v>94.82869127728722</v>
      </c>
      <c r="ES13" s="10">
        <f>IF(管理者入力シート!$B$14=1,ER10*管理者用人口入力シート!BE$4,IF(管理者入力シート!$B$14=2,ER10*管理者用人口入力シート!BE$8))</f>
        <v>25.954247981991358</v>
      </c>
      <c r="ET13" s="10">
        <f>IF(管理者入力シート!$B$14=1,ES10*管理者用人口入力シート!BF$4,IF(管理者入力シート!$B$14=2,ES10*管理者用人口入力シート!BF$8))</f>
        <v>8.2316632457141559</v>
      </c>
      <c r="EU13" s="10">
        <f t="shared" si="71"/>
        <v>3338.0701991661908</v>
      </c>
      <c r="EV13" s="10">
        <f t="shared" si="41"/>
        <v>203.8257479357562</v>
      </c>
      <c r="EW13" s="10">
        <f t="shared" si="42"/>
        <v>80.761643517525982</v>
      </c>
      <c r="EX13" s="10">
        <f t="shared" si="10"/>
        <v>1070.1726825566586</v>
      </c>
      <c r="EY13" s="10">
        <f t="shared" si="43"/>
        <v>730.38745981381749</v>
      </c>
      <c r="EZ13" s="14">
        <f t="shared" si="44"/>
        <v>0.32059621838509411</v>
      </c>
      <c r="FA13" s="14">
        <f t="shared" si="45"/>
        <v>0.2188053025356565</v>
      </c>
      <c r="FB13" s="10">
        <f t="shared" si="72"/>
        <v>680.00804998710305</v>
      </c>
    </row>
    <row r="14" spans="1:158" x14ac:dyDescent="0.15">
      <c r="A14" s="7" t="str">
        <f t="shared" si="11"/>
        <v>2020_3</v>
      </c>
      <c r="B14" s="30">
        <v>2020</v>
      </c>
      <c r="C14" s="5" t="s">
        <v>23</v>
      </c>
      <c r="D14" s="11">
        <v>193.0625579240037</v>
      </c>
      <c r="E14" s="11">
        <v>258.0450382950383</v>
      </c>
      <c r="F14" s="11">
        <v>291.12152205224493</v>
      </c>
      <c r="G14" s="11">
        <v>300.08024405313563</v>
      </c>
      <c r="H14" s="11">
        <v>182.03862803862802</v>
      </c>
      <c r="I14" s="11">
        <v>165.03785571857861</v>
      </c>
      <c r="J14" s="11">
        <v>225.05067623139911</v>
      </c>
      <c r="K14" s="11">
        <v>297.09494220638794</v>
      </c>
      <c r="L14" s="11">
        <v>366.17048714337869</v>
      </c>
      <c r="M14" s="11">
        <v>373.19021741310894</v>
      </c>
      <c r="N14" s="11">
        <v>337.11997741214606</v>
      </c>
      <c r="O14" s="11">
        <v>393.0957145264374</v>
      </c>
      <c r="P14" s="11">
        <v>573.28207033929925</v>
      </c>
      <c r="Q14" s="11">
        <v>664.40674185252487</v>
      </c>
      <c r="R14" s="11">
        <v>583.32993011005055</v>
      </c>
      <c r="S14" s="11">
        <v>399.25481947771107</v>
      </c>
      <c r="T14" s="11">
        <v>403.25045837696439</v>
      </c>
      <c r="U14" s="11">
        <v>316.26737218604688</v>
      </c>
      <c r="V14" s="11">
        <v>156.09433638650506</v>
      </c>
      <c r="W14" s="11">
        <v>47.006410256410255</v>
      </c>
      <c r="X14" s="11">
        <v>7</v>
      </c>
      <c r="Y14" s="11">
        <f t="shared" si="177"/>
        <v>6530.9999999999991</v>
      </c>
      <c r="Z14" s="11">
        <f t="shared" si="179"/>
        <v>329.49993620836995</v>
      </c>
      <c r="AA14" s="11">
        <f t="shared" si="180"/>
        <v>176.46465763152509</v>
      </c>
      <c r="AB14" s="11">
        <f t="shared" si="178"/>
        <v>2576.6100686462132</v>
      </c>
      <c r="AC14" s="11">
        <f t="shared" si="181"/>
        <v>1328.8733966836376</v>
      </c>
      <c r="AD14" s="15">
        <f t="shared" si="182"/>
        <v>0.39451999213691835</v>
      </c>
      <c r="AE14" s="15">
        <f t="shared" si="183"/>
        <v>0.20347165773750386</v>
      </c>
      <c r="AF14" s="11">
        <f t="shared" si="184"/>
        <v>869.22210219499368</v>
      </c>
      <c r="AI14" s="43"/>
      <c r="AJ14" s="1" t="s">
        <v>22</v>
      </c>
      <c r="AK14" s="8">
        <f>VLOOKUP(AK12&amp;"_2",A:D,4,FALSE)/VLOOKUP(AK12&amp;"_2",A:AF,32,FALSE)</f>
        <v>0.23480200649415728</v>
      </c>
      <c r="AL14" s="63"/>
      <c r="BH14" s="7" t="str">
        <f t="shared" si="19"/>
        <v>2040_3</v>
      </c>
      <c r="BI14" s="30">
        <f>BI13</f>
        <v>2040</v>
      </c>
      <c r="BJ14" s="5" t="s">
        <v>23</v>
      </c>
      <c r="BK14" s="16">
        <f>BK12+BK13</f>
        <v>101.1926586058735</v>
      </c>
      <c r="BL14" s="16">
        <f t="shared" ref="BL14" si="185">BL12+BL13</f>
        <v>126.44709024590276</v>
      </c>
      <c r="BM14" s="16">
        <f t="shared" ref="BM14" si="186">BM12+BM13</f>
        <v>144.74586511319143</v>
      </c>
      <c r="BN14" s="16">
        <f t="shared" ref="BN14" si="187">BN12+BN13</f>
        <v>139.79459688685503</v>
      </c>
      <c r="BO14" s="16">
        <f t="shared" ref="BO14" si="188">BO12+BO13</f>
        <v>91.347117722343995</v>
      </c>
      <c r="BP14" s="16">
        <f t="shared" ref="BP14" si="189">BP12+BP13</f>
        <v>104.67658232680456</v>
      </c>
      <c r="BQ14" s="16">
        <f t="shared" ref="BQ14" si="190">BQ12+BQ13</f>
        <v>112.28209390372837</v>
      </c>
      <c r="BR14" s="16">
        <f t="shared" ref="BR14" si="191">BR12+BR13</f>
        <v>143.76392167472625</v>
      </c>
      <c r="BS14" s="16">
        <f t="shared" ref="BS14" si="192">BS12+BS13</f>
        <v>160.06065812751925</v>
      </c>
      <c r="BT14" s="16">
        <f t="shared" ref="BT14" si="193">BT12+BT13</f>
        <v>154.72666033130292</v>
      </c>
      <c r="BU14" s="16">
        <f t="shared" ref="BU14" si="194">BU12+BU13</f>
        <v>214.13046548795069</v>
      </c>
      <c r="BV14" s="16">
        <f t="shared" ref="BV14" si="195">BV12+BV13</f>
        <v>279.02434802957566</v>
      </c>
      <c r="BW14" s="16">
        <f t="shared" ref="BW14" si="196">BW12+BW13</f>
        <v>351.02988237992452</v>
      </c>
      <c r="BX14" s="16">
        <f t="shared" ref="BX14" si="197">BX12+BX13</f>
        <v>361.13022251808945</v>
      </c>
      <c r="BY14" s="16">
        <f t="shared" ref="BY14" si="198">BY12+BY13</f>
        <v>313.32223060694969</v>
      </c>
      <c r="BZ14" s="16">
        <f t="shared" ref="BZ14" si="199">BZ12+BZ13</f>
        <v>331.00313007522141</v>
      </c>
      <c r="CA14" s="16">
        <f t="shared" ref="CA14" si="200">CA12+CA13</f>
        <v>383.20760781636397</v>
      </c>
      <c r="CB14" s="16">
        <f t="shared" ref="CB14" si="201">CB12+CB13</f>
        <v>310.05747228340351</v>
      </c>
      <c r="CC14" s="16">
        <f t="shared" ref="CC14" si="202">CC12+CC13</f>
        <v>137.79707044553538</v>
      </c>
      <c r="CD14" s="16">
        <f t="shared" ref="CD14" si="203">CD12+CD13</f>
        <v>32.467409322474936</v>
      </c>
      <c r="CE14" s="16">
        <f t="shared" ref="CE14" si="204">CE12+CE13</f>
        <v>8.2399007965955278</v>
      </c>
      <c r="CF14" s="11">
        <f t="shared" si="2"/>
        <v>4000.4469847003325</v>
      </c>
      <c r="CG14" s="11">
        <f t="shared" si="20"/>
        <v>162.71577321545652</v>
      </c>
      <c r="CH14" s="11">
        <f t="shared" si="21"/>
        <v>85.857265422647572</v>
      </c>
      <c r="CI14" s="11">
        <f t="shared" si="3"/>
        <v>1877.2250438646338</v>
      </c>
      <c r="CJ14" s="11">
        <f t="shared" si="22"/>
        <v>1202.7725907395945</v>
      </c>
      <c r="CK14" s="15">
        <f t="shared" si="23"/>
        <v>0.46925382364622287</v>
      </c>
      <c r="CL14" s="15">
        <f t="shared" si="24"/>
        <v>0.30065955013016937</v>
      </c>
      <c r="CM14" s="11">
        <f t="shared" si="25"/>
        <v>452.06971562760316</v>
      </c>
      <c r="CO14" s="7" t="str">
        <f t="shared" si="26"/>
        <v>2040_3</v>
      </c>
      <c r="CP14" s="30">
        <f>CP13</f>
        <v>2040</v>
      </c>
      <c r="CQ14" s="5" t="s">
        <v>23</v>
      </c>
      <c r="CR14" s="16">
        <f>CR12+CR13</f>
        <v>106.29614014929922</v>
      </c>
      <c r="CS14" s="16">
        <f t="shared" ref="CS14" si="205">CS12+CS13</f>
        <v>131.65398094524051</v>
      </c>
      <c r="CT14" s="16">
        <f t="shared" ref="CT14" si="206">CT12+CT13</f>
        <v>150.85459618730357</v>
      </c>
      <c r="CU14" s="16">
        <f t="shared" ref="CU14" si="207">CU12+CU13</f>
        <v>143.22504571596568</v>
      </c>
      <c r="CV14" s="16">
        <f t="shared" ref="CV14" si="208">CV12+CV13</f>
        <v>92.221698487529721</v>
      </c>
      <c r="CW14" s="16">
        <f t="shared" ref="CW14" si="209">CW12+CW13</f>
        <v>109.46996742062336</v>
      </c>
      <c r="CX14" s="16">
        <f t="shared" ref="CX14" si="210">CX12+CX13</f>
        <v>116.18191944738587</v>
      </c>
      <c r="CY14" s="16">
        <f t="shared" ref="CY14" si="211">CY12+CY13</f>
        <v>147.74160431046653</v>
      </c>
      <c r="CZ14" s="16">
        <f t="shared" ref="CZ14" si="212">CZ12+CZ13</f>
        <v>164.92906343845095</v>
      </c>
      <c r="DA14" s="16">
        <f t="shared" ref="DA14" si="213">DA12+DA13</f>
        <v>155.68386847945146</v>
      </c>
      <c r="DB14" s="16">
        <f t="shared" ref="DB14" si="214">DB12+DB13</f>
        <v>215.09267448535144</v>
      </c>
      <c r="DC14" s="16">
        <f t="shared" ref="DC14" si="215">DC12+DC13</f>
        <v>279.96601812187828</v>
      </c>
      <c r="DD14" s="16">
        <f t="shared" ref="DD14" si="216">DD12+DD13</f>
        <v>351.02988237992452</v>
      </c>
      <c r="DE14" s="16">
        <f t="shared" ref="DE14" si="217">DE12+DE13</f>
        <v>361.13022251808945</v>
      </c>
      <c r="DF14" s="16">
        <f t="shared" ref="DF14" si="218">DF12+DF13</f>
        <v>313.32223060694969</v>
      </c>
      <c r="DG14" s="16">
        <f t="shared" ref="DG14" si="219">DG12+DG13</f>
        <v>331.00313007522141</v>
      </c>
      <c r="DH14" s="16">
        <f t="shared" ref="DH14" si="220">DH12+DH13</f>
        <v>383.20760781636397</v>
      </c>
      <c r="DI14" s="16">
        <f t="shared" ref="DI14" si="221">DI12+DI13</f>
        <v>310.05747228340351</v>
      </c>
      <c r="DJ14" s="16">
        <f t="shared" ref="DJ14" si="222">DJ12+DJ13</f>
        <v>137.79707044553538</v>
      </c>
      <c r="DK14" s="16">
        <f t="shared" ref="DK14" si="223">DK12+DK13</f>
        <v>32.467409322474936</v>
      </c>
      <c r="DL14" s="16">
        <f t="shared" ref="DL14" si="224">DL12+DL13</f>
        <v>8.2399007965955278</v>
      </c>
      <c r="DM14" s="11">
        <f t="shared" si="69"/>
        <v>4041.5715034335049</v>
      </c>
      <c r="DN14" s="11">
        <f t="shared" si="34"/>
        <v>169.50514627952646</v>
      </c>
      <c r="DO14" s="11">
        <f t="shared" si="35"/>
        <v>88.986847618114567</v>
      </c>
      <c r="DP14" s="11">
        <f t="shared" si="6"/>
        <v>1877.2250438646338</v>
      </c>
      <c r="DQ14" s="11">
        <f t="shared" si="36"/>
        <v>1202.7725907395945</v>
      </c>
      <c r="DR14" s="15">
        <f t="shared" si="37"/>
        <v>0.46447898849985531</v>
      </c>
      <c r="DS14" s="15">
        <f t="shared" si="38"/>
        <v>0.2976002254859979</v>
      </c>
      <c r="DT14" s="11">
        <f t="shared" si="70"/>
        <v>465.61518966600545</v>
      </c>
      <c r="DX14" s="30">
        <f>DX13</f>
        <v>2040</v>
      </c>
      <c r="DY14" s="5" t="s">
        <v>23</v>
      </c>
      <c r="DZ14" s="16">
        <f>DZ12+DZ13</f>
        <v>308.06496679042681</v>
      </c>
      <c r="EA14" s="16">
        <f t="shared" ref="EA14" si="225">EA12+EA13</f>
        <v>345.37918695240739</v>
      </c>
      <c r="EB14" s="16">
        <f t="shared" ref="EB14" si="226">EB12+EB13</f>
        <v>331.19322599657778</v>
      </c>
      <c r="EC14" s="16">
        <f t="shared" ref="EC14" si="227">EC12+EC13</f>
        <v>139.79459688685503</v>
      </c>
      <c r="ED14" s="16">
        <f t="shared" ref="ED14" si="228">ED12+ED13</f>
        <v>91.347117722343995</v>
      </c>
      <c r="EE14" s="16">
        <f t="shared" ref="EE14" si="229">EE12+EE13</f>
        <v>256.67658232680458</v>
      </c>
      <c r="EF14" s="16">
        <f t="shared" ref="EF14" si="230">EF12+EF13</f>
        <v>412.47546456271317</v>
      </c>
      <c r="EG14" s="16">
        <f t="shared" ref="EG14" si="231">EG12+EG13</f>
        <v>601.94693480433057</v>
      </c>
      <c r="EH14" s="16">
        <f t="shared" ref="EH14" si="232">EH12+EH13</f>
        <v>605.66261530379847</v>
      </c>
      <c r="EI14" s="16">
        <f t="shared" ref="EI14" si="233">EI12+EI13</f>
        <v>444.30067646669698</v>
      </c>
      <c r="EJ14" s="16">
        <f t="shared" ref="EJ14" si="234">EJ12+EJ13</f>
        <v>355.97987586222166</v>
      </c>
      <c r="EK14" s="16">
        <f t="shared" ref="EK14" si="235">EK12+EK13</f>
        <v>279.02434802957566</v>
      </c>
      <c r="EL14" s="16">
        <f t="shared" ref="EL14" si="236">EL12+EL13</f>
        <v>351.02988237992452</v>
      </c>
      <c r="EM14" s="16">
        <f t="shared" ref="EM14" si="237">EM12+EM13</f>
        <v>361.13022251808945</v>
      </c>
      <c r="EN14" s="16">
        <f t="shared" ref="EN14" si="238">EN12+EN13</f>
        <v>313.32223060694969</v>
      </c>
      <c r="EO14" s="16">
        <f t="shared" ref="EO14" si="239">EO12+EO13</f>
        <v>331.00313007522141</v>
      </c>
      <c r="EP14" s="16">
        <f t="shared" ref="EP14" si="240">EP12+EP13</f>
        <v>383.20760781636397</v>
      </c>
      <c r="EQ14" s="16">
        <f t="shared" ref="EQ14" si="241">EQ12+EQ13</f>
        <v>310.05747228340351</v>
      </c>
      <c r="ER14" s="16">
        <f t="shared" ref="ER14" si="242">ER12+ER13</f>
        <v>137.79707044553538</v>
      </c>
      <c r="ES14" s="16">
        <f t="shared" ref="ES14" si="243">ES12+ES13</f>
        <v>32.467409322474936</v>
      </c>
      <c r="ET14" s="16">
        <f t="shared" ref="ET14" si="244">ET12+ET13</f>
        <v>8.2399007965955278</v>
      </c>
      <c r="EU14" s="11">
        <f t="shared" si="71"/>
        <v>6400.1005179493122</v>
      </c>
      <c r="EV14" s="11">
        <f t="shared" si="41"/>
        <v>405.94344776939107</v>
      </c>
      <c r="EW14" s="11">
        <f t="shared" si="42"/>
        <v>160.43620977600213</v>
      </c>
      <c r="EX14" s="11">
        <f t="shared" si="10"/>
        <v>1877.2250438646338</v>
      </c>
      <c r="EY14" s="11">
        <f t="shared" si="43"/>
        <v>1202.7725907395945</v>
      </c>
      <c r="EZ14" s="15">
        <f t="shared" si="44"/>
        <v>0.29331180636927318</v>
      </c>
      <c r="FA14" s="15">
        <f t="shared" si="45"/>
        <v>0.18793026568354287</v>
      </c>
      <c r="FB14" s="11">
        <f t="shared" si="72"/>
        <v>1362.4460994161923</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41.701258518716067</v>
      </c>
      <c r="BL15" s="9">
        <f>IF(管理者入力シート!$B$14=1,BK12*管理者用人口入力シート!AM$3,IF(管理者入力シート!$B$14=2,BK12*管理者用人口入力シート!AM$7))</f>
        <v>53.058537528705081</v>
      </c>
      <c r="BM15" s="9">
        <f>IF(管理者入力シート!$B$14=1,BL12*管理者用人口入力シート!AN$3,IF(管理者入力シート!$B$14=2,BL12*管理者用人口入力シート!AN$7))</f>
        <v>64.702173641223311</v>
      </c>
      <c r="BN15" s="9">
        <f>IF(管理者入力シート!$B$14=1,BM12*管理者用人口入力シート!AO$3,IF(管理者入力シート!$B$14=2,BM12*管理者用人口入力シート!AO$7))</f>
        <v>57.055942850401784</v>
      </c>
      <c r="BO15" s="9">
        <f>IF(管理者入力シート!$B$14=1,BN12*管理者用人口入力シート!AP$3,IF(管理者入力シート!$B$14=2,BN12*管理者用人口入力シート!AP$7))</f>
        <v>34.141541492683984</v>
      </c>
      <c r="BP15" s="9">
        <f>IF(管理者入力シート!$B$14=1,BO12*管理者用人口入力シート!AQ$3,IF(管理者入力シート!$B$14=2,BO12*管理者用人口入力シート!AQ$7))</f>
        <v>40.155764708097593</v>
      </c>
      <c r="BQ15" s="9">
        <f>IF(管理者入力シート!$B$14=1,BP12*管理者用人口入力シート!AR$3,IF(管理者入力シート!$B$14=2,BP12*管理者用人口入力シート!AR$7))</f>
        <v>48.849732635179279</v>
      </c>
      <c r="BR15" s="9">
        <f>IF(管理者入力シート!$B$14=1,BQ12*管理者用人口入力シート!AS$3,IF(管理者入力シート!$B$14=2,BQ12*管理者用人口入力シート!AS$7))</f>
        <v>59.404235093532719</v>
      </c>
      <c r="BS15" s="9">
        <f>IF(管理者入力シート!$B$14=1,BR12*管理者用人口入力シート!AT$3,IF(管理者入力シート!$B$14=2,BR12*管理者用人口入力シート!AT$7))</f>
        <v>75.881920361701475</v>
      </c>
      <c r="BT15" s="9">
        <f>IF(管理者入力シート!$B$14=1,BS12*管理者用人口入力シート!AU$3,IF(管理者入力シート!$B$14=2,BS12*管理者用人口入力シート!AU$7))</f>
        <v>79.331582144474169</v>
      </c>
      <c r="BU15" s="9">
        <f>IF(管理者入力シート!$B$14=1,BT12*管理者用人口入力シート!AV$3,IF(管理者入力シート!$B$14=2,BT12*管理者用人口入力シート!AV$7))</f>
        <v>72.627216833993927</v>
      </c>
      <c r="BV15" s="9">
        <f>IF(管理者入力シート!$B$14=1,BU12*管理者用人口入力シート!AW$3,IF(管理者入力シート!$B$14=2,BU12*管理者用人口入力シート!AW$7))</f>
        <v>120.40974102607744</v>
      </c>
      <c r="BW15" s="9">
        <f>IF(管理者入力シート!$B$14=1,BV12*管理者用人口入力シート!AX$3,IF(管理者入力シート!$B$14=2,BV12*管理者用人口入力シート!AX$7))</f>
        <v>143.7392969774713</v>
      </c>
      <c r="BX15" s="9">
        <f>IF(管理者入力シート!$B$14=1,BW12*管理者用人口入力シート!AY$3,IF(管理者入力シート!$B$14=2,BW12*管理者用人口入力シート!AY$7))</f>
        <v>155.870248219692</v>
      </c>
      <c r="BY15" s="9">
        <f>IF(管理者入力シート!$B$14=1,BX12*管理者用人口入力シート!AZ$3,IF(管理者入力シート!$B$14=2,BX12*管理者用人口入力シート!AZ$7))</f>
        <v>179.49627781251564</v>
      </c>
      <c r="BZ15" s="9">
        <f>IF(管理者入力シート!$B$14=1,BY12*管理者用人口入力シート!BA$3,IF(管理者入力シート!$B$14=2,BY12*管理者用人口入力シート!BA$7))</f>
        <v>118.66669912604179</v>
      </c>
      <c r="CA15" s="9">
        <f>IF(管理者入力シート!$B$14=1,BZ12*管理者用人口入力シート!BB$3,IF(管理者入力シート!$B$14=2,BZ12*管理者用人口入力シート!BB$7))</f>
        <v>102.54534679705046</v>
      </c>
      <c r="CB15" s="9">
        <f>IF(管理者入力シート!$B$14=1,CA12*管理者用人口入力シート!BC$3,IF(管理者入力シート!$B$14=2,CA12*管理者用人口入力シート!BC$7))</f>
        <v>101.52873413475712</v>
      </c>
      <c r="CC15" s="9">
        <f>IF(管理者入力シート!$B$14=1,CB12*管理者用人口入力シート!BD$3,IF(管理者入力シート!$B$14=2,CB12*管理者用人口入力シート!BD$7))</f>
        <v>48.524497310163234</v>
      </c>
      <c r="CD15" s="9">
        <f>IF(管理者入力シート!$B$14=1,CC12*管理者用人口入力シート!BE$3,IF(管理者入力シート!$B$14=2,CC12*管理者用人口入力シート!BE$7))</f>
        <v>8.8699928457096675</v>
      </c>
      <c r="CE15" s="9">
        <f>IF(管理者入力シート!$B$14=1,CD12*管理者用人口入力シート!BF$3,IF(管理者入力シート!$B$14=2,CD12*管理者用人口入力シート!BF$7))</f>
        <v>6.5131613404835788E-3</v>
      </c>
      <c r="CF15" s="9">
        <f t="shared" ref="CF15:CF20" si="252">SUM(BK15:CE15)</f>
        <v>1606.5672532195285</v>
      </c>
      <c r="CG15" s="9">
        <f t="shared" ref="CG15:CG20" si="253">BL15*3/5+BM15*3/5</f>
        <v>70.656426701957031</v>
      </c>
      <c r="CH15" s="9">
        <f t="shared" ref="CH15:CH20" si="254">BM15*2/5+BN15*1/5</f>
        <v>37.292058026569684</v>
      </c>
      <c r="CI15" s="9">
        <f t="shared" ref="CI15:CI20" si="255">SUM(BX15:CE15)</f>
        <v>715.50830940727042</v>
      </c>
      <c r="CJ15" s="9">
        <f t="shared" ref="CJ15:CJ20" si="256">SUM(BZ15:CE15)</f>
        <v>380.14178337506274</v>
      </c>
      <c r="CK15" s="13">
        <f t="shared" ref="CK15:CK20" si="257">CI15/CF15</f>
        <v>0.44536467923979289</v>
      </c>
      <c r="CL15" s="13">
        <f t="shared" ref="CL15:CL20" si="258">CJ15/CF15</f>
        <v>0.23661741057728286</v>
      </c>
      <c r="CM15" s="9">
        <f t="shared" ref="CM15:CM20" si="259">SUM(BO15:BR15)</f>
        <v>182.55127392949356</v>
      </c>
      <c r="CO15" s="7" t="str">
        <f t="shared" si="26"/>
        <v>2045_1</v>
      </c>
      <c r="CP15" s="28">
        <f>管理者入力シート!B12</f>
        <v>2045</v>
      </c>
      <c r="CQ15" s="3" t="s">
        <v>21</v>
      </c>
      <c r="CR15" s="9">
        <f>DT16*$AK$13+将来予測シート②!$G17</f>
        <v>44.391344708614362</v>
      </c>
      <c r="CS15" s="9">
        <f>IF(管理者入力シート!$B$14=1,CR12*管理者用人口入力シート!AM$3,IF(管理者入力シート!$B$14=2,CR12*管理者用人口入力シート!AM$7))+将来予測シート②!$G18</f>
        <v>55.774274172188747</v>
      </c>
      <c r="CT15" s="9">
        <f>IF(管理者入力シート!$B$14=1,CS12*管理者用人口入力シート!AN$3,IF(管理者入力シート!$B$14=2,CS12*管理者用人口入力シート!AN$7))+将来予測シート②!$G19</f>
        <v>68.40654042982024</v>
      </c>
      <c r="CU15" s="9">
        <f>IF(管理者入力シート!$B$14=1,CT12*管理者用人口入力シート!AO$3,IF(管理者入力シート!$B$14=2,CT12*管理者用人口入力シート!AO$7))+将来予測シート②!$G20</f>
        <v>59.494398026760834</v>
      </c>
      <c r="CV15" s="9">
        <f>IF(管理者入力シート!$B$14=1,CU12*管理者用人口入力シート!AP$3,IF(管理者入力シート!$B$14=2,CU12*管理者用人口入力シート!AP$7))+将来予測シート②!$G21</f>
        <v>34.995611071121246</v>
      </c>
      <c r="CW15" s="9">
        <f>IF(管理者入力シート!$B$14=1,CV12*管理者用人口入力シート!AQ$3,IF(管理者入力シート!$B$14=2,CV12*管理者用人口入力シート!AQ$7))+将来予測シート②!$G22</f>
        <v>42.539854476046976</v>
      </c>
      <c r="CX15" s="9">
        <f>IF(管理者入力シート!$B$14=1,CW12*管理者用人口入力シート!AR$3,IF(管理者入力シート!$B$14=2,CW12*管理者用人口入力シート!AR$7))+将来予測シート②!$G23</f>
        <v>51.161228332975156</v>
      </c>
      <c r="CY15" s="9">
        <f>IF(管理者入力シート!$B$14=1,CX12*管理者用人口入力シート!AS$3,IF(管理者入力シート!$B$14=2,CX12*管理者用人口入力シート!AS$7))+将来予測シート②!$G24</f>
        <v>61.373967602391062</v>
      </c>
      <c r="CZ15" s="9">
        <f>IF(管理者入力シート!$B$14=1,CY12*管理者用人口入力シート!AT$3,IF(管理者入力シート!$B$14=2,CY12*管理者用人口入力シート!AT$7))+将来予測シート②!$G25</f>
        <v>77.803048674704399</v>
      </c>
      <c r="DA15" s="9">
        <f>IF(管理者入力シート!$B$14=1,CZ12*管理者用人口入力シート!AU$3,IF(管理者入力シート!$B$14=2,CZ12*管理者用人口入力シート!AU$7))+将来予測シート②!$G26</f>
        <v>81.218706313627777</v>
      </c>
      <c r="DB15" s="9">
        <f>IF(管理者入力シート!$B$14=1,DA12*管理者用人口入力シート!AV$3,IF(管理者入力シート!$B$14=2,DA12*管理者用人口入力シート!AV$7))+将来予測シート②!$G27</f>
        <v>72.627216833993927</v>
      </c>
      <c r="DC15" s="9">
        <f>IF(管理者入力シート!$B$14=1,DB12*管理者用人口入力シート!AW$3,IF(管理者入力シート!$B$14=2,DB12*管理者用人口入力シート!AW$7))+将来予測シート②!$G28</f>
        <v>120.40974102607744</v>
      </c>
      <c r="DD15" s="9">
        <f>IF(管理者入力シート!$B$14=1,DC12*管理者用人口入力シート!AX$3,IF(管理者入力シート!$B$14=2,DC12*管理者用人口入力シート!AX$7))+将来予測シート②!$G29</f>
        <v>143.7392969774713</v>
      </c>
      <c r="DE15" s="9">
        <f>IF(管理者入力シート!$B$14=1,DD12*管理者用人口入力シート!AY$3,IF(管理者入力シート!$B$14=2,DD12*管理者用人口入力シート!AY$7))</f>
        <v>155.870248219692</v>
      </c>
      <c r="DF15" s="9">
        <f>IF(管理者入力シート!$B$14=1,DE12*管理者用人口入力シート!AZ$3,IF(管理者入力シート!$B$14=2,DE12*管理者用人口入力シート!AZ$7))</f>
        <v>179.49627781251564</v>
      </c>
      <c r="DG15" s="9">
        <f>IF(管理者入力シート!$B$14=1,DF12*管理者用人口入力シート!BA$3,IF(管理者入力シート!$B$14=2,DF12*管理者用人口入力シート!BA$7))</f>
        <v>118.66669912604179</v>
      </c>
      <c r="DH15" s="9">
        <f>IF(管理者入力シート!$B$14=1,DG12*管理者用人口入力シート!BB$3,IF(管理者入力シート!$B$14=2,DG12*管理者用人口入力シート!BB$7))</f>
        <v>102.54534679705046</v>
      </c>
      <c r="DI15" s="9">
        <f>IF(管理者入力シート!$B$14=1,DH12*管理者用人口入力シート!BC$3,IF(管理者入力シート!$B$14=2,DH12*管理者用人口入力シート!BC$7))</f>
        <v>101.52873413475712</v>
      </c>
      <c r="DJ15" s="9">
        <f>IF(管理者入力シート!$B$14=1,DI12*管理者用人口入力シート!BD$3,IF(管理者入力シート!$B$14=2,DI12*管理者用人口入力シート!BD$7))</f>
        <v>48.524497310163234</v>
      </c>
      <c r="DK15" s="9">
        <f>IF(管理者入力シート!$B$14=1,DJ12*管理者用人口入力シート!BE$3,IF(管理者入力シート!$B$14=2,DJ12*管理者用人口入力シート!BE$7))</f>
        <v>8.8699928457096675</v>
      </c>
      <c r="DL15" s="9">
        <f>IF(管理者入力シート!$B$14=1,DK12*管理者用人口入力シート!BF$3,IF(管理者入力シート!$B$14=2,DK12*管理者用人口入力シート!BF$7))</f>
        <v>6.5131613404835788E-3</v>
      </c>
      <c r="DM15" s="9">
        <f t="shared" ref="DM15:DM20" si="260">SUM(CR15:DL15)</f>
        <v>1629.443538053064</v>
      </c>
      <c r="DN15" s="9">
        <f t="shared" ref="DN15:DN20" si="261">CS15*3/5+CT15*3/5</f>
        <v>74.508488761205399</v>
      </c>
      <c r="DO15" s="9">
        <f t="shared" ref="DO15:DO20" si="262">CT15*2/5+CU15*1/5</f>
        <v>39.26149577728026</v>
      </c>
      <c r="DP15" s="9">
        <f t="shared" ref="DP15:DP20" si="263">SUM(DE15:DL15)</f>
        <v>715.50830940727042</v>
      </c>
      <c r="DQ15" s="9">
        <f t="shared" ref="DQ15:DQ20" si="264">SUM(DG15:DL15)</f>
        <v>380.14178337506274</v>
      </c>
      <c r="DR15" s="13">
        <f t="shared" ref="DR15:DR20" si="265">DP15/DM15</f>
        <v>0.43911206046586521</v>
      </c>
      <c r="DS15" s="13">
        <f t="shared" ref="DS15:DS20" si="266">DQ15/DM15</f>
        <v>0.23329546222219769</v>
      </c>
      <c r="DT15" s="9">
        <f t="shared" ref="DT15:DT20" si="267">SUM(CV15:CY15)</f>
        <v>190.07066148253443</v>
      </c>
      <c r="DV15" s="62" t="s">
        <v>404</v>
      </c>
      <c r="DW15" s="211">
        <f>AK13+AK14</f>
        <v>0.45303135278511708</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44.868113935837414</v>
      </c>
      <c r="BL16" s="10">
        <f>IF(管理者入力シート!$B$14=1,BK13*管理者用人口入力シート!AM$4,IF(管理者入力シート!$B$14=2,BK13*管理者用人口入力シート!AM$8))</f>
        <v>54.033228954246624</v>
      </c>
      <c r="BM16" s="10">
        <f>IF(管理者入力シート!$B$14=1,BL13*管理者用人口入力シート!AN$4,IF(管理者入力シート!$B$14=2,BL13*管理者用人口入力シート!AN$8))</f>
        <v>64.586347180045451</v>
      </c>
      <c r="BN16" s="10">
        <f>IF(管理者入力シート!$B$14=1,BM13*管理者用人口入力シート!AO$4,IF(管理者入力シート!$B$14=2,BM13*管理者用人口入力シート!AO$8))</f>
        <v>62.198946726573432</v>
      </c>
      <c r="BO16" s="10">
        <f>IF(管理者入力シート!$B$14=1,BN13*管理者用人口入力シート!AP$4,IF(管理者入力シート!$B$14=2,BN13*管理者用人口入力シート!AP$8))</f>
        <v>40.050777780214354</v>
      </c>
      <c r="BP16" s="10">
        <f>IF(管理者入力シート!$B$14=1,BO13*管理者用人口入力シート!AQ$4,IF(管理者入力シート!$B$14=2,BO13*管理者用人口入力シート!AQ$8))</f>
        <v>42.714349808642218</v>
      </c>
      <c r="BQ16" s="10">
        <f>IF(管理者入力シート!$B$14=1,BP13*管理者用人口入力シート!AR$4,IF(管理者入力シート!$B$14=2,BP13*管理者用人口入力シート!AR$8))</f>
        <v>53.226499841817095</v>
      </c>
      <c r="BR16" s="10">
        <f>IF(管理者入力シート!$B$14=1,BQ13*管理者用人口入力シート!AS$4,IF(管理者入力シート!$B$14=2,BQ13*管理者用人口入力シート!AS$8))</f>
        <v>55.097514462813038</v>
      </c>
      <c r="BS16" s="10">
        <f>IF(管理者入力シート!$B$14=1,BR13*管理者用人口入力シート!AT$4,IF(管理者入力シート!$B$14=2,BR13*管理者用人口入力シート!AT$8))</f>
        <v>63.969058832205206</v>
      </c>
      <c r="BT16" s="10">
        <f>IF(管理者入力シート!$B$14=1,BS13*管理者用人口入力シート!AU$4,IF(管理者入力シート!$B$14=2,BS13*管理者用人口入力シート!AU$8))</f>
        <v>75.906221309945465</v>
      </c>
      <c r="BU16" s="10">
        <f>IF(管理者入力シート!$B$14=1,BT13*管理者用人口入力シート!AV$4,IF(管理者入力シート!$B$14=2,BT13*管理者用人口入力シート!AV$8))</f>
        <v>80.591858347812021</v>
      </c>
      <c r="BV16" s="10">
        <f>IF(管理者入力シート!$B$14=1,BU13*管理者用人口入力シート!AW$4,IF(管理者入力シート!$B$14=2,BU13*管理者用人口入力シート!AW$8))</f>
        <v>95.426850658140211</v>
      </c>
      <c r="BW16" s="10">
        <f>IF(管理者入力シート!$B$14=1,BV13*管理者用人口入力シート!AX$4,IF(管理者入力シート!$B$14=2,BV13*管理者用人口入力シート!AX$8))</f>
        <v>133.41995317766703</v>
      </c>
      <c r="BX16" s="10">
        <f>IF(管理者入力シート!$B$14=1,BW13*管理者用人口入力シート!AY$4,IF(管理者入力シート!$B$14=2,BW13*管理者用人口入力シート!AY$8))</f>
        <v>188.66417866780955</v>
      </c>
      <c r="BY16" s="10">
        <f>IF(管理者入力シート!$B$14=1,BX13*管理者用人口入力シート!AZ$4,IF(管理者入力シート!$B$14=2,BX13*管理者用人口入力シート!AZ$8))</f>
        <v>160.82472562929809</v>
      </c>
      <c r="BZ16" s="10">
        <f>IF(管理者入力シート!$B$14=1,BY13*管理者用人口入力シート!BA$4,IF(管理者入力シート!$B$14=2,BY13*管理者用人口入力シート!BA$8))</f>
        <v>166.50300143310221</v>
      </c>
      <c r="CA16" s="10">
        <f>IF(管理者入力シート!$B$14=1,BZ13*管理者用人口入力シート!BB$4,IF(管理者入力シート!$B$14=2,BZ13*管理者用人口入力シート!BB$8))</f>
        <v>160.50673109881362</v>
      </c>
      <c r="CB16" s="10">
        <f>IF(管理者入力シート!$B$14=1,CA13*管理者用人口入力シート!BC$4,IF(管理者入力シート!$B$14=2,CA13*管理者用人口入力シート!BC$8))</f>
        <v>163.97873181151618</v>
      </c>
      <c r="CC16" s="10">
        <f>IF(管理者入力シート!$B$14=1,CB13*管理者用人口入力シート!BD$4,IF(管理者入力シート!$B$14=2,CB13*管理者用人口入力シート!BD$8))</f>
        <v>97.540361847974765</v>
      </c>
      <c r="CD16" s="10">
        <f>IF(管理者入力シート!$B$14=1,CC13*管理者用人口入力シート!BE$4,IF(管理者入力シート!$B$14=2,CC13*管理者用人口入力シート!BE$8))</f>
        <v>33.69899413550062</v>
      </c>
      <c r="CE16" s="10">
        <f>IF(管理者入力シート!$B$14=1,CD13*管理者用人口入力シート!BF$4,IF(管理者入力シート!$B$14=2,CD13*管理者用人口入力シート!BF$8))</f>
        <v>6.4387233285012879</v>
      </c>
      <c r="CF16" s="10">
        <f t="shared" si="252"/>
        <v>1844.245168968476</v>
      </c>
      <c r="CG16" s="10">
        <f t="shared" si="253"/>
        <v>71.171745680575242</v>
      </c>
      <c r="CH16" s="10">
        <f t="shared" si="254"/>
        <v>38.274328217332865</v>
      </c>
      <c r="CI16" s="10">
        <f t="shared" si="255"/>
        <v>978.15544795251628</v>
      </c>
      <c r="CJ16" s="10">
        <f t="shared" si="256"/>
        <v>628.66654365540865</v>
      </c>
      <c r="CK16" s="14">
        <f t="shared" si="257"/>
        <v>0.5303825458844057</v>
      </c>
      <c r="CL16" s="14">
        <f t="shared" si="258"/>
        <v>0.34088013580484783</v>
      </c>
      <c r="CM16" s="10">
        <f t="shared" si="259"/>
        <v>191.08914189348673</v>
      </c>
      <c r="CO16" s="7" t="str">
        <f t="shared" si="26"/>
        <v>2045_2</v>
      </c>
      <c r="CP16" s="29">
        <f>CP15</f>
        <v>2045</v>
      </c>
      <c r="CQ16" s="4" t="s">
        <v>22</v>
      </c>
      <c r="CR16" s="10">
        <f>DT16*$AK$14+将来予測シート②!$H17</f>
        <v>47.686547777485337</v>
      </c>
      <c r="CS16" s="10">
        <f>IF(管理者入力シート!$B$14=1,CR13*管理者用人口入力シート!AM$4,IF(管理者入力シート!$B$14=2,CR13*管理者用人口入力シート!AM$8))+将来予測シート②!$H18</f>
        <v>56.720616044882995</v>
      </c>
      <c r="CT16" s="10">
        <f>IF(管理者入力シート!$B$14=1,CS13*管理者用人口入力シート!AN$4,IF(管理者入力シート!$B$14=2,CS13*管理者用人口入力シート!AN$8))+将来予測シート②!$H19</f>
        <v>68.206669231109103</v>
      </c>
      <c r="CU16" s="10">
        <f>IF(管理者入力シート!$B$14=1,CT13*管理者用人口入力シート!AO$4,IF(管理者入力シート!$B$14=2,CT13*管理者用人口入力シート!AO$8))+将来予測シート②!$H20</f>
        <v>64.790612975632499</v>
      </c>
      <c r="CV16" s="10">
        <f>IF(管理者入力シート!$B$14=1,CU13*管理者用人口入力シート!AP$4,IF(管理者入力シート!$B$14=2,CU13*管理者用人口入力シート!AP$8))+将来予測シート②!$H21</f>
        <v>41.016091683817379</v>
      </c>
      <c r="CW16" s="10">
        <f>IF(管理者入力シート!$B$14=1,CV13*管理者用人口入力シート!AQ$4,IF(管理者入力シート!$B$14=2,CV13*管理者用人口入力シート!AQ$8))+将来予測シート②!$H22</f>
        <v>45.123645134511641</v>
      </c>
      <c r="CX16" s="10">
        <f>IF(管理者入力シート!$B$14=1,CW13*管理者用人口入力シート!AR$4,IF(管理者入力シート!$B$14=2,CW13*管理者用人口入力シート!AR$8))+将来予測シート②!$H23</f>
        <v>55.58848180688954</v>
      </c>
      <c r="CY16" s="10">
        <f>IF(管理者入力シート!$B$14=1,CX13*管理者用人口入力シート!AS$4,IF(管理者入力シート!$B$14=2,CX13*管理者用人口入力シート!AS$8))+将来予測シート②!$H24</f>
        <v>57.105464589694954</v>
      </c>
      <c r="CZ16" s="10">
        <f>IF(管理者入力シート!$B$14=1,CY13*管理者用人口入力シート!AT$4,IF(管理者入力シート!$B$14=2,CY13*管理者用人口入力シート!AT$8))+将来予測シート②!$H25</f>
        <v>66.91633583013396</v>
      </c>
      <c r="DA16" s="10">
        <f>IF(管理者入力シート!$B$14=1,CZ13*管理者用人口入力シート!AU$4,IF(管理者入力シート!$B$14=2,CZ13*管理者用人口入力シート!AU$8))+将来予測シート②!$H26</f>
        <v>78.727378867213588</v>
      </c>
      <c r="DB16" s="10">
        <f>IF(管理者入力シート!$B$14=1,DA13*管理者用人口入力シート!AV$4,IF(管理者入力シート!$B$14=2,DA13*管理者用人口入力シート!AV$8))+将来予測シート②!$H27</f>
        <v>81.554067345212772</v>
      </c>
      <c r="DC16" s="10">
        <f>IF(管理者入力シート!$B$14=1,DB13*管理者用人口入力シート!AW$4,IF(管理者入力シート!$B$14=2,DB13*管理者用人口入力シート!AW$8))+将来予測シート②!$H28</f>
        <v>96.368520750442798</v>
      </c>
      <c r="DD16" s="10">
        <f>IF(管理者入力シート!$B$14=1,DC13*管理者用人口入力シート!AX$4,IF(管理者入力シート!$B$14=2,DC13*管理者用人口入力シート!AX$8))+将来予測シート②!$H29</f>
        <v>134.37489194805977</v>
      </c>
      <c r="DE16" s="10">
        <f>IF(管理者入力シート!$B$14=1,DD13*管理者用人口入力シート!AY$4,IF(管理者入力シート!$B$14=2,DD13*管理者用人口入力シート!AY$8))</f>
        <v>188.66417866780955</v>
      </c>
      <c r="DF16" s="10">
        <f>IF(管理者入力シート!$B$14=1,DE13*管理者用人口入力シート!AZ$4,IF(管理者入力シート!$B$14=2,DE13*管理者用人口入力シート!AZ$8))</f>
        <v>160.82472562929809</v>
      </c>
      <c r="DG16" s="10">
        <f>IF(管理者入力シート!$B$14=1,DF13*管理者用人口入力シート!BA$4,IF(管理者入力シート!$B$14=2,DF13*管理者用人口入力シート!BA$8))</f>
        <v>166.50300143310221</v>
      </c>
      <c r="DH16" s="10">
        <f>IF(管理者入力シート!$B$14=1,DG13*管理者用人口入力シート!BB$4,IF(管理者入力シート!$B$14=2,DG13*管理者用人口入力シート!BB$8))</f>
        <v>160.50673109881362</v>
      </c>
      <c r="DI16" s="10">
        <f>IF(管理者入力シート!$B$14=1,DH13*管理者用人口入力シート!BC$4,IF(管理者入力シート!$B$14=2,DH13*管理者用人口入力シート!BC$8))</f>
        <v>163.97873181151618</v>
      </c>
      <c r="DJ16" s="10">
        <f>IF(管理者入力シート!$B$14=1,DI13*管理者用人口入力シート!BD$4,IF(管理者入力シート!$B$14=2,DI13*管理者用人口入力シート!BD$8))</f>
        <v>97.540361847974765</v>
      </c>
      <c r="DK16" s="10">
        <f>IF(管理者入力シート!$B$14=1,DJ13*管理者用人口入力シート!BE$4,IF(管理者入力シート!$B$14=2,DJ13*管理者用人口入力シート!BE$8))</f>
        <v>33.69899413550062</v>
      </c>
      <c r="DL16" s="10">
        <f>IF(管理者入力シート!$B$14=1,DK13*管理者用人口入力シート!BF$4,IF(管理者入力シート!$B$14=2,DK13*管理者用人口入力シート!BF$8))</f>
        <v>6.4387233285012879</v>
      </c>
      <c r="DM16" s="10">
        <f t="shared" si="260"/>
        <v>1872.3347719376027</v>
      </c>
      <c r="DN16" s="10">
        <f t="shared" si="261"/>
        <v>74.956371165595243</v>
      </c>
      <c r="DO16" s="10">
        <f t="shared" si="262"/>
        <v>40.240790287570142</v>
      </c>
      <c r="DP16" s="10">
        <f t="shared" si="263"/>
        <v>978.15544795251628</v>
      </c>
      <c r="DQ16" s="10">
        <f t="shared" si="264"/>
        <v>628.66654365540865</v>
      </c>
      <c r="DR16" s="14">
        <f t="shared" si="265"/>
        <v>0.52242550991042225</v>
      </c>
      <c r="DS16" s="14">
        <f t="shared" si="266"/>
        <v>0.33576609967288457</v>
      </c>
      <c r="DT16" s="10">
        <f t="shared" si="267"/>
        <v>198.83368321491352</v>
      </c>
      <c r="DV16" s="212" t="s">
        <v>406</v>
      </c>
      <c r="DW16" s="7">
        <f>IF(DW10&lt;0,ABS(DW10)/DW15,0)</f>
        <v>142.03848895855421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86.569372454553474</v>
      </c>
      <c r="BL17" s="16">
        <f t="shared" ref="BL17:CE17" si="268">BL15+BL16</f>
        <v>107.0917664829517</v>
      </c>
      <c r="BM17" s="16">
        <f t="shared" si="268"/>
        <v>129.28852082126878</v>
      </c>
      <c r="BN17" s="16">
        <f t="shared" si="268"/>
        <v>119.25488957697522</v>
      </c>
      <c r="BO17" s="16">
        <f t="shared" si="268"/>
        <v>74.192319272898345</v>
      </c>
      <c r="BP17" s="16">
        <f t="shared" si="268"/>
        <v>82.870114516739818</v>
      </c>
      <c r="BQ17" s="16">
        <f t="shared" si="268"/>
        <v>102.07623247699638</v>
      </c>
      <c r="BR17" s="16">
        <f t="shared" si="268"/>
        <v>114.50174955634576</v>
      </c>
      <c r="BS17" s="16">
        <f t="shared" si="268"/>
        <v>139.85097919390668</v>
      </c>
      <c r="BT17" s="16">
        <f t="shared" si="268"/>
        <v>155.23780345441963</v>
      </c>
      <c r="BU17" s="16">
        <f t="shared" si="268"/>
        <v>153.21907518180595</v>
      </c>
      <c r="BV17" s="16">
        <f t="shared" si="268"/>
        <v>215.83659168421764</v>
      </c>
      <c r="BW17" s="16">
        <f t="shared" si="268"/>
        <v>277.15925015513835</v>
      </c>
      <c r="BX17" s="16">
        <f t="shared" si="268"/>
        <v>344.53442688750158</v>
      </c>
      <c r="BY17" s="16">
        <f t="shared" si="268"/>
        <v>340.32100344181373</v>
      </c>
      <c r="BZ17" s="16">
        <f t="shared" si="268"/>
        <v>285.16970055914402</v>
      </c>
      <c r="CA17" s="16">
        <f t="shared" si="268"/>
        <v>263.05207789586404</v>
      </c>
      <c r="CB17" s="16">
        <f t="shared" si="268"/>
        <v>265.50746594627333</v>
      </c>
      <c r="CC17" s="16">
        <f t="shared" si="268"/>
        <v>146.06485915813801</v>
      </c>
      <c r="CD17" s="16">
        <f t="shared" si="268"/>
        <v>42.568986981210287</v>
      </c>
      <c r="CE17" s="16">
        <f t="shared" si="268"/>
        <v>6.4452364898417711</v>
      </c>
      <c r="CF17" s="11">
        <f t="shared" si="252"/>
        <v>3450.8124221880048</v>
      </c>
      <c r="CG17" s="11">
        <f t="shared" si="253"/>
        <v>141.82817238253227</v>
      </c>
      <c r="CH17" s="11">
        <f t="shared" si="254"/>
        <v>75.566386243902542</v>
      </c>
      <c r="CI17" s="11">
        <f t="shared" si="255"/>
        <v>1693.663757359787</v>
      </c>
      <c r="CJ17" s="11">
        <f t="shared" si="256"/>
        <v>1008.8083270304714</v>
      </c>
      <c r="CK17" s="15">
        <f t="shared" si="257"/>
        <v>0.49080145488925508</v>
      </c>
      <c r="CL17" s="15">
        <f t="shared" si="258"/>
        <v>0.29233936928708271</v>
      </c>
      <c r="CM17" s="11">
        <f t="shared" si="259"/>
        <v>373.64041582298034</v>
      </c>
      <c r="CO17" s="7" t="str">
        <f t="shared" si="26"/>
        <v>2045_3</v>
      </c>
      <c r="CP17" s="30">
        <f>CP16</f>
        <v>2045</v>
      </c>
      <c r="CQ17" s="5" t="s">
        <v>23</v>
      </c>
      <c r="CR17" s="16">
        <f>CR15+CR16</f>
        <v>92.077892486099699</v>
      </c>
      <c r="CS17" s="16">
        <f>CS15+CS16</f>
        <v>112.49489021707174</v>
      </c>
      <c r="CT17" s="16">
        <f t="shared" ref="CT17:DL17" si="269">CT15+CT16</f>
        <v>136.61320966092933</v>
      </c>
      <c r="CU17" s="16">
        <f t="shared" si="269"/>
        <v>124.28501100239333</v>
      </c>
      <c r="CV17" s="16">
        <f t="shared" si="269"/>
        <v>76.011702754938625</v>
      </c>
      <c r="CW17" s="16">
        <f t="shared" si="269"/>
        <v>87.663499610558617</v>
      </c>
      <c r="CX17" s="16">
        <f t="shared" si="269"/>
        <v>106.7497101398647</v>
      </c>
      <c r="CY17" s="16">
        <f t="shared" si="269"/>
        <v>118.47943219208602</v>
      </c>
      <c r="CZ17" s="16">
        <f t="shared" si="269"/>
        <v>144.71938450483836</v>
      </c>
      <c r="DA17" s="16">
        <f t="shared" si="269"/>
        <v>159.94608518084135</v>
      </c>
      <c r="DB17" s="16">
        <f t="shared" si="269"/>
        <v>154.1812841792067</v>
      </c>
      <c r="DC17" s="16">
        <f t="shared" si="269"/>
        <v>216.77826177652025</v>
      </c>
      <c r="DD17" s="16">
        <f t="shared" si="269"/>
        <v>278.11418892553104</v>
      </c>
      <c r="DE17" s="16">
        <f t="shared" si="269"/>
        <v>344.53442688750158</v>
      </c>
      <c r="DF17" s="16">
        <f t="shared" si="269"/>
        <v>340.32100344181373</v>
      </c>
      <c r="DG17" s="16">
        <f t="shared" si="269"/>
        <v>285.16970055914402</v>
      </c>
      <c r="DH17" s="16">
        <f t="shared" si="269"/>
        <v>263.05207789586404</v>
      </c>
      <c r="DI17" s="16">
        <f t="shared" si="269"/>
        <v>265.50746594627333</v>
      </c>
      <c r="DJ17" s="16">
        <f t="shared" si="269"/>
        <v>146.06485915813801</v>
      </c>
      <c r="DK17" s="16">
        <f t="shared" si="269"/>
        <v>42.568986981210287</v>
      </c>
      <c r="DL17" s="16">
        <f t="shared" si="269"/>
        <v>6.4452364898417711</v>
      </c>
      <c r="DM17" s="11">
        <f t="shared" si="260"/>
        <v>3501.7783099906665</v>
      </c>
      <c r="DN17" s="11">
        <f t="shared" si="261"/>
        <v>149.46485992680061</v>
      </c>
      <c r="DO17" s="11">
        <f t="shared" si="262"/>
        <v>79.502286064850409</v>
      </c>
      <c r="DP17" s="11">
        <f t="shared" si="263"/>
        <v>1693.663757359787</v>
      </c>
      <c r="DQ17" s="11">
        <f t="shared" si="264"/>
        <v>1008.8083270304714</v>
      </c>
      <c r="DR17" s="15">
        <f t="shared" si="265"/>
        <v>0.4836581894769636</v>
      </c>
      <c r="DS17" s="15">
        <f t="shared" si="266"/>
        <v>0.28808457809916593</v>
      </c>
      <c r="DT17" s="11">
        <f t="shared" si="267"/>
        <v>388.90434469744798</v>
      </c>
      <c r="DV17" s="62" t="s">
        <v>407</v>
      </c>
      <c r="DW17" s="7">
        <f>IF(DW9&gt;=0,0,IF(AND(DW10&lt;=0,DW9&lt;=0,DW16*2&gt;=ABS(DW9)),ROUND(DW16/3,0),ROUND(ABS(DW9)/6,0)))</f>
        <v>76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36.060856741446102</v>
      </c>
      <c r="BL18" s="9">
        <f>IF(管理者入力シート!$B$14=1,BK15*管理者用人口入力シート!AM$3,IF(管理者入力シート!$B$14=2,BK15*管理者用人口入力シート!AM$7))</f>
        <v>45.391082322544783</v>
      </c>
      <c r="BM18" s="9">
        <f>IF(管理者入力シート!$B$14=1,BL15*管理者用人口入力シート!AN$3,IF(管理者入力シート!$B$14=2,BL15*管理者用人口入力シート!AN$7))</f>
        <v>54.798177301274841</v>
      </c>
      <c r="BN18" s="9">
        <f>IF(管理者入力シート!$B$14=1,BM15*管理者用人口入力シート!AO$3,IF(管理者入力シート!$B$14=2,BM15*管理者用人口入力シート!AO$7))</f>
        <v>50.962964982956301</v>
      </c>
      <c r="BO18" s="9">
        <f>IF(管理者入力シート!$B$14=1,BN15*管理者用人口入力シート!AP$3,IF(管理者入力シート!$B$14=2,BN15*管理者用人口入力シート!AP$7))</f>
        <v>29.125201197819653</v>
      </c>
      <c r="BP18" s="9">
        <f>IF(管理者入力シート!$B$14=1,BO15*管理者用人口入力シート!AQ$3,IF(管理者入力シート!$B$14=2,BO15*管理者用人口入力シート!AQ$7))</f>
        <v>32.614595732798044</v>
      </c>
      <c r="BQ18" s="9">
        <f>IF(管理者入力シート!$B$14=1,BP15*管理者用人口入力シート!AR$3,IF(管理者入力シート!$B$14=2,BP15*管理者用人口入力シート!AR$7))</f>
        <v>38.933046319102196</v>
      </c>
      <c r="BR18" s="9">
        <f>IF(管理者入力シート!$B$14=1,BQ15*管理者用人口入力シート!AS$3,IF(管理者入力シート!$B$14=2,BQ15*管理者用人口入力シート!AS$7))</f>
        <v>49.621394207827024</v>
      </c>
      <c r="BS18" s="9">
        <f>IF(管理者入力シート!$B$14=1,BR15*管理者用人口入力シート!AT$3,IF(管理者入力シート!$B$14=2,BR15*管理者用人口入力シート!AT$7))</f>
        <v>57.938404040766841</v>
      </c>
      <c r="BT18" s="9">
        <f>IF(管理者入力シート!$B$14=1,BS15*管理者用人口入力シート!AU$3,IF(管理者入力シート!$B$14=2,BS15*管理者用人口入力シート!AU$7))</f>
        <v>74.538803549524999</v>
      </c>
      <c r="BU18" s="9">
        <f>IF(管理者入力シート!$B$14=1,BT15*管理者用人口入力シート!AV$3,IF(管理者入力シート!$B$14=2,BT15*管理者用人口入力シート!AV$7))</f>
        <v>77.281680282117634</v>
      </c>
      <c r="BV18" s="9">
        <f>IF(管理者入力シート!$B$14=1,BU15*管理者用人口入力シート!AW$3,IF(管理者入力シート!$B$14=2,BU15*管理者用人口入力シート!AW$7))</f>
        <v>74.985902693428699</v>
      </c>
      <c r="BW18" s="9">
        <f>IF(管理者入力シート!$B$14=1,BV15*管理者用人口入力シート!AX$3,IF(管理者入力シート!$B$14=2,BV15*管理者用人口入力シート!AX$7))</f>
        <v>117.37297145502025</v>
      </c>
      <c r="BX18" s="9">
        <f>IF(管理者入力シート!$B$14=1,BW15*管理者用人口入力シート!AY$3,IF(管理者入力シート!$B$14=2,BW15*管理者用人口入力シート!AY$7))</f>
        <v>139.27068746107332</v>
      </c>
      <c r="BY18" s="9">
        <f>IF(管理者入力シート!$B$14=1,BX15*管理者用人口入力シート!AZ$3,IF(管理者入力シート!$B$14=2,BX15*管理者用人口入力シート!AZ$7))</f>
        <v>142.22748584245724</v>
      </c>
      <c r="BZ18" s="9">
        <f>IF(管理者入力シート!$B$14=1,BY15*管理者用人口入力シート!BA$3,IF(管理者入力シート!$B$14=2,BY15*管理者用人口入力シート!BA$7))</f>
        <v>154.40176176672651</v>
      </c>
      <c r="CA18" s="9">
        <f>IF(管理者入力シート!$B$14=1,BZ15*管理者用人口入力シート!BB$3,IF(管理者入力シート!$B$14=2,BZ15*管理者用人口入力シート!BB$7))</f>
        <v>87.300992801649073</v>
      </c>
      <c r="CB18" s="9">
        <f>IF(管理者入力シート!$B$14=1,CA15*管理者用人口入力シート!BC$3,IF(管理者入力シート!$B$14=2,CA15*管理者用人口入力シート!BC$7))</f>
        <v>66.672600806502757</v>
      </c>
      <c r="CC18" s="9">
        <f>IF(管理者入力シート!$B$14=1,CB15*管理者用人口入力シート!BD$3,IF(管理者入力シート!$B$14=2,CB15*管理者用人口入力シート!BD$7))</f>
        <v>38.685242777725229</v>
      </c>
      <c r="CD18" s="9">
        <f>IF(管理者入力シート!$B$14=1,CC15*管理者用人口入力シート!BE$3,IF(管理者入力シート!$B$14=2,CC15*管理者用人口入力シート!BE$7))</f>
        <v>10.016946236148989</v>
      </c>
      <c r="CE18" s="9">
        <f>IF(管理者入力シート!$B$14=1,CD15*管理者用人口入力シート!BF$3,IF(管理者入力シート!$B$14=2,CD15*管理者用人口入力シート!BF$7))</f>
        <v>8.8699928457096674E-3</v>
      </c>
      <c r="CF18" s="9">
        <f t="shared" si="252"/>
        <v>1378.209668511756</v>
      </c>
      <c r="CG18" s="9">
        <f t="shared" si="253"/>
        <v>60.113555774291775</v>
      </c>
      <c r="CH18" s="9">
        <f t="shared" si="254"/>
        <v>32.111863917101196</v>
      </c>
      <c r="CI18" s="9">
        <f t="shared" si="255"/>
        <v>638.58458768512878</v>
      </c>
      <c r="CJ18" s="9">
        <f t="shared" si="256"/>
        <v>357.08641438159827</v>
      </c>
      <c r="CK18" s="13">
        <f t="shared" si="257"/>
        <v>0.46334356975937996</v>
      </c>
      <c r="CL18" s="13">
        <f t="shared" si="258"/>
        <v>0.25909440525634531</v>
      </c>
      <c r="CM18" s="9">
        <f t="shared" si="259"/>
        <v>150.29423745754693</v>
      </c>
      <c r="CO18" s="7" t="str">
        <f t="shared" si="26"/>
        <v>2050_1</v>
      </c>
      <c r="CP18" s="28">
        <f>管理者入力シート!B13</f>
        <v>2050</v>
      </c>
      <c r="CQ18" s="3" t="s">
        <v>21</v>
      </c>
      <c r="CR18" s="9">
        <f>DT19*$AK$13+将来予測シート②!$G17</f>
        <v>39.033790133359901</v>
      </c>
      <c r="CS18" s="9">
        <f>IF(管理者入力シート!$B$14=1,CR15*管理者用人口入力シート!AM$3,IF(管理者入力シート!$B$14=2,CR15*管理者用人口入力シート!AM$7))+将来予測シート②!$G18</f>
        <v>48.319193560377364</v>
      </c>
      <c r="CT18" s="9">
        <f>IF(管理者入力シート!$B$14=1,CS15*管理者用人口入力シート!AN$3,IF(管理者入力シート!$B$14=2,CS15*管理者用人口入力シート!AN$7))+将来予測シート②!$G19</f>
        <v>58.602955288468245</v>
      </c>
      <c r="CU18" s="9">
        <f>IF(管理者入力シート!$B$14=1,CT15*管理者用人口入力シート!AO$3,IF(管理者入力シート!$B$14=2,CT15*管理者用人口入力シート!AO$7))+将来予測シート②!$G20</f>
        <v>53.880726540367284</v>
      </c>
      <c r="CV18" s="9">
        <f>IF(管理者入力シート!$B$14=1,CU15*管理者用人口入力シート!AP$3,IF(管理者入力シート!$B$14=2,CU15*管理者用人口入力シート!AP$7))+将来予測シート②!$G21</f>
        <v>30.3699531741306</v>
      </c>
      <c r="CW18" s="9">
        <f>IF(管理者入力シート!$B$14=1,CV15*管理者用人口入力シート!AQ$3,IF(管理者入力シート!$B$14=2,CV15*管理者用人口入力シート!AQ$7))+将来予測シート②!$G22</f>
        <v>35.430467916963522</v>
      </c>
      <c r="CX18" s="9">
        <f>IF(管理者入力シート!$B$14=1,CW15*管理者用人口入力シート!AR$3,IF(管理者入力シート!$B$14=2,CW15*管理者用人口入力シート!AR$7))+将来予測シート②!$G23</f>
        <v>41.244542016898073</v>
      </c>
      <c r="CY18" s="9">
        <f>IF(管理者入力シート!$B$14=1,CX15*管理者用人口入力シート!AS$3,IF(管理者入力シート!$B$14=2,CX15*管理者用人口入力シート!AS$7))+将来予測シート②!$G24</f>
        <v>51.969403767810249</v>
      </c>
      <c r="CZ18" s="9">
        <f>IF(管理者入力シート!$B$14=1,CY15*管理者用人口入力シート!AT$3,IF(管理者入力シート!$B$14=2,CY15*管理者用人口入力シート!AT$7))+将来予測シート②!$G25</f>
        <v>59.859532353769772</v>
      </c>
      <c r="DA18" s="9">
        <f>IF(管理者入力シート!$B$14=1,CZ15*管理者用人口入力シート!AU$3,IF(管理者入力シート!$B$14=2,CZ15*管理者用人口入力シート!AU$7))+将来予測シート②!$G26</f>
        <v>76.425927718678594</v>
      </c>
      <c r="DB18" s="9">
        <f>IF(管理者入力シート!$B$14=1,DA15*管理者用人口入力シート!AV$3,IF(管理者入力シート!$B$14=2,DA15*管理者用人口入力シート!AV$7))+将来予測シート②!$G27</f>
        <v>79.12004178646265</v>
      </c>
      <c r="DC18" s="9">
        <f>IF(管理者入力シート!$B$14=1,DB15*管理者用人口入力シート!AW$3,IF(管理者入力シート!$B$14=2,DB15*管理者用人口入力シート!AW$7))+将来予測シート②!$G28</f>
        <v>74.985902693428699</v>
      </c>
      <c r="DD18" s="9">
        <f>IF(管理者入力シート!$B$14=1,DC15*管理者用人口入力シート!AX$3,IF(管理者入力シート!$B$14=2,DC15*管理者用人口入力シート!AX$7))+将来予測シート②!$G29</f>
        <v>117.37297145502025</v>
      </c>
      <c r="DE18" s="9">
        <f>IF(管理者入力シート!$B$14=1,DD15*管理者用人口入力シート!AY$3,IF(管理者入力シート!$B$14=2,DD15*管理者用人口入力シート!AY$7))</f>
        <v>139.27068746107332</v>
      </c>
      <c r="DF18" s="9">
        <f>IF(管理者入力シート!$B$14=1,DE15*管理者用人口入力シート!AZ$3,IF(管理者入力シート!$B$14=2,DE15*管理者用人口入力シート!AZ$7))</f>
        <v>142.22748584245724</v>
      </c>
      <c r="DG18" s="9">
        <f>IF(管理者入力シート!$B$14=1,DF15*管理者用人口入力シート!BA$3,IF(管理者入力シート!$B$14=2,DF15*管理者用人口入力シート!BA$7))</f>
        <v>154.40176176672651</v>
      </c>
      <c r="DH18" s="9">
        <f>IF(管理者入力シート!$B$14=1,DG15*管理者用人口入力シート!BB$3,IF(管理者入力シート!$B$14=2,DG15*管理者用人口入力シート!BB$7))</f>
        <v>87.300992801649073</v>
      </c>
      <c r="DI18" s="9">
        <f>IF(管理者入力シート!$B$14=1,DH15*管理者用人口入力シート!BC$3,IF(管理者入力シート!$B$14=2,DH15*管理者用人口入力シート!BC$7))</f>
        <v>66.672600806502757</v>
      </c>
      <c r="DJ18" s="9">
        <f>IF(管理者入力シート!$B$14=1,DI15*管理者用人口入力シート!BD$3,IF(管理者入力シート!$B$14=2,DI15*管理者用人口入力シート!BD$7))</f>
        <v>38.685242777725229</v>
      </c>
      <c r="DK18" s="9">
        <f>IF(管理者入力シート!$B$14=1,DJ15*管理者用人口入力シート!BE$3,IF(管理者入力シート!$B$14=2,DJ15*管理者用人口入力シート!BE$7))</f>
        <v>10.016946236148989</v>
      </c>
      <c r="DL18" s="9">
        <f>IF(管理者入力シート!$B$14=1,DK15*管理者用人口入力シート!BF$3,IF(管理者入力シート!$B$14=2,DK15*管理者用人口入力シート!BF$7))</f>
        <v>8.8699928457096674E-3</v>
      </c>
      <c r="DM18" s="9">
        <f t="shared" si="260"/>
        <v>1405.199996090864</v>
      </c>
      <c r="DN18" s="9">
        <f t="shared" si="261"/>
        <v>64.153289309307368</v>
      </c>
      <c r="DO18" s="9">
        <f t="shared" si="262"/>
        <v>34.217327423460759</v>
      </c>
      <c r="DP18" s="9">
        <f t="shared" si="263"/>
        <v>638.58458768512878</v>
      </c>
      <c r="DQ18" s="9">
        <f t="shared" si="264"/>
        <v>357.08641438159827</v>
      </c>
      <c r="DR18" s="13">
        <f t="shared" si="265"/>
        <v>0.45444391507373461</v>
      </c>
      <c r="DS18" s="13">
        <f t="shared" si="266"/>
        <v>0.25411785893465666</v>
      </c>
      <c r="DT18" s="9">
        <f t="shared" si="267"/>
        <v>159.01436687580247</v>
      </c>
      <c r="DX18" s="287">
        <f>DX1</f>
        <v>76</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38.799371682582255</v>
      </c>
      <c r="BL19" s="10">
        <f>IF(管理者入力シート!$B$14=1,BK16*管理者用人口入力シート!AM$4,IF(管理者入力シート!$B$14=2,BK16*管理者用人口入力シート!AM$8))</f>
        <v>46.224921715722544</v>
      </c>
      <c r="BM19" s="10">
        <f>IF(管理者入力シート!$B$14=1,BL16*管理者用人口入力シート!AN$4,IF(管理者入力シート!$B$14=2,BL16*管理者用人口入力シート!AN$8))</f>
        <v>54.70008045848563</v>
      </c>
      <c r="BN19" s="10">
        <f>IF(管理者入力シート!$B$14=1,BM16*管理者用人口入力シート!AO$4,IF(管理者入力シート!$B$14=2,BM16*管理者用人口入力シート!AO$8))</f>
        <v>55.556749843120059</v>
      </c>
      <c r="BO19" s="10">
        <f>IF(管理者入力シート!$B$14=1,BN16*管理者用人口入力シート!AP$4,IF(管理者入力シート!$B$14=2,BN16*管理者用人口入力シート!AP$8))</f>
        <v>34.166206620397283</v>
      </c>
      <c r="BP19" s="10">
        <f>IF(管理者入力シート!$B$14=1,BO16*管理者用人口入力シート!AQ$4,IF(管理者入力シート!$B$14=2,BO16*管理者用人口入力シート!AQ$8))</f>
        <v>34.69268388051038</v>
      </c>
      <c r="BQ19" s="10">
        <f>IF(管理者入力シート!$B$14=1,BP16*管理者用人口入力シート!AR$4,IF(管理者入力シート!$B$14=2,BP16*管理者用人口入力シート!AR$8))</f>
        <v>41.875532158516656</v>
      </c>
      <c r="BR19" s="10">
        <f>IF(管理者入力シート!$B$14=1,BQ16*管理者用人口入力シート!AS$4,IF(管理者入力シート!$B$14=2,BQ16*管理者用人口入力シート!AS$8))</f>
        <v>54.508508020334268</v>
      </c>
      <c r="BS19" s="10">
        <f>IF(管理者入力シート!$B$14=1,BR16*管理者用人口入力シート!AT$4,IF(管理者入力シート!$B$14=2,BR16*管理者用人口入力シート!AT$8))</f>
        <v>53.432663052786957</v>
      </c>
      <c r="BT19" s="10">
        <f>IF(管理者入力シート!$B$14=1,BS16*管理者用人口入力シート!AU$4,IF(管理者入力シート!$B$14=2,BS16*管理者用人口入力シート!AU$8))</f>
        <v>61.231704343579359</v>
      </c>
      <c r="BU19" s="10">
        <f>IF(管理者入力シート!$B$14=1,BT16*管理者用人口入力シート!AV$4,IF(管理者入力シート!$B$14=2,BT16*管理者用人口入力シート!AV$8))</f>
        <v>76.302786645092027</v>
      </c>
      <c r="BV19" s="10">
        <f>IF(管理者入力シート!$B$14=1,BU16*管理者用人口入力シート!AW$4,IF(管理者入力シート!$B$14=2,BU16*管理者用人口入力シート!AW$8))</f>
        <v>78.871578725858143</v>
      </c>
      <c r="BW19" s="10">
        <f>IF(管理者入力シート!$B$14=1,BV16*管理者用人口入力シート!AX$4,IF(管理者入力シート!$B$14=2,BV16*管理者用人口入力シート!AX$8))</f>
        <v>96.771470364010881</v>
      </c>
      <c r="BX19" s="10">
        <f>IF(管理者入力シート!$B$14=1,BW16*管理者用人口入力シート!AY$4,IF(管理者入力シート!$B$14=2,BW16*管理者用人口入力シート!AY$8))</f>
        <v>132.37155939648946</v>
      </c>
      <c r="BY19" s="10">
        <f>IF(管理者入力シート!$B$14=1,BX16*管理者用人口入力シート!AZ$4,IF(管理者入力シート!$B$14=2,BX16*管理者用人口入力シート!AZ$8))</f>
        <v>184.54294577157171</v>
      </c>
      <c r="BZ19" s="10">
        <f>IF(管理者入力シート!$B$14=1,BY16*管理者用人口入力シート!BA$4,IF(管理者入力シート!$B$14=2,BY16*管理者用人口入力シート!BA$8))</f>
        <v>152.69408144703505</v>
      </c>
      <c r="CA19" s="10">
        <f>IF(管理者入力シート!$B$14=1,BZ16*管理者用人口入力シート!BB$4,IF(管理者入力シート!$B$14=2,BZ16*管理者用人口入力シート!BB$8))</f>
        <v>139.47157356296492</v>
      </c>
      <c r="CB19" s="10">
        <f>IF(管理者入力シート!$B$14=1,CA16*管理者用人口入力シート!BC$4,IF(管理者入力シート!$B$14=2,CA16*管理者用人口入力シート!BC$8))</f>
        <v>115.91920809400645</v>
      </c>
      <c r="CC19" s="10">
        <f>IF(管理者入力シート!$B$14=1,CB16*管理者用人口入力シート!BD$4,IF(管理者入力シート!$B$14=2,CB16*管理者用人口入力シート!BD$8))</f>
        <v>87.542627548046084</v>
      </c>
      <c r="CD19" s="10">
        <f>IF(管理者入力シート!$B$14=1,CC16*管理者用人口入力シート!BE$4,IF(管理者入力シート!$B$14=2,CC16*管理者用人口入力シート!BE$8))</f>
        <v>34.662632559991842</v>
      </c>
      <c r="CE19" s="10">
        <f>IF(管理者入力シート!$B$14=1,CD16*管理者用人口入力シート!BF$4,IF(管理者入力シート!$B$14=2,CD16*管理者用人口入力シート!BF$8))</f>
        <v>8.3600380114202828</v>
      </c>
      <c r="CF19" s="10">
        <f t="shared" si="252"/>
        <v>1582.6989239025224</v>
      </c>
      <c r="CG19" s="10">
        <f t="shared" si="253"/>
        <v>60.555001304524907</v>
      </c>
      <c r="CH19" s="10">
        <f t="shared" si="254"/>
        <v>32.991382152018261</v>
      </c>
      <c r="CI19" s="10">
        <f t="shared" si="255"/>
        <v>855.56466639152575</v>
      </c>
      <c r="CJ19" s="10">
        <f t="shared" si="256"/>
        <v>538.65016122346469</v>
      </c>
      <c r="CK19" s="14">
        <f t="shared" si="257"/>
        <v>0.54057322809187647</v>
      </c>
      <c r="CL19" s="14">
        <f t="shared" si="258"/>
        <v>0.34033646771888487</v>
      </c>
      <c r="CM19" s="10">
        <f t="shared" si="259"/>
        <v>165.24293067975859</v>
      </c>
      <c r="CO19" s="7" t="str">
        <f t="shared" si="26"/>
        <v>2050_2</v>
      </c>
      <c r="CP19" s="29">
        <f>CP18</f>
        <v>2050</v>
      </c>
      <c r="CQ19" s="4" t="s">
        <v>22</v>
      </c>
      <c r="CR19" s="10">
        <f>DT19*$AK$14+将来予測シート②!$H17</f>
        <v>41.922132562244357</v>
      </c>
      <c r="CS19" s="10">
        <f>IF(管理者入力シート!$B$14=1,CR16*管理者用人口入力シート!AM$4,IF(管理者入力シート!$B$14=2,CR16*管理者用人口入力シート!AM$8))+将来予測シート②!$H18</f>
        <v>49.1285847463867</v>
      </c>
      <c r="CT19" s="10">
        <f>IF(管理者入力シート!$B$14=1,CS16*管理者用人口入力シート!AN$4,IF(管理者入力シート!$B$14=2,CS16*管理者用人口入力シート!AN$8))+将来予測シート②!$H19</f>
        <v>58.420633957248022</v>
      </c>
      <c r="CU19" s="10">
        <f>IF(管理者入力シート!$B$14=1,CT16*管理者用人口入力シート!AO$4,IF(管理者入力シート!$B$14=2,CT16*管理者用人口入力シート!AO$8))+将来予測シート②!$H20</f>
        <v>58.670926992383222</v>
      </c>
      <c r="CV19" s="10">
        <f>IF(管理者入力シート!$B$14=1,CU16*管理者用人口入力シート!AP$4,IF(管理者入力シート!$B$14=2,CU16*管理者用人口入力シート!AP$8))+将来予測シート②!$H21</f>
        <v>35.589822440544793</v>
      </c>
      <c r="CW19" s="10">
        <f>IF(管理者入力シート!$B$14=1,CV16*管理者用人口入力シート!AQ$4,IF(管理者入力シート!$B$14=2,CV16*管理者用人口入力シート!AQ$8))+将来予測シート②!$H22</f>
        <v>37.528855659419136</v>
      </c>
      <c r="CX19" s="10">
        <f>IF(管理者入力シート!$B$14=1,CW16*管理者用人口入力シート!AR$4,IF(管理者入力シート!$B$14=2,CW16*管理者用人口入力シート!AR$8))+将来予測シート②!$H23</f>
        <v>44.237514123589108</v>
      </c>
      <c r="CY19" s="10">
        <f>IF(管理者入力シート!$B$14=1,CX16*管理者用人口入力シート!AS$4,IF(管理者入力シート!$B$14=2,CX16*管理者用人口入力シート!AS$8))+将来予測シート②!$H24</f>
        <v>56.927380447972013</v>
      </c>
      <c r="CZ19" s="10">
        <f>IF(管理者入力シート!$B$14=1,CY16*管理者用人口入力シート!AT$4,IF(管理者入力シート!$B$14=2,CY16*管理者用人口入力シート!AT$8))+将来予測シート②!$H25</f>
        <v>56.379940050715703</v>
      </c>
      <c r="DA19" s="10">
        <f>IF(管理者入力シート!$B$14=1,CZ16*管理者用人口入力シート!AU$4,IF(管理者入力シート!$B$14=2,CZ16*管理者用人口入力シート!AU$8))+将来予測シート②!$H26</f>
        <v>64.052861900847489</v>
      </c>
      <c r="DB19" s="10">
        <f>IF(管理者入力シート!$B$14=1,DA16*管理者用人口入力シート!AV$4,IF(管理者入力シート!$B$14=2,DA16*管理者用人口入力シート!AV$8))+将来予測シート②!$H27</f>
        <v>79.138683090331284</v>
      </c>
      <c r="DC19" s="10">
        <f>IF(管理者入力シート!$B$14=1,DB16*管理者用人口入力シート!AW$4,IF(管理者入力シート!$B$14=2,DB16*管理者用人口入力シート!AW$8))+将来予測シート②!$H28</f>
        <v>79.813248818160744</v>
      </c>
      <c r="DD19" s="10">
        <f>IF(管理者入力シート!$B$14=1,DC16*管理者用人口入力シート!AX$4,IF(管理者入力シート!$B$14=2,DC16*管理者用人口入力シート!AX$8))+将来予測シート②!$H29</f>
        <v>97.726409134403625</v>
      </c>
      <c r="DE19" s="10">
        <f>IF(管理者入力シート!$B$14=1,DD16*管理者用人口入力シート!AY$4,IF(管理者入力シート!$B$14=2,DD16*管理者用人口入力シート!AY$8))</f>
        <v>133.31899440268171</v>
      </c>
      <c r="DF19" s="10">
        <f>IF(管理者入力シート!$B$14=1,DE16*管理者用人口入力シート!AZ$4,IF(管理者入力シート!$B$14=2,DE16*管理者用人口入力シート!AZ$8))</f>
        <v>184.54294577157171</v>
      </c>
      <c r="DG19" s="10">
        <f>IF(管理者入力シート!$B$14=1,DF16*管理者用人口入力シート!BA$4,IF(管理者入力シート!$B$14=2,DF16*管理者用人口入力シート!BA$8))</f>
        <v>152.69408144703505</v>
      </c>
      <c r="DH19" s="10">
        <f>IF(管理者入力シート!$B$14=1,DG16*管理者用人口入力シート!BB$4,IF(管理者入力シート!$B$14=2,DG16*管理者用人口入力シート!BB$8))</f>
        <v>139.47157356296492</v>
      </c>
      <c r="DI19" s="10">
        <f>IF(管理者入力シート!$B$14=1,DH16*管理者用人口入力シート!BC$4,IF(管理者入力シート!$B$14=2,DH16*管理者用人口入力シート!BC$8))</f>
        <v>115.91920809400645</v>
      </c>
      <c r="DJ19" s="10">
        <f>IF(管理者入力シート!$B$14=1,DI16*管理者用人口入力シート!BD$4,IF(管理者入力シート!$B$14=2,DI16*管理者用人口入力シート!BD$8))</f>
        <v>87.542627548046084</v>
      </c>
      <c r="DK19" s="10">
        <f>IF(管理者入力シート!$B$14=1,DJ16*管理者用人口入力シート!BE$4,IF(管理者入力シート!$B$14=2,DJ16*管理者用人口入力シート!BE$8))</f>
        <v>34.662632559991842</v>
      </c>
      <c r="DL19" s="10">
        <f>IF(管理者入力シート!$B$14=1,DK16*管理者用人口入力シート!BF$4,IF(管理者入力シート!$B$14=2,DK16*管理者用人口入力シート!BF$8))</f>
        <v>8.3600380114202828</v>
      </c>
      <c r="DM19" s="10">
        <f t="shared" si="260"/>
        <v>1616.0490953219646</v>
      </c>
      <c r="DN19" s="10">
        <f t="shared" si="261"/>
        <v>64.529531222180836</v>
      </c>
      <c r="DO19" s="10">
        <f t="shared" si="262"/>
        <v>35.102438981375855</v>
      </c>
      <c r="DP19" s="10">
        <f t="shared" si="263"/>
        <v>856.51210139771808</v>
      </c>
      <c r="DQ19" s="10">
        <f t="shared" si="264"/>
        <v>538.65016122346469</v>
      </c>
      <c r="DR19" s="14">
        <f t="shared" si="265"/>
        <v>0.53000376280466632</v>
      </c>
      <c r="DS19" s="14">
        <f t="shared" si="266"/>
        <v>0.33331299326407515</v>
      </c>
      <c r="DT19" s="10">
        <f t="shared" si="267"/>
        <v>174.28357267152506</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74.86022842402835</v>
      </c>
      <c r="BL20" s="16">
        <f t="shared" ref="BL20:CE20" si="276">BL18+BL19</f>
        <v>91.616004038267334</v>
      </c>
      <c r="BM20" s="16">
        <f t="shared" si="276"/>
        <v>109.49825775976046</v>
      </c>
      <c r="BN20" s="16">
        <f t="shared" si="276"/>
        <v>106.51971482607635</v>
      </c>
      <c r="BO20" s="16">
        <f t="shared" si="276"/>
        <v>63.291407818216939</v>
      </c>
      <c r="BP20" s="16">
        <f t="shared" si="276"/>
        <v>67.307279613308424</v>
      </c>
      <c r="BQ20" s="16">
        <f t="shared" si="276"/>
        <v>80.808578477618852</v>
      </c>
      <c r="BR20" s="16">
        <f t="shared" si="276"/>
        <v>104.12990222816128</v>
      </c>
      <c r="BS20" s="16">
        <f t="shared" si="276"/>
        <v>111.37106709355379</v>
      </c>
      <c r="BT20" s="16">
        <f t="shared" si="276"/>
        <v>135.77050789310437</v>
      </c>
      <c r="BU20" s="16">
        <f t="shared" si="276"/>
        <v>153.58446692720966</v>
      </c>
      <c r="BV20" s="16">
        <f t="shared" si="276"/>
        <v>153.85748141928684</v>
      </c>
      <c r="BW20" s="16">
        <f t="shared" si="276"/>
        <v>214.14444181903113</v>
      </c>
      <c r="BX20" s="16">
        <f t="shared" si="276"/>
        <v>271.64224685756278</v>
      </c>
      <c r="BY20" s="16">
        <f t="shared" si="276"/>
        <v>326.77043161402895</v>
      </c>
      <c r="BZ20" s="16">
        <f t="shared" si="276"/>
        <v>307.09584321376155</v>
      </c>
      <c r="CA20" s="16">
        <f t="shared" si="276"/>
        <v>226.77256636461399</v>
      </c>
      <c r="CB20" s="16">
        <f t="shared" si="276"/>
        <v>182.59180890050919</v>
      </c>
      <c r="CC20" s="16">
        <f t="shared" si="276"/>
        <v>126.22787032577131</v>
      </c>
      <c r="CD20" s="16">
        <f t="shared" si="276"/>
        <v>44.679578796140831</v>
      </c>
      <c r="CE20" s="16">
        <f t="shared" si="276"/>
        <v>8.3689080042659931</v>
      </c>
      <c r="CF20" s="11">
        <f t="shared" si="252"/>
        <v>2960.9085924142782</v>
      </c>
      <c r="CG20" s="11">
        <f t="shared" si="253"/>
        <v>120.66855707881669</v>
      </c>
      <c r="CH20" s="11">
        <f t="shared" si="254"/>
        <v>65.10324606911945</v>
      </c>
      <c r="CI20" s="11">
        <f t="shared" si="255"/>
        <v>1494.1492540766546</v>
      </c>
      <c r="CJ20" s="11">
        <f t="shared" si="256"/>
        <v>895.73657560506297</v>
      </c>
      <c r="CK20" s="15">
        <f t="shared" si="257"/>
        <v>0.50462525520193413</v>
      </c>
      <c r="CL20" s="15">
        <f t="shared" si="258"/>
        <v>0.30252084711426147</v>
      </c>
      <c r="CM20" s="11">
        <f t="shared" si="259"/>
        <v>315.53716813730551</v>
      </c>
      <c r="CO20" s="7" t="str">
        <f t="shared" si="26"/>
        <v>2050_3</v>
      </c>
      <c r="CP20" s="30">
        <f>CP19</f>
        <v>2050</v>
      </c>
      <c r="CQ20" s="5" t="s">
        <v>23</v>
      </c>
      <c r="CR20" s="16">
        <f>CR18+CR19</f>
        <v>80.955922695604258</v>
      </c>
      <c r="CS20" s="16">
        <f t="shared" ref="CS20:DL20" si="277">CS18+CS19</f>
        <v>97.447778306764064</v>
      </c>
      <c r="CT20" s="16">
        <f t="shared" si="277"/>
        <v>117.02358924571627</v>
      </c>
      <c r="CU20" s="16">
        <f t="shared" si="277"/>
        <v>112.55165353275051</v>
      </c>
      <c r="CV20" s="16">
        <f t="shared" si="277"/>
        <v>65.959775614675394</v>
      </c>
      <c r="CW20" s="16">
        <f t="shared" si="277"/>
        <v>72.959323576382658</v>
      </c>
      <c r="CX20" s="16">
        <f t="shared" si="277"/>
        <v>85.482056140487174</v>
      </c>
      <c r="CY20" s="16">
        <f t="shared" si="277"/>
        <v>108.89678421578226</v>
      </c>
      <c r="CZ20" s="16">
        <f t="shared" si="277"/>
        <v>116.23947240448547</v>
      </c>
      <c r="DA20" s="16">
        <f t="shared" si="277"/>
        <v>140.47878961952608</v>
      </c>
      <c r="DB20" s="16">
        <f t="shared" si="277"/>
        <v>158.25872487679393</v>
      </c>
      <c r="DC20" s="16">
        <f t="shared" si="277"/>
        <v>154.79915151158946</v>
      </c>
      <c r="DD20" s="16">
        <f t="shared" si="277"/>
        <v>215.09938058942387</v>
      </c>
      <c r="DE20" s="16">
        <f t="shared" si="277"/>
        <v>272.589681863755</v>
      </c>
      <c r="DF20" s="16">
        <f t="shared" si="277"/>
        <v>326.77043161402895</v>
      </c>
      <c r="DG20" s="16">
        <f t="shared" si="277"/>
        <v>307.09584321376155</v>
      </c>
      <c r="DH20" s="16">
        <f t="shared" si="277"/>
        <v>226.77256636461399</v>
      </c>
      <c r="DI20" s="16">
        <f t="shared" si="277"/>
        <v>182.59180890050919</v>
      </c>
      <c r="DJ20" s="16">
        <f t="shared" si="277"/>
        <v>126.22787032577131</v>
      </c>
      <c r="DK20" s="16">
        <f t="shared" si="277"/>
        <v>44.679578796140831</v>
      </c>
      <c r="DL20" s="16">
        <f t="shared" si="277"/>
        <v>8.3689080042659931</v>
      </c>
      <c r="DM20" s="11">
        <f t="shared" si="260"/>
        <v>3021.2490914128275</v>
      </c>
      <c r="DN20" s="11">
        <f t="shared" si="261"/>
        <v>128.6828205314882</v>
      </c>
      <c r="DO20" s="11">
        <f t="shared" si="262"/>
        <v>69.319766404836599</v>
      </c>
      <c r="DP20" s="11">
        <f t="shared" si="263"/>
        <v>1495.0966890828468</v>
      </c>
      <c r="DQ20" s="11">
        <f t="shared" si="264"/>
        <v>895.73657560506297</v>
      </c>
      <c r="DR20" s="15">
        <f t="shared" si="265"/>
        <v>0.49486045137168555</v>
      </c>
      <c r="DS20" s="15">
        <f t="shared" si="266"/>
        <v>0.29647888952651352</v>
      </c>
      <c r="DT20" s="11">
        <f t="shared" si="267"/>
        <v>333.29793954732747</v>
      </c>
      <c r="DX20" s="28">
        <f>DX3</f>
        <v>2025</v>
      </c>
      <c r="DY20" s="3" t="s">
        <v>21</v>
      </c>
      <c r="DZ20" s="9">
        <f t="shared" ref="DZ20:ET20" si="278">ROUND(DZ3,0)</f>
        <v>76</v>
      </c>
      <c r="EA20" s="9">
        <f t="shared" si="278"/>
        <v>101</v>
      </c>
      <c r="EB20" s="9">
        <f t="shared" si="278"/>
        <v>131</v>
      </c>
      <c r="EC20" s="9">
        <f t="shared" si="278"/>
        <v>124</v>
      </c>
      <c r="ED20" s="9">
        <f t="shared" si="278"/>
        <v>83</v>
      </c>
      <c r="EE20" s="9">
        <f t="shared" si="278"/>
        <v>160</v>
      </c>
      <c r="EF20" s="9">
        <f t="shared" si="278"/>
        <v>153</v>
      </c>
      <c r="EG20" s="9">
        <f t="shared" si="278"/>
        <v>201</v>
      </c>
      <c r="EH20" s="9">
        <f t="shared" si="278"/>
        <v>149</v>
      </c>
      <c r="EI20" s="9">
        <f t="shared" si="278"/>
        <v>164</v>
      </c>
      <c r="EJ20" s="9">
        <f t="shared" si="278"/>
        <v>202</v>
      </c>
      <c r="EK20" s="9">
        <f t="shared" si="278"/>
        <v>160</v>
      </c>
      <c r="EL20" s="9">
        <f t="shared" si="278"/>
        <v>183</v>
      </c>
      <c r="EM20" s="9">
        <f t="shared" si="278"/>
        <v>270</v>
      </c>
      <c r="EN20" s="9">
        <f t="shared" si="278"/>
        <v>310</v>
      </c>
      <c r="EO20" s="9">
        <f t="shared" si="278"/>
        <v>236</v>
      </c>
      <c r="EP20" s="9">
        <f t="shared" si="278"/>
        <v>127</v>
      </c>
      <c r="EQ20" s="9">
        <f t="shared" si="278"/>
        <v>105</v>
      </c>
      <c r="ER20" s="9">
        <f t="shared" si="278"/>
        <v>41</v>
      </c>
      <c r="ES20" s="9">
        <f t="shared" si="278"/>
        <v>10</v>
      </c>
      <c r="ET20" s="9">
        <f t="shared" si="278"/>
        <v>0</v>
      </c>
      <c r="EU20" s="9">
        <f t="shared" ref="EU20:EU21" si="279">SUM(DZ20:ET20)</f>
        <v>2986</v>
      </c>
      <c r="EV20" s="9">
        <f>EA20*3/5+EB20*3/5</f>
        <v>139.19999999999999</v>
      </c>
      <c r="EW20" s="9">
        <f>EB20*2/5+EC20*1/5</f>
        <v>77.2</v>
      </c>
      <c r="EX20" s="9">
        <f t="shared" ref="EX20:EX31" si="280">SUM(EM20:ET20)</f>
        <v>1099</v>
      </c>
      <c r="EY20" s="9">
        <f>SUM(EO20:ET20)</f>
        <v>519</v>
      </c>
      <c r="EZ20" s="13">
        <f>EX20/EU20</f>
        <v>0.36805090421969189</v>
      </c>
      <c r="FA20" s="13">
        <f>EY20/EU20</f>
        <v>0.17381111855324849</v>
      </c>
      <c r="FB20" s="9">
        <f>SUM(ED20:EG20)</f>
        <v>597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81</v>
      </c>
      <c r="EA21" s="10">
        <f t="shared" si="281"/>
        <v>103</v>
      </c>
      <c r="EB21" s="10">
        <f t="shared" si="281"/>
        <v>133</v>
      </c>
      <c r="EC21" s="10">
        <f t="shared" si="281"/>
        <v>115</v>
      </c>
      <c r="ED21" s="10">
        <f t="shared" si="281"/>
        <v>76</v>
      </c>
      <c r="EE21" s="10">
        <f t="shared" si="281"/>
        <v>157</v>
      </c>
      <c r="EF21" s="10">
        <f t="shared" si="281"/>
        <v>160</v>
      </c>
      <c r="EG21" s="10">
        <f t="shared" si="281"/>
        <v>180</v>
      </c>
      <c r="EH21" s="10">
        <f t="shared" si="281"/>
        <v>140</v>
      </c>
      <c r="EI21" s="10">
        <f t="shared" si="281"/>
        <v>191</v>
      </c>
      <c r="EJ21" s="10">
        <f t="shared" si="281"/>
        <v>167</v>
      </c>
      <c r="EK21" s="10">
        <f t="shared" si="281"/>
        <v>178</v>
      </c>
      <c r="EL21" s="10">
        <f t="shared" si="281"/>
        <v>208</v>
      </c>
      <c r="EM21" s="10">
        <f t="shared" si="281"/>
        <v>292</v>
      </c>
      <c r="EN21" s="10">
        <f t="shared" si="281"/>
        <v>318</v>
      </c>
      <c r="EO21" s="10">
        <f t="shared" si="281"/>
        <v>294</v>
      </c>
      <c r="EP21" s="10">
        <f t="shared" si="281"/>
        <v>189</v>
      </c>
      <c r="EQ21" s="10">
        <f t="shared" si="281"/>
        <v>175</v>
      </c>
      <c r="ER21" s="10">
        <f t="shared" si="281"/>
        <v>111</v>
      </c>
      <c r="ES21" s="10">
        <f t="shared" si="281"/>
        <v>39</v>
      </c>
      <c r="ET21" s="10">
        <f t="shared" si="281"/>
        <v>10</v>
      </c>
      <c r="EU21" s="10">
        <f t="shared" si="279"/>
        <v>3317</v>
      </c>
      <c r="EV21" s="10">
        <f t="shared" ref="EV21:EV31" si="282">EA21*3/5+EB21*3/5</f>
        <v>141.6</v>
      </c>
      <c r="EW21" s="10">
        <f t="shared" ref="EW21:EW31" si="283">EB21*2/5+EC21*1/5</f>
        <v>76.2</v>
      </c>
      <c r="EX21" s="10">
        <f t="shared" si="280"/>
        <v>1428</v>
      </c>
      <c r="EY21" s="10">
        <f t="shared" ref="EY21:EY31" si="284">SUM(EO21:ET21)</f>
        <v>818</v>
      </c>
      <c r="EZ21" s="14">
        <f t="shared" ref="EZ21:EZ31" si="285">EX21/EU21</f>
        <v>0.43050949653301174</v>
      </c>
      <c r="FA21" s="14">
        <f t="shared" ref="FA21:FA31" si="286">EY21/EU21</f>
        <v>0.24660838106722943</v>
      </c>
      <c r="FB21" s="10">
        <f>SUM(ED21:EG21)</f>
        <v>573</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157</v>
      </c>
      <c r="EA22" s="16">
        <f t="shared" ref="EA22:ET22" si="287">EA20+EA21</f>
        <v>204</v>
      </c>
      <c r="EB22" s="16">
        <f t="shared" si="287"/>
        <v>264</v>
      </c>
      <c r="EC22" s="16">
        <f t="shared" si="287"/>
        <v>239</v>
      </c>
      <c r="ED22" s="16">
        <f t="shared" si="287"/>
        <v>159</v>
      </c>
      <c r="EE22" s="16">
        <f t="shared" si="287"/>
        <v>317</v>
      </c>
      <c r="EF22" s="16">
        <f t="shared" si="287"/>
        <v>313</v>
      </c>
      <c r="EG22" s="16">
        <f t="shared" si="287"/>
        <v>381</v>
      </c>
      <c r="EH22" s="16">
        <f t="shared" si="287"/>
        <v>289</v>
      </c>
      <c r="EI22" s="16">
        <f t="shared" si="287"/>
        <v>355</v>
      </c>
      <c r="EJ22" s="16">
        <f t="shared" si="287"/>
        <v>369</v>
      </c>
      <c r="EK22" s="16">
        <f t="shared" si="287"/>
        <v>338</v>
      </c>
      <c r="EL22" s="16">
        <f t="shared" si="287"/>
        <v>391</v>
      </c>
      <c r="EM22" s="16">
        <f t="shared" si="287"/>
        <v>562</v>
      </c>
      <c r="EN22" s="16">
        <f t="shared" si="287"/>
        <v>628</v>
      </c>
      <c r="EO22" s="16">
        <f t="shared" si="287"/>
        <v>530</v>
      </c>
      <c r="EP22" s="16">
        <f t="shared" si="287"/>
        <v>316</v>
      </c>
      <c r="EQ22" s="16">
        <f t="shared" si="287"/>
        <v>280</v>
      </c>
      <c r="ER22" s="16">
        <f t="shared" si="287"/>
        <v>152</v>
      </c>
      <c r="ES22" s="16">
        <f t="shared" si="287"/>
        <v>49</v>
      </c>
      <c r="ET22" s="16">
        <f t="shared" si="287"/>
        <v>10</v>
      </c>
      <c r="EU22" s="11">
        <f>SUM(DZ22:ET22)</f>
        <v>6303</v>
      </c>
      <c r="EV22" s="11">
        <f t="shared" si="282"/>
        <v>280.8</v>
      </c>
      <c r="EW22" s="11">
        <f t="shared" si="283"/>
        <v>153.39999999999998</v>
      </c>
      <c r="EX22" s="11">
        <f t="shared" si="280"/>
        <v>2527</v>
      </c>
      <c r="EY22" s="11">
        <f t="shared" si="284"/>
        <v>1337</v>
      </c>
      <c r="EZ22" s="15">
        <f t="shared" si="285"/>
        <v>0.40092019673171508</v>
      </c>
      <c r="FA22" s="15">
        <f t="shared" si="286"/>
        <v>0.21212121212121213</v>
      </c>
      <c r="FB22" s="11">
        <f>SUM(ED22:EG22)</f>
        <v>1170</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147</v>
      </c>
      <c r="EA23" s="9">
        <f t="shared" si="288"/>
        <v>82</v>
      </c>
      <c r="EB23" s="9">
        <f t="shared" si="288"/>
        <v>105</v>
      </c>
      <c r="EC23" s="9">
        <f t="shared" si="288"/>
        <v>103</v>
      </c>
      <c r="ED23" s="9">
        <f t="shared" si="288"/>
        <v>63</v>
      </c>
      <c r="EE23" s="9">
        <f t="shared" si="288"/>
        <v>155</v>
      </c>
      <c r="EF23" s="9">
        <f t="shared" si="288"/>
        <v>231</v>
      </c>
      <c r="EG23" s="9">
        <f t="shared" si="288"/>
        <v>231</v>
      </c>
      <c r="EH23" s="9">
        <f t="shared" si="288"/>
        <v>196</v>
      </c>
      <c r="EI23" s="9">
        <f t="shared" si="288"/>
        <v>147</v>
      </c>
      <c r="EJ23" s="9">
        <f t="shared" si="288"/>
        <v>160</v>
      </c>
      <c r="EK23" s="9">
        <f t="shared" si="288"/>
        <v>208</v>
      </c>
      <c r="EL23" s="9">
        <f t="shared" si="288"/>
        <v>156</v>
      </c>
      <c r="EM23" s="9">
        <f t="shared" si="288"/>
        <v>178</v>
      </c>
      <c r="EN23" s="9">
        <f t="shared" si="288"/>
        <v>247</v>
      </c>
      <c r="EO23" s="9">
        <f t="shared" si="288"/>
        <v>266</v>
      </c>
      <c r="EP23" s="9">
        <f t="shared" si="288"/>
        <v>173</v>
      </c>
      <c r="EQ23" s="9">
        <f t="shared" si="288"/>
        <v>83</v>
      </c>
      <c r="ER23" s="9">
        <f t="shared" si="288"/>
        <v>40</v>
      </c>
      <c r="ES23" s="9">
        <f t="shared" si="288"/>
        <v>9</v>
      </c>
      <c r="ET23" s="9">
        <f t="shared" si="288"/>
        <v>0</v>
      </c>
      <c r="EU23" s="9">
        <f t="shared" ref="EU23:EU31" si="289">SUM(DZ23:ET23)</f>
        <v>2980</v>
      </c>
      <c r="EV23" s="9">
        <f t="shared" si="282"/>
        <v>112.2</v>
      </c>
      <c r="EW23" s="9">
        <f t="shared" si="283"/>
        <v>62.6</v>
      </c>
      <c r="EX23" s="9">
        <f t="shared" si="280"/>
        <v>996</v>
      </c>
      <c r="EY23" s="9">
        <f t="shared" si="284"/>
        <v>571</v>
      </c>
      <c r="EZ23" s="13">
        <f t="shared" si="285"/>
        <v>0.33422818791946307</v>
      </c>
      <c r="FA23" s="13">
        <f t="shared" si="286"/>
        <v>0.19161073825503355</v>
      </c>
      <c r="FB23" s="9">
        <f t="shared" ref="FB23:FB31" si="290">SUM(ED23:EG23)</f>
        <v>680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159</v>
      </c>
      <c r="EA24" s="10">
        <f t="shared" si="291"/>
        <v>84</v>
      </c>
      <c r="EB24" s="10">
        <f t="shared" si="291"/>
        <v>104</v>
      </c>
      <c r="EC24" s="10">
        <f t="shared" si="291"/>
        <v>114</v>
      </c>
      <c r="ED24" s="10">
        <f t="shared" si="291"/>
        <v>63</v>
      </c>
      <c r="EE24" s="10">
        <f t="shared" si="291"/>
        <v>142</v>
      </c>
      <c r="EF24" s="10">
        <f t="shared" si="291"/>
        <v>230</v>
      </c>
      <c r="EG24" s="10">
        <f t="shared" si="291"/>
        <v>240</v>
      </c>
      <c r="EH24" s="10">
        <f t="shared" si="291"/>
        <v>175</v>
      </c>
      <c r="EI24" s="10">
        <f t="shared" si="291"/>
        <v>134</v>
      </c>
      <c r="EJ24" s="10">
        <f t="shared" si="291"/>
        <v>192</v>
      </c>
      <c r="EK24" s="10">
        <f t="shared" si="291"/>
        <v>163</v>
      </c>
      <c r="EL24" s="10">
        <f t="shared" si="291"/>
        <v>181</v>
      </c>
      <c r="EM24" s="10">
        <f t="shared" si="291"/>
        <v>206</v>
      </c>
      <c r="EN24" s="10">
        <f t="shared" si="291"/>
        <v>285</v>
      </c>
      <c r="EO24" s="10">
        <f t="shared" si="291"/>
        <v>302</v>
      </c>
      <c r="EP24" s="10">
        <f t="shared" si="291"/>
        <v>246</v>
      </c>
      <c r="EQ24" s="10">
        <f t="shared" si="291"/>
        <v>137</v>
      </c>
      <c r="ER24" s="10">
        <f t="shared" si="291"/>
        <v>93</v>
      </c>
      <c r="ES24" s="10">
        <f t="shared" si="291"/>
        <v>39</v>
      </c>
      <c r="ET24" s="10">
        <f t="shared" si="291"/>
        <v>10</v>
      </c>
      <c r="EU24" s="10">
        <f t="shared" si="289"/>
        <v>3299</v>
      </c>
      <c r="EV24" s="10">
        <f t="shared" si="282"/>
        <v>112.8</v>
      </c>
      <c r="EW24" s="10">
        <f t="shared" si="283"/>
        <v>64.400000000000006</v>
      </c>
      <c r="EX24" s="10">
        <f t="shared" si="280"/>
        <v>1318</v>
      </c>
      <c r="EY24" s="10">
        <f t="shared" si="284"/>
        <v>827</v>
      </c>
      <c r="EZ24" s="14">
        <f t="shared" si="285"/>
        <v>0.39951500454683236</v>
      </c>
      <c r="FA24" s="14">
        <f t="shared" si="286"/>
        <v>0.25068202485601698</v>
      </c>
      <c r="FB24" s="10">
        <f t="shared" si="290"/>
        <v>675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306</v>
      </c>
      <c r="EA25" s="16">
        <f t="shared" ref="EA25:ET25" si="292">EA23+EA24</f>
        <v>166</v>
      </c>
      <c r="EB25" s="16">
        <f t="shared" si="292"/>
        <v>209</v>
      </c>
      <c r="EC25" s="16">
        <f t="shared" si="292"/>
        <v>217</v>
      </c>
      <c r="ED25" s="16">
        <f t="shared" si="292"/>
        <v>126</v>
      </c>
      <c r="EE25" s="16">
        <f t="shared" si="292"/>
        <v>297</v>
      </c>
      <c r="EF25" s="16">
        <f t="shared" si="292"/>
        <v>461</v>
      </c>
      <c r="EG25" s="16">
        <f t="shared" si="292"/>
        <v>471</v>
      </c>
      <c r="EH25" s="16">
        <f t="shared" si="292"/>
        <v>371</v>
      </c>
      <c r="EI25" s="16">
        <f t="shared" si="292"/>
        <v>281</v>
      </c>
      <c r="EJ25" s="16">
        <f t="shared" si="292"/>
        <v>352</v>
      </c>
      <c r="EK25" s="16">
        <f t="shared" si="292"/>
        <v>371</v>
      </c>
      <c r="EL25" s="16">
        <f t="shared" si="292"/>
        <v>337</v>
      </c>
      <c r="EM25" s="16">
        <f t="shared" si="292"/>
        <v>384</v>
      </c>
      <c r="EN25" s="16">
        <f t="shared" si="292"/>
        <v>532</v>
      </c>
      <c r="EO25" s="16">
        <f t="shared" si="292"/>
        <v>568</v>
      </c>
      <c r="EP25" s="16">
        <f t="shared" si="292"/>
        <v>419</v>
      </c>
      <c r="EQ25" s="16">
        <f t="shared" si="292"/>
        <v>220</v>
      </c>
      <c r="ER25" s="16">
        <f t="shared" si="292"/>
        <v>133</v>
      </c>
      <c r="ES25" s="16">
        <f t="shared" si="292"/>
        <v>48</v>
      </c>
      <c r="ET25" s="16">
        <f t="shared" si="292"/>
        <v>10</v>
      </c>
      <c r="EU25" s="11">
        <f t="shared" si="289"/>
        <v>6279</v>
      </c>
      <c r="EV25" s="11">
        <f t="shared" si="282"/>
        <v>225</v>
      </c>
      <c r="EW25" s="11">
        <f t="shared" si="283"/>
        <v>127</v>
      </c>
      <c r="EX25" s="11">
        <f t="shared" si="280"/>
        <v>2314</v>
      </c>
      <c r="EY25" s="11">
        <f t="shared" si="284"/>
        <v>1398</v>
      </c>
      <c r="EZ25" s="15">
        <f t="shared" si="285"/>
        <v>0.36853002070393376</v>
      </c>
      <c r="FA25" s="15">
        <f t="shared" si="286"/>
        <v>0.22264691829909222</v>
      </c>
      <c r="FB25" s="11">
        <f t="shared" si="290"/>
        <v>1355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157</v>
      </c>
      <c r="EA26" s="9">
        <f t="shared" si="293"/>
        <v>160</v>
      </c>
      <c r="EB26" s="9">
        <f t="shared" si="293"/>
        <v>85</v>
      </c>
      <c r="EC26" s="9">
        <f t="shared" si="293"/>
        <v>82</v>
      </c>
      <c r="ED26" s="9">
        <f t="shared" si="293"/>
        <v>53</v>
      </c>
      <c r="EE26" s="9">
        <f t="shared" si="293"/>
        <v>136</v>
      </c>
      <c r="EF26" s="9">
        <f t="shared" si="293"/>
        <v>226</v>
      </c>
      <c r="EG26" s="9">
        <f t="shared" si="293"/>
        <v>311</v>
      </c>
      <c r="EH26" s="9">
        <f t="shared" si="293"/>
        <v>225</v>
      </c>
      <c r="EI26" s="9">
        <f t="shared" si="293"/>
        <v>193</v>
      </c>
      <c r="EJ26" s="9">
        <f t="shared" si="293"/>
        <v>143</v>
      </c>
      <c r="EK26" s="9">
        <f t="shared" si="293"/>
        <v>165</v>
      </c>
      <c r="EL26" s="9">
        <f t="shared" si="293"/>
        <v>203</v>
      </c>
      <c r="EM26" s="9">
        <f t="shared" si="293"/>
        <v>151</v>
      </c>
      <c r="EN26" s="9">
        <f t="shared" si="293"/>
        <v>162</v>
      </c>
      <c r="EO26" s="9">
        <f t="shared" si="293"/>
        <v>212</v>
      </c>
      <c r="EP26" s="9">
        <f t="shared" si="293"/>
        <v>196</v>
      </c>
      <c r="EQ26" s="9">
        <f t="shared" si="293"/>
        <v>113</v>
      </c>
      <c r="ER26" s="9">
        <f t="shared" si="293"/>
        <v>32</v>
      </c>
      <c r="ES26" s="9">
        <f t="shared" si="293"/>
        <v>8</v>
      </c>
      <c r="ET26" s="9">
        <f t="shared" si="293"/>
        <v>0</v>
      </c>
      <c r="EU26" s="9">
        <f t="shared" si="289"/>
        <v>3013</v>
      </c>
      <c r="EV26" s="9">
        <f t="shared" si="282"/>
        <v>147</v>
      </c>
      <c r="EW26" s="9">
        <f t="shared" si="283"/>
        <v>50.4</v>
      </c>
      <c r="EX26" s="9">
        <f t="shared" si="280"/>
        <v>874</v>
      </c>
      <c r="EY26" s="9">
        <f t="shared" si="284"/>
        <v>561</v>
      </c>
      <c r="EZ26" s="13">
        <f t="shared" si="285"/>
        <v>0.29007633587786258</v>
      </c>
      <c r="FA26" s="13">
        <f t="shared" si="286"/>
        <v>0.18619316296050448</v>
      </c>
      <c r="FB26" s="9">
        <f t="shared" si="290"/>
        <v>726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169</v>
      </c>
      <c r="EA27" s="10">
        <f t="shared" si="294"/>
        <v>163</v>
      </c>
      <c r="EB27" s="10">
        <f t="shared" si="294"/>
        <v>85</v>
      </c>
      <c r="EC27" s="10">
        <f t="shared" si="294"/>
        <v>90</v>
      </c>
      <c r="ED27" s="10">
        <f t="shared" si="294"/>
        <v>63</v>
      </c>
      <c r="EE27" s="10">
        <f t="shared" si="294"/>
        <v>131</v>
      </c>
      <c r="EF27" s="10">
        <f t="shared" si="294"/>
        <v>215</v>
      </c>
      <c r="EG27" s="10">
        <f t="shared" si="294"/>
        <v>312</v>
      </c>
      <c r="EH27" s="10">
        <f t="shared" si="294"/>
        <v>233</v>
      </c>
      <c r="EI27" s="10">
        <f t="shared" si="294"/>
        <v>168</v>
      </c>
      <c r="EJ27" s="10">
        <f t="shared" si="294"/>
        <v>134</v>
      </c>
      <c r="EK27" s="10">
        <f t="shared" si="294"/>
        <v>188</v>
      </c>
      <c r="EL27" s="10">
        <f t="shared" si="294"/>
        <v>166</v>
      </c>
      <c r="EM27" s="10">
        <f t="shared" si="294"/>
        <v>179</v>
      </c>
      <c r="EN27" s="10">
        <f t="shared" si="294"/>
        <v>202</v>
      </c>
      <c r="EO27" s="10">
        <f t="shared" si="294"/>
        <v>271</v>
      </c>
      <c r="EP27" s="10">
        <f t="shared" si="294"/>
        <v>253</v>
      </c>
      <c r="EQ27" s="10">
        <f t="shared" si="294"/>
        <v>178</v>
      </c>
      <c r="ER27" s="10">
        <f t="shared" si="294"/>
        <v>73</v>
      </c>
      <c r="ES27" s="10">
        <f t="shared" si="294"/>
        <v>33</v>
      </c>
      <c r="ET27" s="10">
        <f t="shared" si="294"/>
        <v>10</v>
      </c>
      <c r="EU27" s="10">
        <f t="shared" si="289"/>
        <v>3316</v>
      </c>
      <c r="EV27" s="10">
        <f t="shared" si="282"/>
        <v>148.80000000000001</v>
      </c>
      <c r="EW27" s="10">
        <f t="shared" si="283"/>
        <v>52</v>
      </c>
      <c r="EX27" s="10">
        <f t="shared" si="280"/>
        <v>1199</v>
      </c>
      <c r="EY27" s="10">
        <f t="shared" si="284"/>
        <v>818</v>
      </c>
      <c r="EZ27" s="14">
        <f t="shared" si="285"/>
        <v>0.36158021712907118</v>
      </c>
      <c r="FA27" s="14">
        <f t="shared" si="286"/>
        <v>0.24668275030156817</v>
      </c>
      <c r="FB27" s="10">
        <f t="shared" si="290"/>
        <v>721</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326</v>
      </c>
      <c r="EA28" s="16">
        <f t="shared" ref="EA28:ET28" si="295">EA26+EA27</f>
        <v>323</v>
      </c>
      <c r="EB28" s="16">
        <f t="shared" si="295"/>
        <v>170</v>
      </c>
      <c r="EC28" s="16">
        <f t="shared" si="295"/>
        <v>172</v>
      </c>
      <c r="ED28" s="16">
        <f t="shared" si="295"/>
        <v>116</v>
      </c>
      <c r="EE28" s="16">
        <f t="shared" si="295"/>
        <v>267</v>
      </c>
      <c r="EF28" s="16">
        <f t="shared" si="295"/>
        <v>441</v>
      </c>
      <c r="EG28" s="16">
        <f t="shared" si="295"/>
        <v>623</v>
      </c>
      <c r="EH28" s="16">
        <f t="shared" si="295"/>
        <v>458</v>
      </c>
      <c r="EI28" s="16">
        <f t="shared" si="295"/>
        <v>361</v>
      </c>
      <c r="EJ28" s="16">
        <f t="shared" si="295"/>
        <v>277</v>
      </c>
      <c r="EK28" s="16">
        <f t="shared" si="295"/>
        <v>353</v>
      </c>
      <c r="EL28" s="16">
        <f t="shared" si="295"/>
        <v>369</v>
      </c>
      <c r="EM28" s="16">
        <f t="shared" si="295"/>
        <v>330</v>
      </c>
      <c r="EN28" s="16">
        <f t="shared" si="295"/>
        <v>364</v>
      </c>
      <c r="EO28" s="16">
        <f t="shared" si="295"/>
        <v>483</v>
      </c>
      <c r="EP28" s="16">
        <f t="shared" si="295"/>
        <v>449</v>
      </c>
      <c r="EQ28" s="16">
        <f t="shared" si="295"/>
        <v>291</v>
      </c>
      <c r="ER28" s="16">
        <f t="shared" si="295"/>
        <v>105</v>
      </c>
      <c r="ES28" s="16">
        <f t="shared" si="295"/>
        <v>41</v>
      </c>
      <c r="ET28" s="16">
        <f t="shared" si="295"/>
        <v>10</v>
      </c>
      <c r="EU28" s="11">
        <f t="shared" si="289"/>
        <v>6329</v>
      </c>
      <c r="EV28" s="11">
        <f t="shared" si="282"/>
        <v>295.8</v>
      </c>
      <c r="EW28" s="11">
        <f t="shared" si="283"/>
        <v>102.4</v>
      </c>
      <c r="EX28" s="11">
        <f t="shared" si="280"/>
        <v>2073</v>
      </c>
      <c r="EY28" s="11">
        <f t="shared" si="284"/>
        <v>1379</v>
      </c>
      <c r="EZ28" s="15">
        <f t="shared" si="285"/>
        <v>0.32753989571812292</v>
      </c>
      <c r="FA28" s="15">
        <f t="shared" si="286"/>
        <v>0.21788592194659503</v>
      </c>
      <c r="FB28" s="11">
        <f t="shared" si="290"/>
        <v>1447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148</v>
      </c>
      <c r="EA29" s="9">
        <f t="shared" si="296"/>
        <v>171</v>
      </c>
      <c r="EB29" s="9">
        <f t="shared" si="296"/>
        <v>166</v>
      </c>
      <c r="EC29" s="9">
        <f t="shared" si="296"/>
        <v>67</v>
      </c>
      <c r="ED29" s="9">
        <f t="shared" si="296"/>
        <v>42</v>
      </c>
      <c r="EE29" s="9">
        <f t="shared" si="296"/>
        <v>126</v>
      </c>
      <c r="EF29" s="9">
        <f t="shared" si="296"/>
        <v>208</v>
      </c>
      <c r="EG29" s="9">
        <f t="shared" si="296"/>
        <v>306</v>
      </c>
      <c r="EH29" s="9">
        <f t="shared" si="296"/>
        <v>303</v>
      </c>
      <c r="EI29" s="9">
        <f t="shared" si="296"/>
        <v>221</v>
      </c>
      <c r="EJ29" s="9">
        <f t="shared" si="296"/>
        <v>188</v>
      </c>
      <c r="EK29" s="9">
        <f t="shared" si="296"/>
        <v>147</v>
      </c>
      <c r="EL29" s="9">
        <f t="shared" si="296"/>
        <v>161</v>
      </c>
      <c r="EM29" s="9">
        <f t="shared" si="296"/>
        <v>197</v>
      </c>
      <c r="EN29" s="9">
        <f t="shared" si="296"/>
        <v>138</v>
      </c>
      <c r="EO29" s="9">
        <f t="shared" si="296"/>
        <v>139</v>
      </c>
      <c r="EP29" s="9">
        <f t="shared" si="296"/>
        <v>156</v>
      </c>
      <c r="EQ29" s="9">
        <f t="shared" si="296"/>
        <v>127</v>
      </c>
      <c r="ER29" s="9">
        <f t="shared" si="296"/>
        <v>43</v>
      </c>
      <c r="ES29" s="9">
        <f t="shared" si="296"/>
        <v>7</v>
      </c>
      <c r="ET29" s="9">
        <f t="shared" si="296"/>
        <v>0</v>
      </c>
      <c r="EU29" s="9">
        <f t="shared" si="289"/>
        <v>3061</v>
      </c>
      <c r="EV29" s="9">
        <f t="shared" si="282"/>
        <v>202.2</v>
      </c>
      <c r="EW29" s="9">
        <f t="shared" si="283"/>
        <v>79.800000000000011</v>
      </c>
      <c r="EX29" s="9">
        <f t="shared" si="280"/>
        <v>807</v>
      </c>
      <c r="EY29" s="9">
        <f t="shared" si="284"/>
        <v>472</v>
      </c>
      <c r="EZ29" s="13">
        <f t="shared" si="285"/>
        <v>0.26363933355112706</v>
      </c>
      <c r="FA29" s="13">
        <f t="shared" si="286"/>
        <v>0.15419797451813133</v>
      </c>
      <c r="FB29" s="9">
        <f t="shared" si="290"/>
        <v>682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160</v>
      </c>
      <c r="EA30" s="10">
        <f t="shared" si="297"/>
        <v>174</v>
      </c>
      <c r="EB30" s="10">
        <f t="shared" si="297"/>
        <v>165</v>
      </c>
      <c r="EC30" s="10">
        <f t="shared" si="297"/>
        <v>73</v>
      </c>
      <c r="ED30" s="10">
        <f t="shared" si="297"/>
        <v>49</v>
      </c>
      <c r="EE30" s="10">
        <f t="shared" si="297"/>
        <v>130</v>
      </c>
      <c r="EF30" s="10">
        <f t="shared" si="297"/>
        <v>204</v>
      </c>
      <c r="EG30" s="10">
        <f t="shared" si="297"/>
        <v>296</v>
      </c>
      <c r="EH30" s="10">
        <f t="shared" si="297"/>
        <v>302</v>
      </c>
      <c r="EI30" s="10">
        <f t="shared" si="297"/>
        <v>223</v>
      </c>
      <c r="EJ30" s="10">
        <f t="shared" si="297"/>
        <v>168</v>
      </c>
      <c r="EK30" s="10">
        <f t="shared" si="297"/>
        <v>132</v>
      </c>
      <c r="EL30" s="10">
        <f t="shared" si="297"/>
        <v>190</v>
      </c>
      <c r="EM30" s="10">
        <f t="shared" si="297"/>
        <v>164</v>
      </c>
      <c r="EN30" s="10">
        <f t="shared" si="297"/>
        <v>175</v>
      </c>
      <c r="EO30" s="10">
        <f t="shared" si="297"/>
        <v>192</v>
      </c>
      <c r="EP30" s="10">
        <f t="shared" si="297"/>
        <v>227</v>
      </c>
      <c r="EQ30" s="10">
        <f t="shared" si="297"/>
        <v>183</v>
      </c>
      <c r="ER30" s="10">
        <f t="shared" si="297"/>
        <v>95</v>
      </c>
      <c r="ES30" s="10">
        <f t="shared" si="297"/>
        <v>26</v>
      </c>
      <c r="ET30" s="10">
        <f t="shared" si="297"/>
        <v>8</v>
      </c>
      <c r="EU30" s="10">
        <f t="shared" si="289"/>
        <v>3336</v>
      </c>
      <c r="EV30" s="10">
        <f t="shared" si="282"/>
        <v>203.4</v>
      </c>
      <c r="EW30" s="10">
        <f t="shared" si="283"/>
        <v>80.599999999999994</v>
      </c>
      <c r="EX30" s="10">
        <f t="shared" si="280"/>
        <v>1070</v>
      </c>
      <c r="EY30" s="10">
        <f t="shared" si="284"/>
        <v>731</v>
      </c>
      <c r="EZ30" s="14">
        <f t="shared" si="285"/>
        <v>0.32074340527577938</v>
      </c>
      <c r="FA30" s="14">
        <f t="shared" si="286"/>
        <v>0.21912470023980815</v>
      </c>
      <c r="FB30" s="10">
        <f t="shared" si="290"/>
        <v>679</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308</v>
      </c>
      <c r="EA31" s="16">
        <f t="shared" ref="EA31:ET31" si="298">EA29+EA30</f>
        <v>345</v>
      </c>
      <c r="EB31" s="16">
        <f t="shared" si="298"/>
        <v>331</v>
      </c>
      <c r="EC31" s="16">
        <f t="shared" si="298"/>
        <v>140</v>
      </c>
      <c r="ED31" s="16">
        <f t="shared" si="298"/>
        <v>91</v>
      </c>
      <c r="EE31" s="16">
        <f t="shared" si="298"/>
        <v>256</v>
      </c>
      <c r="EF31" s="16">
        <f t="shared" si="298"/>
        <v>412</v>
      </c>
      <c r="EG31" s="16">
        <f t="shared" si="298"/>
        <v>602</v>
      </c>
      <c r="EH31" s="16">
        <f t="shared" si="298"/>
        <v>605</v>
      </c>
      <c r="EI31" s="16">
        <f t="shared" si="298"/>
        <v>444</v>
      </c>
      <c r="EJ31" s="16">
        <f t="shared" si="298"/>
        <v>356</v>
      </c>
      <c r="EK31" s="16">
        <f t="shared" si="298"/>
        <v>279</v>
      </c>
      <c r="EL31" s="16">
        <f t="shared" si="298"/>
        <v>351</v>
      </c>
      <c r="EM31" s="16">
        <f t="shared" si="298"/>
        <v>361</v>
      </c>
      <c r="EN31" s="16">
        <f t="shared" si="298"/>
        <v>313</v>
      </c>
      <c r="EO31" s="16">
        <f t="shared" si="298"/>
        <v>331</v>
      </c>
      <c r="EP31" s="16">
        <f t="shared" si="298"/>
        <v>383</v>
      </c>
      <c r="EQ31" s="16">
        <f t="shared" si="298"/>
        <v>310</v>
      </c>
      <c r="ER31" s="16">
        <f t="shared" si="298"/>
        <v>138</v>
      </c>
      <c r="ES31" s="16">
        <f t="shared" si="298"/>
        <v>33</v>
      </c>
      <c r="ET31" s="16">
        <f t="shared" si="298"/>
        <v>8</v>
      </c>
      <c r="EU31" s="11">
        <f t="shared" si="289"/>
        <v>6397</v>
      </c>
      <c r="EV31" s="11">
        <f t="shared" si="282"/>
        <v>405.6</v>
      </c>
      <c r="EW31" s="11">
        <f t="shared" si="283"/>
        <v>160.4</v>
      </c>
      <c r="EX31" s="11">
        <f t="shared" si="280"/>
        <v>1877</v>
      </c>
      <c r="EY31" s="11">
        <f t="shared" si="284"/>
        <v>1203</v>
      </c>
      <c r="EZ31" s="15">
        <f t="shared" si="285"/>
        <v>0.29341879005783961</v>
      </c>
      <c r="FA31" s="15">
        <f t="shared" si="286"/>
        <v>0.18805690167265907</v>
      </c>
      <c r="FB31" s="11">
        <f t="shared" si="290"/>
        <v>1361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3655</v>
      </c>
      <c r="D4" s="17">
        <f>SUM(C41:C61)</f>
        <v>4152</v>
      </c>
      <c r="E4" s="17">
        <f>C4+D4</f>
        <v>7807</v>
      </c>
      <c r="F4" s="85"/>
      <c r="G4" s="1" t="s">
        <v>58</v>
      </c>
      <c r="H4" s="1">
        <f>B4</f>
        <v>2010</v>
      </c>
      <c r="I4" s="17">
        <f>C4</f>
        <v>3655</v>
      </c>
      <c r="J4" s="17">
        <f>D4</f>
        <v>4152</v>
      </c>
      <c r="K4" s="17">
        <f>I4+J4</f>
        <v>7807</v>
      </c>
      <c r="N4" s="1" t="s">
        <v>58</v>
      </c>
      <c r="O4" s="1">
        <f>H4</f>
        <v>2010</v>
      </c>
      <c r="P4" s="17">
        <f>I4</f>
        <v>3655</v>
      </c>
      <c r="Q4" s="17">
        <f t="shared" ref="Q4:R4" si="0">J4</f>
        <v>4152</v>
      </c>
      <c r="R4" s="17">
        <f t="shared" si="0"/>
        <v>7807</v>
      </c>
      <c r="S4" s="1"/>
      <c r="T4" s="1"/>
      <c r="U4" s="1"/>
    </row>
    <row r="5" spans="1:21" x14ac:dyDescent="0.15">
      <c r="A5" s="1" t="s">
        <v>61</v>
      </c>
      <c r="B5" s="1">
        <f>管理者入力シート!B6</f>
        <v>2015</v>
      </c>
      <c r="C5" s="17">
        <f>SUM(B65:B85)</f>
        <v>3342</v>
      </c>
      <c r="D5" s="17">
        <f>SUM(C65:C85)</f>
        <v>3728</v>
      </c>
      <c r="E5" s="17">
        <f t="shared" ref="E5" si="1">C5+D5</f>
        <v>7070</v>
      </c>
      <c r="F5" s="85"/>
      <c r="G5" s="1" t="s">
        <v>57</v>
      </c>
      <c r="H5" s="1">
        <f t="shared" ref="H5:H6" si="2">B5</f>
        <v>2015</v>
      </c>
      <c r="I5" s="17">
        <f t="shared" ref="I5" si="3">C5</f>
        <v>3342</v>
      </c>
      <c r="J5" s="17">
        <f>D5</f>
        <v>3728</v>
      </c>
      <c r="K5" s="17">
        <f t="shared" ref="K5:K10" si="4">I5+J5</f>
        <v>7070</v>
      </c>
      <c r="N5" s="1" t="s">
        <v>57</v>
      </c>
      <c r="O5" s="1">
        <f t="shared" ref="O5:O10" si="5">H5</f>
        <v>2015</v>
      </c>
      <c r="P5" s="17">
        <f t="shared" ref="P5:P10" si="6">I5</f>
        <v>3342</v>
      </c>
      <c r="Q5" s="17">
        <f t="shared" ref="Q5:Q10" si="7">J5</f>
        <v>3728</v>
      </c>
      <c r="R5" s="17">
        <f t="shared" ref="R5:R10" si="8">K5</f>
        <v>7070</v>
      </c>
      <c r="S5" s="1"/>
      <c r="T5" s="1"/>
      <c r="U5" s="1"/>
    </row>
    <row r="6" spans="1:21" x14ac:dyDescent="0.15">
      <c r="A6" s="1" t="s">
        <v>62</v>
      </c>
      <c r="B6" s="1">
        <f>管理者入力シート!B5</f>
        <v>2020</v>
      </c>
      <c r="C6" s="17">
        <f>SUM(B89:B109)</f>
        <v>3086</v>
      </c>
      <c r="D6" s="17">
        <f>SUM(C89:C109)</f>
        <v>3442</v>
      </c>
      <c r="E6" s="17">
        <f>C6+D6</f>
        <v>6528</v>
      </c>
      <c r="F6" s="85"/>
      <c r="G6" s="1" t="s">
        <v>62</v>
      </c>
      <c r="H6" s="1">
        <f t="shared" si="2"/>
        <v>2020</v>
      </c>
      <c r="I6" s="17">
        <f>C6</f>
        <v>3086</v>
      </c>
      <c r="J6" s="17">
        <f>D6</f>
        <v>3442</v>
      </c>
      <c r="K6" s="17">
        <f t="shared" si="4"/>
        <v>6528</v>
      </c>
      <c r="N6" s="1" t="s">
        <v>62</v>
      </c>
      <c r="O6" s="1">
        <f t="shared" si="5"/>
        <v>2020</v>
      </c>
      <c r="P6" s="17">
        <f t="shared" si="6"/>
        <v>3086</v>
      </c>
      <c r="Q6" s="17">
        <f t="shared" si="7"/>
        <v>3442</v>
      </c>
      <c r="R6" s="17">
        <f t="shared" si="8"/>
        <v>6528</v>
      </c>
      <c r="S6" s="1"/>
      <c r="T6" s="1"/>
      <c r="U6" s="1"/>
    </row>
    <row r="7" spans="1:21" x14ac:dyDescent="0.15">
      <c r="G7" s="1" t="s">
        <v>106</v>
      </c>
      <c r="H7" s="1">
        <f>管理者入力シート!B8</f>
        <v>2025</v>
      </c>
      <c r="I7" s="17">
        <f>SUM(H69:H89)</f>
        <v>2758</v>
      </c>
      <c r="J7" s="17">
        <f>SUM(I69:I89)</f>
        <v>3089</v>
      </c>
      <c r="K7" s="17">
        <f t="shared" si="4"/>
        <v>5847</v>
      </c>
      <c r="N7" s="1" t="s">
        <v>106</v>
      </c>
      <c r="O7" s="1">
        <f t="shared" si="5"/>
        <v>2025</v>
      </c>
      <c r="P7" s="17">
        <f t="shared" si="6"/>
        <v>2758</v>
      </c>
      <c r="Q7" s="17">
        <f t="shared" si="7"/>
        <v>3089</v>
      </c>
      <c r="R7" s="17">
        <f t="shared" si="8"/>
        <v>5847</v>
      </c>
      <c r="S7" s="236">
        <f>SUM(O69:O89)</f>
        <v>2762</v>
      </c>
      <c r="T7" s="236">
        <f>SUM(P69:P89)</f>
        <v>3094</v>
      </c>
      <c r="U7" s="236">
        <f>S7+T7</f>
        <v>5856</v>
      </c>
    </row>
    <row r="8" spans="1:21" x14ac:dyDescent="0.15">
      <c r="A8" s="69" t="s">
        <v>71</v>
      </c>
      <c r="G8" s="1" t="s">
        <v>107</v>
      </c>
      <c r="H8" s="1">
        <f>管理者入力シート!B9</f>
        <v>2030</v>
      </c>
      <c r="I8" s="17">
        <f>SUM(H93:H113)</f>
        <v>2445</v>
      </c>
      <c r="J8" s="17">
        <f>SUM(I93:I113)</f>
        <v>2755</v>
      </c>
      <c r="K8" s="17">
        <f t="shared" si="4"/>
        <v>5200</v>
      </c>
      <c r="N8" s="1" t="s">
        <v>107</v>
      </c>
      <c r="O8" s="1">
        <f t="shared" si="5"/>
        <v>2030</v>
      </c>
      <c r="P8" s="17">
        <f t="shared" si="6"/>
        <v>2445</v>
      </c>
      <c r="Q8" s="17">
        <f t="shared" si="7"/>
        <v>2755</v>
      </c>
      <c r="R8" s="17">
        <f t="shared" si="8"/>
        <v>5200</v>
      </c>
      <c r="S8" s="236">
        <f>SUM(O93:O113)</f>
        <v>2453</v>
      </c>
      <c r="T8" s="236">
        <f>SUM(P93:P113)</f>
        <v>2766</v>
      </c>
      <c r="U8" s="236">
        <f t="shared" ref="U8:U10" si="9">S8+T8</f>
        <v>5219</v>
      </c>
    </row>
    <row r="9" spans="1:21" x14ac:dyDescent="0.15">
      <c r="A9" s="2" t="s">
        <v>72</v>
      </c>
      <c r="G9" s="1" t="s">
        <v>108</v>
      </c>
      <c r="H9" s="1">
        <f>管理者入力シート!B10</f>
        <v>2035</v>
      </c>
      <c r="I9" s="17">
        <f>SUM(H117:H137)</f>
        <v>2149</v>
      </c>
      <c r="J9" s="17">
        <f>SUM(I117:I137)</f>
        <v>2440</v>
      </c>
      <c r="K9" s="17">
        <f t="shared" si="4"/>
        <v>4589</v>
      </c>
      <c r="N9" s="1" t="s">
        <v>108</v>
      </c>
      <c r="O9" s="1">
        <f t="shared" si="5"/>
        <v>2035</v>
      </c>
      <c r="P9" s="17">
        <f t="shared" si="6"/>
        <v>2149</v>
      </c>
      <c r="Q9" s="17">
        <f t="shared" si="7"/>
        <v>2440</v>
      </c>
      <c r="R9" s="17">
        <f t="shared" si="8"/>
        <v>4589</v>
      </c>
      <c r="S9" s="236">
        <f>SUM(O117:O137)</f>
        <v>2162</v>
      </c>
      <c r="T9" s="236">
        <f>SUM(P117:P137)</f>
        <v>2456</v>
      </c>
      <c r="U9" s="236">
        <f t="shared" si="9"/>
        <v>4618</v>
      </c>
    </row>
    <row r="10" spans="1:21" x14ac:dyDescent="0.15">
      <c r="A10" s="1" t="s">
        <v>58</v>
      </c>
      <c r="B10" s="1">
        <f>B4</f>
        <v>2010</v>
      </c>
      <c r="C10" s="17">
        <f>ROUND(VLOOKUP(B10&amp;"_3",管理者用人口入力シート!A:AA,26,FALSE),0)</f>
        <v>449</v>
      </c>
      <c r="D10" s="12"/>
      <c r="E10" s="12"/>
      <c r="G10" s="1" t="s">
        <v>109</v>
      </c>
      <c r="H10" s="1">
        <f>管理者入力シート!B11</f>
        <v>2040</v>
      </c>
      <c r="I10" s="17">
        <f>SUM(H141:H161)</f>
        <v>1867</v>
      </c>
      <c r="J10" s="17">
        <f>SUM(I141:I161)</f>
        <v>2133</v>
      </c>
      <c r="K10" s="17">
        <f t="shared" si="4"/>
        <v>4000</v>
      </c>
      <c r="N10" s="1" t="s">
        <v>109</v>
      </c>
      <c r="O10" s="1">
        <f t="shared" si="5"/>
        <v>2040</v>
      </c>
      <c r="P10" s="17">
        <f t="shared" si="6"/>
        <v>1867</v>
      </c>
      <c r="Q10" s="17">
        <f t="shared" si="7"/>
        <v>2133</v>
      </c>
      <c r="R10" s="17">
        <f t="shared" si="8"/>
        <v>4000</v>
      </c>
      <c r="S10" s="236">
        <f>SUM(O141:O161)</f>
        <v>1886</v>
      </c>
      <c r="T10" s="236">
        <f>SUM(P141:P161)</f>
        <v>2156</v>
      </c>
      <c r="U10" s="236">
        <f t="shared" si="9"/>
        <v>4042</v>
      </c>
    </row>
    <row r="11" spans="1:21" x14ac:dyDescent="0.15">
      <c r="A11" s="1" t="s">
        <v>61</v>
      </c>
      <c r="B11" s="1">
        <f t="shared" ref="B11:B12" si="10">B5</f>
        <v>2015</v>
      </c>
      <c r="C11" s="17">
        <f>ROUND(VLOOKUP(B11&amp;"_3",管理者用人口入力シート!A:AA,26,FALSE),0)</f>
        <v>392</v>
      </c>
      <c r="D11" s="12"/>
      <c r="E11" s="12"/>
      <c r="I11" s="12"/>
      <c r="J11" s="12"/>
      <c r="K11" s="12"/>
      <c r="P11" s="12"/>
    </row>
    <row r="12" spans="1:21" x14ac:dyDescent="0.15">
      <c r="A12" s="1" t="s">
        <v>62</v>
      </c>
      <c r="B12" s="1">
        <f t="shared" si="10"/>
        <v>2020</v>
      </c>
      <c r="C12" s="17">
        <f>ROUND(VLOOKUP(B12&amp;"_3",管理者用人口入力シート!A:AA,26,FALSE),0)</f>
        <v>329</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227</v>
      </c>
      <c r="D14" s="12"/>
      <c r="E14" s="12"/>
      <c r="G14" s="1" t="s">
        <v>58</v>
      </c>
      <c r="H14" s="1">
        <f>H4</f>
        <v>2010</v>
      </c>
      <c r="I14" s="17">
        <f>C10</f>
        <v>449</v>
      </c>
      <c r="J14" s="12"/>
      <c r="K14" s="12"/>
      <c r="N14" s="1" t="s">
        <v>58</v>
      </c>
      <c r="O14" s="1">
        <f>O4</f>
        <v>2010</v>
      </c>
      <c r="P14" s="17">
        <f>I14</f>
        <v>449</v>
      </c>
      <c r="Q14" s="17"/>
    </row>
    <row r="15" spans="1:21" x14ac:dyDescent="0.15">
      <c r="A15" s="1" t="s">
        <v>61</v>
      </c>
      <c r="B15" s="1">
        <f t="shared" ref="B15:B16" si="11">B5</f>
        <v>2015</v>
      </c>
      <c r="C15" s="17">
        <f>ROUND(VLOOKUP(B15&amp;"_3",管理者用人口入力シート!A:AA,27,FALSE),0)</f>
        <v>212</v>
      </c>
      <c r="D15" s="12"/>
      <c r="E15" s="12"/>
      <c r="G15" s="1" t="s">
        <v>57</v>
      </c>
      <c r="H15" s="1">
        <f t="shared" ref="H15:H20" si="12">H5</f>
        <v>2015</v>
      </c>
      <c r="I15" s="17">
        <f>C11</f>
        <v>392</v>
      </c>
      <c r="J15" s="12"/>
      <c r="K15" s="12"/>
      <c r="N15" s="1" t="s">
        <v>57</v>
      </c>
      <c r="O15" s="1">
        <f t="shared" ref="O15:O20" si="13">O5</f>
        <v>2015</v>
      </c>
      <c r="P15" s="17">
        <f t="shared" ref="P15:P20" si="14">I15</f>
        <v>392</v>
      </c>
      <c r="Q15" s="17"/>
    </row>
    <row r="16" spans="1:21" x14ac:dyDescent="0.15">
      <c r="A16" s="1" t="s">
        <v>62</v>
      </c>
      <c r="B16" s="1">
        <f t="shared" si="11"/>
        <v>2020</v>
      </c>
      <c r="C16" s="17">
        <f>ROUND(VLOOKUP(B16&amp;"_3",管理者用人口入力シート!A:AA,27,FALSE),0)</f>
        <v>176</v>
      </c>
      <c r="D16" s="12"/>
      <c r="E16" s="12"/>
      <c r="G16" s="1" t="s">
        <v>62</v>
      </c>
      <c r="H16" s="1">
        <f t="shared" si="12"/>
        <v>2020</v>
      </c>
      <c r="I16" s="17">
        <f>C12</f>
        <v>329</v>
      </c>
      <c r="J16" s="12"/>
      <c r="K16" s="12"/>
      <c r="N16" s="1" t="s">
        <v>62</v>
      </c>
      <c r="O16" s="1">
        <f t="shared" si="13"/>
        <v>2020</v>
      </c>
      <c r="P16" s="17">
        <f t="shared" si="14"/>
        <v>329</v>
      </c>
      <c r="Q16" s="17"/>
    </row>
    <row r="17" spans="1:17" x14ac:dyDescent="0.15">
      <c r="G17" s="1" t="s">
        <v>106</v>
      </c>
      <c r="H17" s="1">
        <f t="shared" si="12"/>
        <v>2025</v>
      </c>
      <c r="I17" s="17">
        <f>ROUND(VLOOKUP(H17&amp;"_3",管理者用人口入力シート!BH:CM,26,FALSE),0)</f>
        <v>281</v>
      </c>
      <c r="J17" s="12"/>
      <c r="K17" s="12"/>
      <c r="N17" s="1" t="s">
        <v>106</v>
      </c>
      <c r="O17" s="1">
        <f t="shared" si="13"/>
        <v>2025</v>
      </c>
      <c r="P17" s="17">
        <f t="shared" si="14"/>
        <v>281</v>
      </c>
      <c r="Q17" s="17">
        <f>ROUND(VLOOKUP(H17&amp;"_3",管理者用人口入力シート!CO:DT,26,FALSE),0)</f>
        <v>282</v>
      </c>
    </row>
    <row r="18" spans="1:17" x14ac:dyDescent="0.15">
      <c r="A18" s="69" t="s">
        <v>110</v>
      </c>
      <c r="G18" s="1" t="s">
        <v>107</v>
      </c>
      <c r="H18" s="1">
        <f t="shared" si="12"/>
        <v>2030</v>
      </c>
      <c r="I18" s="17">
        <f>ROUND(VLOOKUP(H18&amp;"_3",管理者用人口入力シート!BH:CM,26,FALSE),0)</f>
        <v>225</v>
      </c>
      <c r="J18" s="12"/>
      <c r="K18" s="12"/>
      <c r="N18" s="1" t="s">
        <v>107</v>
      </c>
      <c r="O18" s="1">
        <f t="shared" si="13"/>
        <v>2030</v>
      </c>
      <c r="P18" s="17">
        <f t="shared" si="14"/>
        <v>225</v>
      </c>
      <c r="Q18" s="17">
        <f>ROUND(VLOOKUP(H18&amp;"_3",管理者用人口入力シート!CO:DT,26,FALSE),0)</f>
        <v>227</v>
      </c>
    </row>
    <row r="19" spans="1:17" x14ac:dyDescent="0.15">
      <c r="A19" s="2" t="s">
        <v>84</v>
      </c>
      <c r="G19" s="1" t="s">
        <v>108</v>
      </c>
      <c r="H19" s="1">
        <f t="shared" si="12"/>
        <v>2035</v>
      </c>
      <c r="I19" s="17">
        <f>ROUND(VLOOKUP(H19&amp;"_3",管理者用人口入力シート!BH:CM,26,FALSE),0)</f>
        <v>187</v>
      </c>
      <c r="J19" s="12"/>
      <c r="K19" s="12"/>
      <c r="N19" s="1" t="s">
        <v>108</v>
      </c>
      <c r="O19" s="1">
        <f t="shared" si="13"/>
        <v>2035</v>
      </c>
      <c r="P19" s="17">
        <f t="shared" si="14"/>
        <v>187</v>
      </c>
      <c r="Q19" s="17">
        <f>ROUND(VLOOKUP(H19&amp;"_3",管理者用人口入力シート!CO:DT,26,FALSE),0)</f>
        <v>192</v>
      </c>
    </row>
    <row r="20" spans="1:17" x14ac:dyDescent="0.15">
      <c r="A20" s="1" t="s">
        <v>58</v>
      </c>
      <c r="B20" s="1">
        <f>B4</f>
        <v>2010</v>
      </c>
      <c r="C20" s="17">
        <f>SUM(B54:C61)</f>
        <v>2467</v>
      </c>
      <c r="D20" s="12"/>
      <c r="E20" s="12"/>
      <c r="G20" s="1" t="s">
        <v>109</v>
      </c>
      <c r="H20" s="1">
        <f t="shared" si="12"/>
        <v>2040</v>
      </c>
      <c r="I20" s="17">
        <f>ROUND(VLOOKUP(H20&amp;"_3",管理者用人口入力シート!BH:CM,26,FALSE),0)</f>
        <v>163</v>
      </c>
      <c r="J20" s="12"/>
      <c r="K20" s="12"/>
      <c r="N20" s="1" t="s">
        <v>109</v>
      </c>
      <c r="O20" s="1">
        <f t="shared" si="13"/>
        <v>2040</v>
      </c>
      <c r="P20" s="17">
        <f t="shared" si="14"/>
        <v>163</v>
      </c>
      <c r="Q20" s="17">
        <f>ROUND(VLOOKUP(H20&amp;"_3",管理者用人口入力シート!CO:DT,26,FALSE),0)</f>
        <v>170</v>
      </c>
    </row>
    <row r="21" spans="1:17" x14ac:dyDescent="0.15">
      <c r="A21" s="1" t="s">
        <v>61</v>
      </c>
      <c r="B21" s="1">
        <f t="shared" ref="B21:B22" si="15">B5</f>
        <v>2015</v>
      </c>
      <c r="C21" s="17">
        <f>SUM(B78:C85)</f>
        <v>2450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2575</v>
      </c>
      <c r="D22" s="12"/>
      <c r="E22" s="12"/>
      <c r="G22" s="1" t="s">
        <v>58</v>
      </c>
      <c r="H22" s="1">
        <f>H4</f>
        <v>2010</v>
      </c>
      <c r="I22" s="17">
        <f>C14</f>
        <v>227</v>
      </c>
      <c r="J22" s="12"/>
      <c r="K22" s="12"/>
      <c r="N22" s="1" t="s">
        <v>58</v>
      </c>
      <c r="O22" s="1">
        <f>O4</f>
        <v>2010</v>
      </c>
      <c r="P22" s="17">
        <f>I22</f>
        <v>227</v>
      </c>
      <c r="Q22" s="17"/>
    </row>
    <row r="23" spans="1:17" x14ac:dyDescent="0.15">
      <c r="A23" s="2" t="s">
        <v>86</v>
      </c>
      <c r="G23" s="1" t="s">
        <v>57</v>
      </c>
      <c r="H23" s="1">
        <f t="shared" ref="H23:H28" si="16">H5</f>
        <v>2015</v>
      </c>
      <c r="I23" s="17">
        <f t="shared" ref="I23:I24" si="17">C15</f>
        <v>212</v>
      </c>
      <c r="J23" s="12"/>
      <c r="K23" s="12"/>
      <c r="N23" s="1" t="s">
        <v>57</v>
      </c>
      <c r="O23" s="1">
        <f t="shared" ref="O23:O28" si="18">O5</f>
        <v>2015</v>
      </c>
      <c r="P23" s="17">
        <f t="shared" ref="P23:P28" si="19">I23</f>
        <v>212</v>
      </c>
      <c r="Q23" s="17"/>
    </row>
    <row r="24" spans="1:17" x14ac:dyDescent="0.15">
      <c r="A24" s="1" t="s">
        <v>58</v>
      </c>
      <c r="B24" s="1">
        <f>B4</f>
        <v>2010</v>
      </c>
      <c r="C24" s="17">
        <f>SUM(B56:C61)</f>
        <v>1456</v>
      </c>
      <c r="D24" s="12"/>
      <c r="E24" s="12"/>
      <c r="G24" s="1" t="s">
        <v>62</v>
      </c>
      <c r="H24" s="1">
        <f t="shared" si="16"/>
        <v>2020</v>
      </c>
      <c r="I24" s="17">
        <f t="shared" si="17"/>
        <v>176</v>
      </c>
      <c r="J24" s="12"/>
      <c r="K24" s="12"/>
      <c r="N24" s="1" t="s">
        <v>62</v>
      </c>
      <c r="O24" s="1">
        <f t="shared" si="18"/>
        <v>2020</v>
      </c>
      <c r="P24" s="17">
        <f t="shared" si="19"/>
        <v>176</v>
      </c>
      <c r="Q24" s="17"/>
    </row>
    <row r="25" spans="1:17" x14ac:dyDescent="0.15">
      <c r="A25" s="1" t="s">
        <v>61</v>
      </c>
      <c r="B25" s="1">
        <f t="shared" ref="B25:B26" si="20">B5</f>
        <v>2015</v>
      </c>
      <c r="C25" s="17">
        <f>SUM(B80:C85)</f>
        <v>1398</v>
      </c>
      <c r="D25" s="12"/>
      <c r="E25" s="12"/>
      <c r="G25" s="1" t="s">
        <v>106</v>
      </c>
      <c r="H25" s="1">
        <f t="shared" si="16"/>
        <v>2025</v>
      </c>
      <c r="I25" s="17">
        <f>ROUND(VLOOKUP(H25&amp;"_3",管理者用人口入力シート!BH:CM,27,FALSE),0)</f>
        <v>153</v>
      </c>
      <c r="J25" s="12"/>
      <c r="K25" s="12"/>
      <c r="N25" s="1" t="s">
        <v>106</v>
      </c>
      <c r="O25" s="1">
        <f t="shared" si="18"/>
        <v>2025</v>
      </c>
      <c r="P25" s="17">
        <f t="shared" si="19"/>
        <v>153</v>
      </c>
      <c r="Q25" s="17">
        <f>ROUND(VLOOKUP(H17&amp;"_3",管理者用人口入力シート!CO:DT,27,FALSE),0)</f>
        <v>154</v>
      </c>
    </row>
    <row r="26" spans="1:17" x14ac:dyDescent="0.15">
      <c r="A26" s="1" t="s">
        <v>62</v>
      </c>
      <c r="B26" s="1">
        <f t="shared" si="20"/>
        <v>2020</v>
      </c>
      <c r="C26" s="17">
        <f>SUM(B104:C109)</f>
        <v>1328</v>
      </c>
      <c r="D26" s="12"/>
      <c r="E26" s="12"/>
      <c r="G26" s="1" t="s">
        <v>107</v>
      </c>
      <c r="H26" s="1">
        <f t="shared" si="16"/>
        <v>2030</v>
      </c>
      <c r="I26" s="17">
        <f>ROUND(VLOOKUP(H26&amp;"_3",管理者用人口入力シート!BH:CM,27,FALSE),0)</f>
        <v>127</v>
      </c>
      <c r="J26" s="12"/>
      <c r="K26" s="12"/>
      <c r="N26" s="1" t="s">
        <v>107</v>
      </c>
      <c r="O26" s="1">
        <f t="shared" si="18"/>
        <v>2030</v>
      </c>
      <c r="P26" s="17">
        <f t="shared" si="19"/>
        <v>127</v>
      </c>
      <c r="Q26" s="17">
        <f>ROUND(VLOOKUP(H18&amp;"_3",管理者用人口入力シート!CO:DT,27,FALSE),0)</f>
        <v>128</v>
      </c>
    </row>
    <row r="27" spans="1:17" x14ac:dyDescent="0.15">
      <c r="G27" s="1" t="s">
        <v>108</v>
      </c>
      <c r="H27" s="1">
        <f t="shared" si="16"/>
        <v>2035</v>
      </c>
      <c r="I27" s="17">
        <f>ROUND(VLOOKUP(H27&amp;"_3",管理者用人口入力シート!BH:CM,27,FALSE),0)</f>
        <v>102</v>
      </c>
      <c r="J27" s="12"/>
      <c r="K27" s="12"/>
      <c r="N27" s="1" t="s">
        <v>108</v>
      </c>
      <c r="O27" s="1">
        <f t="shared" si="18"/>
        <v>2035</v>
      </c>
      <c r="P27" s="17">
        <f t="shared" si="19"/>
        <v>102</v>
      </c>
      <c r="Q27" s="17">
        <f>ROUND(VLOOKUP(H19&amp;"_3",管理者用人口入力シート!CO:DT,27,FALSE),0)</f>
        <v>104</v>
      </c>
    </row>
    <row r="28" spans="1:17" x14ac:dyDescent="0.15">
      <c r="A28" s="69" t="s">
        <v>85</v>
      </c>
      <c r="G28" s="1" t="s">
        <v>109</v>
      </c>
      <c r="H28" s="1">
        <f t="shared" si="16"/>
        <v>2040</v>
      </c>
      <c r="I28" s="17">
        <f>ROUND(VLOOKUP(H28&amp;"_3",管理者用人口入力シート!BH:CM,27,FALSE),0)</f>
        <v>86</v>
      </c>
      <c r="J28" s="12"/>
      <c r="K28" s="12"/>
      <c r="N28" s="1" t="s">
        <v>109</v>
      </c>
      <c r="O28" s="1">
        <f t="shared" si="18"/>
        <v>2040</v>
      </c>
      <c r="P28" s="17">
        <f t="shared" si="19"/>
        <v>86</v>
      </c>
      <c r="Q28" s="17">
        <f>ROUND(VLOOKUP(H20&amp;"_3",管理者用人口入力シート!CO:DT,27,FALSE),0)</f>
        <v>89</v>
      </c>
    </row>
    <row r="29" spans="1:17" x14ac:dyDescent="0.15">
      <c r="A29" s="2" t="s">
        <v>84</v>
      </c>
    </row>
    <row r="30" spans="1:17" x14ac:dyDescent="0.15">
      <c r="A30" s="1" t="s">
        <v>58</v>
      </c>
      <c r="B30" s="1">
        <f>B4</f>
        <v>2010</v>
      </c>
      <c r="C30" s="38">
        <f>ROUND((SUM(B54:C61)/SUM(B41:C61)),2)</f>
        <v>0.32</v>
      </c>
      <c r="D30" s="205"/>
      <c r="E30" s="205"/>
      <c r="G30" s="69" t="s">
        <v>110</v>
      </c>
      <c r="N30" s="69" t="s">
        <v>110</v>
      </c>
    </row>
    <row r="31" spans="1:17" x14ac:dyDescent="0.15">
      <c r="A31" s="1" t="s">
        <v>61</v>
      </c>
      <c r="B31" s="1">
        <f t="shared" ref="B31:B32" si="21">B5</f>
        <v>2015</v>
      </c>
      <c r="C31" s="38">
        <f>ROUND((SUM(B78:C85)/SUM(B65:C85)),2)</f>
        <v>0.35</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0.39</v>
      </c>
      <c r="D32" s="205"/>
      <c r="E32" s="205"/>
      <c r="G32" s="1" t="s">
        <v>58</v>
      </c>
      <c r="H32" s="1">
        <f>H4</f>
        <v>2010</v>
      </c>
      <c r="I32" s="17">
        <f>C20</f>
        <v>2467</v>
      </c>
      <c r="J32" s="12"/>
      <c r="K32" s="12"/>
      <c r="N32" s="1" t="s">
        <v>58</v>
      </c>
      <c r="O32" s="1">
        <f>O4</f>
        <v>2010</v>
      </c>
      <c r="P32" s="17">
        <f>I32</f>
        <v>2467</v>
      </c>
      <c r="Q32" s="17"/>
    </row>
    <row r="33" spans="1:17" x14ac:dyDescent="0.15">
      <c r="A33" s="2" t="s">
        <v>86</v>
      </c>
      <c r="G33" s="1" t="s">
        <v>57</v>
      </c>
      <c r="H33" s="1">
        <f t="shared" ref="H33:H38" si="22">H5</f>
        <v>2015</v>
      </c>
      <c r="I33" s="17">
        <f>C21</f>
        <v>2450</v>
      </c>
      <c r="J33" s="12"/>
      <c r="K33" s="12"/>
      <c r="N33" s="1" t="s">
        <v>57</v>
      </c>
      <c r="O33" s="1">
        <f t="shared" ref="O33:O38" si="23">O5</f>
        <v>2015</v>
      </c>
      <c r="P33" s="17">
        <f t="shared" ref="P33:P38" si="24">I33</f>
        <v>2450</v>
      </c>
      <c r="Q33" s="17"/>
    </row>
    <row r="34" spans="1:17" x14ac:dyDescent="0.15">
      <c r="A34" s="1" t="s">
        <v>58</v>
      </c>
      <c r="B34" s="1">
        <f>B4</f>
        <v>2010</v>
      </c>
      <c r="C34" s="38">
        <f>ROUND((SUM(B56:C61)/SUM(B41:C61)),2)</f>
        <v>0.19</v>
      </c>
      <c r="D34" s="205"/>
      <c r="E34" s="205"/>
      <c r="G34" s="1" t="s">
        <v>62</v>
      </c>
      <c r="H34" s="1">
        <f t="shared" si="22"/>
        <v>2020</v>
      </c>
      <c r="I34" s="17">
        <f>C22</f>
        <v>2575</v>
      </c>
      <c r="J34" s="12"/>
      <c r="K34" s="12"/>
      <c r="N34" s="1" t="s">
        <v>62</v>
      </c>
      <c r="O34" s="1">
        <f t="shared" si="23"/>
        <v>2020</v>
      </c>
      <c r="P34" s="17">
        <f t="shared" si="24"/>
        <v>2575</v>
      </c>
      <c r="Q34" s="17"/>
    </row>
    <row r="35" spans="1:17" x14ac:dyDescent="0.15">
      <c r="A35" s="1" t="s">
        <v>61</v>
      </c>
      <c r="B35" s="1">
        <f t="shared" ref="B35:B36" si="25">B5</f>
        <v>2015</v>
      </c>
      <c r="C35" s="38">
        <f>ROUND((SUM(B80:C85)/SUM(B65:C85)),2)</f>
        <v>0.2</v>
      </c>
      <c r="D35" s="205"/>
      <c r="E35" s="205"/>
      <c r="G35" s="1" t="s">
        <v>106</v>
      </c>
      <c r="H35" s="1">
        <f t="shared" si="22"/>
        <v>2025</v>
      </c>
      <c r="I35" s="17">
        <f>SUM(H82:I89)</f>
        <v>2527</v>
      </c>
      <c r="J35" s="12"/>
      <c r="K35" s="12"/>
      <c r="N35" s="1" t="s">
        <v>106</v>
      </c>
      <c r="O35" s="1">
        <f t="shared" si="23"/>
        <v>2025</v>
      </c>
      <c r="P35" s="17">
        <f t="shared" si="24"/>
        <v>2527</v>
      </c>
      <c r="Q35" s="17">
        <f>SUM(O82:P89)</f>
        <v>2527</v>
      </c>
    </row>
    <row r="36" spans="1:17" x14ac:dyDescent="0.15">
      <c r="A36" s="1" t="s">
        <v>62</v>
      </c>
      <c r="B36" s="1">
        <f t="shared" si="25"/>
        <v>2020</v>
      </c>
      <c r="C36" s="38">
        <f>ROUND((SUM(B104:C109)/SUM(B89:C109)),2)</f>
        <v>0.2</v>
      </c>
      <c r="D36" s="205"/>
      <c r="E36" s="205"/>
      <c r="G36" s="1" t="s">
        <v>107</v>
      </c>
      <c r="H36" s="1">
        <f t="shared" si="22"/>
        <v>2030</v>
      </c>
      <c r="I36" s="17">
        <f>SUM(H106:I113)</f>
        <v>2314</v>
      </c>
      <c r="J36" s="12"/>
      <c r="K36" s="12"/>
      <c r="N36" s="1" t="s">
        <v>107</v>
      </c>
      <c r="O36" s="1">
        <f t="shared" si="23"/>
        <v>2030</v>
      </c>
      <c r="P36" s="17">
        <f t="shared" si="24"/>
        <v>2314</v>
      </c>
      <c r="Q36" s="17">
        <f>SUM(O106:P113)</f>
        <v>2314</v>
      </c>
    </row>
    <row r="37" spans="1:17" x14ac:dyDescent="0.15">
      <c r="G37" s="1" t="s">
        <v>108</v>
      </c>
      <c r="H37" s="1">
        <f t="shared" si="22"/>
        <v>2035</v>
      </c>
      <c r="I37" s="17">
        <f>SUM(H130:I137)</f>
        <v>2073</v>
      </c>
      <c r="J37" s="12"/>
      <c r="K37" s="12"/>
      <c r="N37" s="1" t="s">
        <v>108</v>
      </c>
      <c r="O37" s="1">
        <f t="shared" si="23"/>
        <v>2035</v>
      </c>
      <c r="P37" s="17">
        <f t="shared" si="24"/>
        <v>2073</v>
      </c>
      <c r="Q37" s="17">
        <f>SUM(O130:P137)</f>
        <v>2073</v>
      </c>
    </row>
    <row r="38" spans="1:17" x14ac:dyDescent="0.15">
      <c r="A38" s="69" t="s">
        <v>113</v>
      </c>
      <c r="G38" s="1" t="s">
        <v>109</v>
      </c>
      <c r="H38" s="1">
        <f t="shared" si="22"/>
        <v>2040</v>
      </c>
      <c r="I38" s="17">
        <f>SUM(H154:I161)</f>
        <v>1877</v>
      </c>
      <c r="J38" s="12"/>
      <c r="K38" s="12"/>
      <c r="N38" s="1" t="s">
        <v>109</v>
      </c>
      <c r="O38" s="1">
        <f t="shared" si="23"/>
        <v>2040</v>
      </c>
      <c r="P38" s="17">
        <f t="shared" si="24"/>
        <v>1877</v>
      </c>
      <c r="Q38" s="17">
        <f>SUM(O154:P161)</f>
        <v>1877</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1456</v>
      </c>
      <c r="J40" s="12"/>
      <c r="K40" s="12"/>
      <c r="N40" s="1" t="s">
        <v>58</v>
      </c>
      <c r="O40" s="1">
        <f>O4</f>
        <v>2010</v>
      </c>
      <c r="P40" s="17">
        <f>I40</f>
        <v>1456</v>
      </c>
      <c r="Q40" s="17"/>
    </row>
    <row r="41" spans="1:17" x14ac:dyDescent="0.15">
      <c r="A41" s="2" t="s">
        <v>0</v>
      </c>
      <c r="B41" s="17">
        <f>ROUND(VLOOKUP(B$39&amp;"_1",管理者用人口入力シート!A:X,D41,FALSE),0)</f>
        <v>139</v>
      </c>
      <c r="C41" s="17">
        <f>ROUND(VLOOKUP(B$39&amp;"_2",管理者用人口入力シート!A:X,D41,FALSE),0)</f>
        <v>136</v>
      </c>
      <c r="D41" s="2">
        <v>4</v>
      </c>
      <c r="G41" s="1" t="s">
        <v>57</v>
      </c>
      <c r="H41" s="1">
        <f t="shared" ref="H41:H46" si="26">H5</f>
        <v>2015</v>
      </c>
      <c r="I41" s="17">
        <f>C25</f>
        <v>1398</v>
      </c>
      <c r="J41" s="12"/>
      <c r="K41" s="12"/>
      <c r="N41" s="1" t="s">
        <v>57</v>
      </c>
      <c r="O41" s="1">
        <f t="shared" ref="O41:O46" si="27">O5</f>
        <v>2015</v>
      </c>
      <c r="P41" s="17">
        <f t="shared" ref="P41:P46" si="28">I41</f>
        <v>1398</v>
      </c>
      <c r="Q41" s="17"/>
    </row>
    <row r="42" spans="1:17" x14ac:dyDescent="0.15">
      <c r="A42" s="2" t="s">
        <v>1</v>
      </c>
      <c r="B42" s="17">
        <f>ROUND(VLOOKUP(B$39&amp;"_1",管理者用人口入力シート!A:X,D42,FALSE),0)</f>
        <v>204</v>
      </c>
      <c r="C42" s="17">
        <f>ROUND(VLOOKUP(B$39&amp;"_2",管理者用人口入力シート!A:X,D42,FALSE),0)</f>
        <v>159</v>
      </c>
      <c r="D42" s="2">
        <v>5</v>
      </c>
      <c r="G42" s="1" t="s">
        <v>62</v>
      </c>
      <c r="H42" s="1">
        <f t="shared" si="26"/>
        <v>2020</v>
      </c>
      <c r="I42" s="17">
        <f>C26</f>
        <v>1328</v>
      </c>
      <c r="J42" s="12"/>
      <c r="K42" s="12"/>
      <c r="N42" s="1" t="s">
        <v>62</v>
      </c>
      <c r="O42" s="1">
        <f t="shared" si="27"/>
        <v>2020</v>
      </c>
      <c r="P42" s="17">
        <f t="shared" si="28"/>
        <v>1328</v>
      </c>
      <c r="Q42" s="17"/>
    </row>
    <row r="43" spans="1:17" x14ac:dyDescent="0.15">
      <c r="A43" s="2" t="s">
        <v>2</v>
      </c>
      <c r="B43" s="17">
        <f>ROUND(VLOOKUP(B$39&amp;"_1",管理者用人口入力シート!A:X,D43,FALSE),0)</f>
        <v>202</v>
      </c>
      <c r="C43" s="17">
        <f>ROUND(VLOOKUP(B$39&amp;"_2",管理者用人口入力シート!A:X,D43,FALSE),0)</f>
        <v>183</v>
      </c>
      <c r="D43" s="2">
        <v>6</v>
      </c>
      <c r="G43" s="1" t="s">
        <v>106</v>
      </c>
      <c r="H43" s="1">
        <f t="shared" si="26"/>
        <v>2025</v>
      </c>
      <c r="I43" s="17">
        <f>SUM(H84:I89)</f>
        <v>1337</v>
      </c>
      <c r="J43" s="12"/>
      <c r="K43" s="12"/>
      <c r="N43" s="1" t="s">
        <v>106</v>
      </c>
      <c r="O43" s="1">
        <f t="shared" si="27"/>
        <v>2025</v>
      </c>
      <c r="P43" s="17">
        <f t="shared" si="28"/>
        <v>1337</v>
      </c>
      <c r="Q43" s="17">
        <f>SUM(O84:P89)</f>
        <v>1337</v>
      </c>
    </row>
    <row r="44" spans="1:17" x14ac:dyDescent="0.15">
      <c r="A44" s="2" t="s">
        <v>3</v>
      </c>
      <c r="B44" s="17">
        <f>ROUND(VLOOKUP(B$39&amp;"_1",管理者用人口入力シート!A:X,D44,FALSE),0)</f>
        <v>173</v>
      </c>
      <c r="C44" s="17">
        <f>ROUND(VLOOKUP(B$39&amp;"_2",管理者用人口入力シート!A:X,D44,FALSE),0)</f>
        <v>193</v>
      </c>
      <c r="D44" s="2">
        <v>7</v>
      </c>
      <c r="G44" s="1" t="s">
        <v>107</v>
      </c>
      <c r="H44" s="1">
        <f t="shared" si="26"/>
        <v>2030</v>
      </c>
      <c r="I44" s="17">
        <f>SUM(H108:I113)</f>
        <v>1398</v>
      </c>
      <c r="J44" s="12"/>
      <c r="K44" s="12"/>
      <c r="N44" s="1" t="s">
        <v>107</v>
      </c>
      <c r="O44" s="1">
        <f t="shared" si="27"/>
        <v>2030</v>
      </c>
      <c r="P44" s="17">
        <f t="shared" si="28"/>
        <v>1398</v>
      </c>
      <c r="Q44" s="17">
        <f>SUM(O108:P113)</f>
        <v>1398</v>
      </c>
    </row>
    <row r="45" spans="1:17" x14ac:dyDescent="0.15">
      <c r="A45" s="2" t="s">
        <v>4</v>
      </c>
      <c r="B45" s="17">
        <f>ROUND(VLOOKUP(B$39&amp;"_1",管理者用人口入力シート!A:X,D45,FALSE),0)</f>
        <v>134</v>
      </c>
      <c r="C45" s="17">
        <f>ROUND(VLOOKUP(B$39&amp;"_2",管理者用人口入力シート!A:X,D45,FALSE),0)</f>
        <v>117</v>
      </c>
      <c r="D45" s="2">
        <v>8</v>
      </c>
      <c r="G45" s="1" t="s">
        <v>108</v>
      </c>
      <c r="H45" s="1">
        <f t="shared" si="26"/>
        <v>2035</v>
      </c>
      <c r="I45" s="17">
        <f>SUM(H132:I137)</f>
        <v>1379</v>
      </c>
      <c r="J45" s="12"/>
      <c r="K45" s="12"/>
      <c r="N45" s="1" t="s">
        <v>108</v>
      </c>
      <c r="O45" s="1">
        <f t="shared" si="27"/>
        <v>2035</v>
      </c>
      <c r="P45" s="17">
        <f t="shared" si="28"/>
        <v>1379</v>
      </c>
      <c r="Q45" s="17">
        <f>SUM(O132:P137)</f>
        <v>1379</v>
      </c>
    </row>
    <row r="46" spans="1:17" x14ac:dyDescent="0.15">
      <c r="A46" s="2" t="s">
        <v>5</v>
      </c>
      <c r="B46" s="17">
        <f>ROUND(VLOOKUP(B$39&amp;"_1",管理者用人口入力シート!A:X,D46,FALSE),0)</f>
        <v>152</v>
      </c>
      <c r="C46" s="17">
        <f>ROUND(VLOOKUP(B$39&amp;"_2",管理者用人口入力シート!A:X,D46,FALSE),0)</f>
        <v>157</v>
      </c>
      <c r="D46" s="2">
        <v>9</v>
      </c>
      <c r="G46" s="1" t="s">
        <v>109</v>
      </c>
      <c r="H46" s="1">
        <f t="shared" si="26"/>
        <v>2040</v>
      </c>
      <c r="I46" s="17">
        <f>SUM(H156:I161)</f>
        <v>1203</v>
      </c>
      <c r="J46" s="12"/>
      <c r="K46" s="12"/>
      <c r="N46" s="1" t="s">
        <v>109</v>
      </c>
      <c r="O46" s="1">
        <f t="shared" si="27"/>
        <v>2040</v>
      </c>
      <c r="P46" s="17">
        <f t="shared" si="28"/>
        <v>1203</v>
      </c>
      <c r="Q46" s="17">
        <f>SUM(O156:P161)</f>
        <v>1203</v>
      </c>
    </row>
    <row r="47" spans="1:17" x14ac:dyDescent="0.15">
      <c r="A47" s="2" t="s">
        <v>6</v>
      </c>
      <c r="B47" s="17">
        <f>ROUND(VLOOKUP(B$39&amp;"_1",管理者用人口入力シート!A:X,D47,FALSE),0)</f>
        <v>165</v>
      </c>
      <c r="C47" s="17">
        <f>ROUND(VLOOKUP(B$39&amp;"_2",管理者用人口入力シート!A:X,D47,FALSE),0)</f>
        <v>197</v>
      </c>
      <c r="D47" s="2">
        <v>10</v>
      </c>
    </row>
    <row r="48" spans="1:17" x14ac:dyDescent="0.15">
      <c r="A48" s="2" t="s">
        <v>7</v>
      </c>
      <c r="B48" s="17">
        <f>ROUND(VLOOKUP(B$39&amp;"_1",管理者用人口入力シート!A:X,D48,FALSE),0)</f>
        <v>208</v>
      </c>
      <c r="C48" s="17">
        <f>ROUND(VLOOKUP(B$39&amp;"_2",管理者用人口入力シート!A:X,D48,FALSE),0)</f>
        <v>173</v>
      </c>
      <c r="D48" s="2">
        <v>11</v>
      </c>
      <c r="G48" s="69" t="s">
        <v>85</v>
      </c>
      <c r="N48" s="69" t="s">
        <v>85</v>
      </c>
    </row>
    <row r="49" spans="1:17" x14ac:dyDescent="0.15">
      <c r="A49" s="2" t="s">
        <v>8</v>
      </c>
      <c r="B49" s="17">
        <f>ROUND(VLOOKUP(B$39&amp;"_1",管理者用人口入力シート!A:X,D49,FALSE),0)</f>
        <v>165</v>
      </c>
      <c r="C49" s="17">
        <f>ROUND(VLOOKUP(B$39&amp;"_2",管理者用人口入力シート!A:X,D49,FALSE),0)</f>
        <v>193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189</v>
      </c>
      <c r="C50" s="17">
        <f>ROUND(VLOOKUP(B$39&amp;"_2",管理者用人口入力シート!A:X,D50,FALSE),0)</f>
        <v>206</v>
      </c>
      <c r="D50" s="2">
        <v>13</v>
      </c>
      <c r="G50" s="1" t="s">
        <v>58</v>
      </c>
      <c r="H50" s="1">
        <f>H4</f>
        <v>2010</v>
      </c>
      <c r="I50" s="38">
        <f>C30</f>
        <v>0.32</v>
      </c>
      <c r="J50" s="205"/>
      <c r="K50" s="205"/>
      <c r="N50" s="1" t="s">
        <v>58</v>
      </c>
      <c r="O50" s="1">
        <f>O4</f>
        <v>2010</v>
      </c>
      <c r="P50" s="38">
        <f t="shared" ref="P50:P56" si="29">I50</f>
        <v>0.32</v>
      </c>
      <c r="Q50" s="1"/>
    </row>
    <row r="51" spans="1:17" x14ac:dyDescent="0.15">
      <c r="A51" s="2" t="s">
        <v>10</v>
      </c>
      <c r="B51" s="17">
        <f>ROUND(VLOOKUP(B$39&amp;"_1",管理者用人口入力シート!A:X,D51,FALSE),0)</f>
        <v>286</v>
      </c>
      <c r="C51" s="17">
        <f>ROUND(VLOOKUP(B$39&amp;"_2",管理者用人口入力シート!A:X,D51,FALSE),0)</f>
        <v>305</v>
      </c>
      <c r="D51" s="2">
        <v>14</v>
      </c>
      <c r="G51" s="1" t="s">
        <v>57</v>
      </c>
      <c r="H51" s="1">
        <f t="shared" ref="H51:H56" si="30">H5</f>
        <v>2015</v>
      </c>
      <c r="I51" s="38">
        <f t="shared" ref="I51:I52" si="31">C31</f>
        <v>0.35</v>
      </c>
      <c r="J51" s="205"/>
      <c r="K51" s="205"/>
      <c r="N51" s="1" t="s">
        <v>57</v>
      </c>
      <c r="O51" s="1">
        <f t="shared" ref="O51:O56" si="32">O5</f>
        <v>2015</v>
      </c>
      <c r="P51" s="38">
        <f t="shared" si="29"/>
        <v>0.35</v>
      </c>
      <c r="Q51" s="1"/>
    </row>
    <row r="52" spans="1:17" x14ac:dyDescent="0.15">
      <c r="A52" s="2" t="s">
        <v>11</v>
      </c>
      <c r="B52" s="17">
        <f>ROUND(VLOOKUP(B$39&amp;"_1",管理者用人口入力シート!A:X,D52,FALSE),0)</f>
        <v>349</v>
      </c>
      <c r="C52" s="17">
        <f>ROUND(VLOOKUP(B$39&amp;"_2",管理者用人口入力シート!A:X,D52,FALSE),0)</f>
        <v>312</v>
      </c>
      <c r="D52" s="2">
        <v>15</v>
      </c>
      <c r="G52" s="1" t="s">
        <v>62</v>
      </c>
      <c r="H52" s="1">
        <f t="shared" si="30"/>
        <v>2020</v>
      </c>
      <c r="I52" s="38">
        <f t="shared" si="31"/>
        <v>0.39</v>
      </c>
      <c r="J52" s="205"/>
      <c r="K52" s="205"/>
      <c r="N52" s="1" t="s">
        <v>62</v>
      </c>
      <c r="O52" s="1">
        <f t="shared" si="32"/>
        <v>2020</v>
      </c>
      <c r="P52" s="38">
        <f t="shared" si="29"/>
        <v>0.39</v>
      </c>
      <c r="Q52" s="1"/>
    </row>
    <row r="53" spans="1:17" x14ac:dyDescent="0.15">
      <c r="A53" s="2" t="s">
        <v>12</v>
      </c>
      <c r="B53" s="17">
        <f>ROUND(VLOOKUP(B$39&amp;"_1",管理者用人口入力シート!A:X,D53,FALSE),0)</f>
        <v>320</v>
      </c>
      <c r="C53" s="17">
        <f>ROUND(VLOOKUP(B$39&amp;"_2",管理者用人口入力シート!A:X,D53,FALSE),0)</f>
        <v>323</v>
      </c>
      <c r="D53" s="2">
        <v>16</v>
      </c>
      <c r="G53" s="1" t="s">
        <v>106</v>
      </c>
      <c r="H53" s="1">
        <f t="shared" si="30"/>
        <v>2025</v>
      </c>
      <c r="I53" s="38">
        <f>ROUND((SUM(H82:I89)/SUM(H69:I89)),2)</f>
        <v>0.43</v>
      </c>
      <c r="J53" s="205"/>
      <c r="K53" s="205"/>
      <c r="L53" s="70"/>
      <c r="M53" s="70"/>
      <c r="N53" s="1" t="s">
        <v>106</v>
      </c>
      <c r="O53" s="1">
        <f t="shared" si="32"/>
        <v>2025</v>
      </c>
      <c r="P53" s="38">
        <f t="shared" si="29"/>
        <v>0.43</v>
      </c>
      <c r="Q53" s="38">
        <f>ROUND((SUM(O82:P89)/SUM(O69:P89)),2)</f>
        <v>0.43</v>
      </c>
    </row>
    <row r="54" spans="1:17" x14ac:dyDescent="0.15">
      <c r="A54" s="2" t="s">
        <v>13</v>
      </c>
      <c r="B54" s="17">
        <f>ROUND(VLOOKUP(B$39&amp;"_1",管理者用人口入力シート!A:X,D54,FALSE),0)</f>
        <v>218</v>
      </c>
      <c r="C54" s="17">
        <f>ROUND(VLOOKUP(B$39&amp;"_2",管理者用人口入力シート!A:X,D54,FALSE),0)</f>
        <v>241</v>
      </c>
      <c r="D54" s="2">
        <v>17</v>
      </c>
      <c r="G54" s="1" t="s">
        <v>107</v>
      </c>
      <c r="H54" s="1">
        <f t="shared" si="30"/>
        <v>2030</v>
      </c>
      <c r="I54" s="38">
        <f>ROUND((SUM(H106:I113)/SUM(H93:I113)),2)</f>
        <v>0.45</v>
      </c>
      <c r="J54" s="205"/>
      <c r="K54" s="205"/>
      <c r="N54" s="1" t="s">
        <v>107</v>
      </c>
      <c r="O54" s="1">
        <f t="shared" si="32"/>
        <v>2030</v>
      </c>
      <c r="P54" s="38">
        <f t="shared" si="29"/>
        <v>0.45</v>
      </c>
      <c r="Q54" s="38">
        <f>ROUND((SUM(O106:P113)/SUM(O93:P113)),2)</f>
        <v>0.44</v>
      </c>
    </row>
    <row r="55" spans="1:17" x14ac:dyDescent="0.15">
      <c r="A55" s="2" t="s">
        <v>14</v>
      </c>
      <c r="B55" s="17">
        <f>ROUND(VLOOKUP(B$39&amp;"_1",管理者用人口入力シート!A:X,D55,FALSE),0)</f>
        <v>248</v>
      </c>
      <c r="C55" s="17">
        <f>ROUND(VLOOKUP(B$39&amp;"_2",管理者用人口入力シート!A:X,D55,FALSE),0)</f>
        <v>304</v>
      </c>
      <c r="D55" s="2">
        <v>18</v>
      </c>
      <c r="G55" s="1" t="s">
        <v>108</v>
      </c>
      <c r="H55" s="1">
        <f t="shared" si="30"/>
        <v>2035</v>
      </c>
      <c r="I55" s="38">
        <f>ROUND((SUM(H130:I137)/SUM(H117:I137)),2)</f>
        <v>0.45</v>
      </c>
      <c r="J55" s="205"/>
      <c r="K55" s="205"/>
      <c r="N55" s="1" t="s">
        <v>108</v>
      </c>
      <c r="O55" s="1">
        <f t="shared" si="32"/>
        <v>2035</v>
      </c>
      <c r="P55" s="38">
        <f t="shared" si="29"/>
        <v>0.45</v>
      </c>
      <c r="Q55" s="38">
        <f>ROUND((SUM(O130:P137)/SUM(O117:P137)),2)</f>
        <v>0.45</v>
      </c>
    </row>
    <row r="56" spans="1:17" x14ac:dyDescent="0.15">
      <c r="A56" s="2" t="s">
        <v>15</v>
      </c>
      <c r="B56" s="17">
        <f>ROUND(VLOOKUP(B$39&amp;"_1",管理者用人口入力シート!A:X,D56,FALSE),0)</f>
        <v>219</v>
      </c>
      <c r="C56" s="17">
        <f>ROUND(VLOOKUP(B$39&amp;"_2",管理者用人口入力シート!A:X,D56,FALSE),0)</f>
        <v>328</v>
      </c>
      <c r="D56" s="2">
        <v>19</v>
      </c>
      <c r="G56" s="1" t="s">
        <v>109</v>
      </c>
      <c r="H56" s="1">
        <f t="shared" si="30"/>
        <v>2040</v>
      </c>
      <c r="I56" s="38">
        <f>ROUND((SUM(H154:I161)/SUM(H141:I161)),2)</f>
        <v>0.47</v>
      </c>
      <c r="J56" s="205"/>
      <c r="K56" s="205"/>
      <c r="N56" s="1" t="s">
        <v>109</v>
      </c>
      <c r="O56" s="1">
        <f t="shared" si="32"/>
        <v>2040</v>
      </c>
      <c r="P56" s="38">
        <f t="shared" si="29"/>
        <v>0.47</v>
      </c>
      <c r="Q56" s="38">
        <f>ROUND((SUM(O154:P161)/SUM(O141:P161)),2)</f>
        <v>0.46</v>
      </c>
    </row>
    <row r="57" spans="1:17" x14ac:dyDescent="0.15">
      <c r="A57" s="2" t="s">
        <v>16</v>
      </c>
      <c r="B57" s="17">
        <f>ROUND(VLOOKUP(B$39&amp;"_1",管理者用人口入力シート!A:X,D57,FALSE),0)</f>
        <v>177</v>
      </c>
      <c r="C57" s="17">
        <f>ROUND(VLOOKUP(B$39&amp;"_2",管理者用人口入力シート!A:X,D57,FALSE),0)</f>
        <v>287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66</v>
      </c>
      <c r="C58" s="17">
        <f>ROUND(VLOOKUP(B$39&amp;"_2",管理者用人口入力シート!A:X,D58,FALSE),0)</f>
        <v>200</v>
      </c>
      <c r="D58" s="2">
        <v>21</v>
      </c>
      <c r="G58" s="1" t="s">
        <v>58</v>
      </c>
      <c r="H58" s="1">
        <f>H4</f>
        <v>2010</v>
      </c>
      <c r="I58" s="38">
        <f>C34</f>
        <v>0.19</v>
      </c>
      <c r="J58" s="205"/>
      <c r="K58" s="205"/>
      <c r="N58" s="1" t="s">
        <v>58</v>
      </c>
      <c r="O58" s="1">
        <f>O4</f>
        <v>2010</v>
      </c>
      <c r="P58" s="38">
        <f t="shared" ref="P58:P64" si="33">I58</f>
        <v>0.19</v>
      </c>
      <c r="Q58" s="1"/>
    </row>
    <row r="59" spans="1:17" x14ac:dyDescent="0.15">
      <c r="A59" s="2" t="s">
        <v>18</v>
      </c>
      <c r="B59" s="17">
        <f>ROUND(VLOOKUP(B$39&amp;"_1",管理者用人口入力シート!A:X,D59,FALSE),0)</f>
        <v>32</v>
      </c>
      <c r="C59" s="17">
        <f>ROUND(VLOOKUP(B$39&amp;"_2",管理者用人口入力シート!A:X,D59,FALSE),0)</f>
        <v>105</v>
      </c>
      <c r="D59" s="2">
        <v>22</v>
      </c>
      <c r="G59" s="1" t="s">
        <v>57</v>
      </c>
      <c r="H59" s="1">
        <f t="shared" ref="H59:H64" si="34">H5</f>
        <v>2015</v>
      </c>
      <c r="I59" s="38">
        <f t="shared" ref="I59:I60" si="35">C35</f>
        <v>0.2</v>
      </c>
      <c r="J59" s="205"/>
      <c r="K59" s="205"/>
      <c r="N59" s="1" t="s">
        <v>57</v>
      </c>
      <c r="O59" s="1">
        <f t="shared" ref="O59:O64" si="36">O5</f>
        <v>2015</v>
      </c>
      <c r="P59" s="38">
        <f t="shared" si="33"/>
        <v>0.2</v>
      </c>
      <c r="Q59" s="1"/>
    </row>
    <row r="60" spans="1:17" x14ac:dyDescent="0.15">
      <c r="A60" s="2" t="s">
        <v>19</v>
      </c>
      <c r="B60" s="17">
        <f>ROUND(VLOOKUP(B$39&amp;"_1",管理者用人口入力シート!A:X,D60,FALSE),0)</f>
        <v>8</v>
      </c>
      <c r="C60" s="17">
        <f>ROUND(VLOOKUP(B$39&amp;"_2",管理者用人口入力シート!A:X,D60,FALSE),0)</f>
        <v>31</v>
      </c>
      <c r="D60" s="2">
        <v>23</v>
      </c>
      <c r="G60" s="1" t="s">
        <v>62</v>
      </c>
      <c r="H60" s="1">
        <f t="shared" si="34"/>
        <v>2020</v>
      </c>
      <c r="I60" s="38">
        <f t="shared" si="35"/>
        <v>0.2</v>
      </c>
      <c r="J60" s="205"/>
      <c r="K60" s="205"/>
      <c r="N60" s="1" t="s">
        <v>62</v>
      </c>
      <c r="O60" s="1">
        <f t="shared" si="36"/>
        <v>2020</v>
      </c>
      <c r="P60" s="38">
        <f t="shared" si="33"/>
        <v>0.2</v>
      </c>
      <c r="Q60" s="1"/>
    </row>
    <row r="61" spans="1:17" x14ac:dyDescent="0.15">
      <c r="A61" s="2" t="s">
        <v>20</v>
      </c>
      <c r="B61" s="17">
        <f>ROUND(VLOOKUP(B$39&amp;"_1",管理者用人口入力シート!A:X,D61,FALSE),0)</f>
        <v>1</v>
      </c>
      <c r="C61" s="17">
        <f>ROUND(VLOOKUP(B$39&amp;"_2",管理者用人口入力シート!A:X,D61,FALSE),0)</f>
        <v>2</v>
      </c>
      <c r="D61" s="2">
        <v>24</v>
      </c>
      <c r="G61" s="1" t="s">
        <v>106</v>
      </c>
      <c r="H61" s="1">
        <f t="shared" si="34"/>
        <v>2025</v>
      </c>
      <c r="I61" s="38">
        <f>ROUND((SUM(H84:I89)/SUM(H69:I89)),2)</f>
        <v>0.23</v>
      </c>
      <c r="J61" s="205"/>
      <c r="K61" s="205"/>
      <c r="N61" s="1" t="s">
        <v>106</v>
      </c>
      <c r="O61" s="1">
        <f t="shared" si="36"/>
        <v>2025</v>
      </c>
      <c r="P61" s="38">
        <f t="shared" si="33"/>
        <v>0.23</v>
      </c>
      <c r="Q61" s="38">
        <f>ROUND((SUM(O84:P89)/SUM(O69:P89)),2)</f>
        <v>0.23</v>
      </c>
    </row>
    <row r="62" spans="1:17" x14ac:dyDescent="0.15">
      <c r="G62" s="1" t="s">
        <v>107</v>
      </c>
      <c r="H62" s="1">
        <f t="shared" si="34"/>
        <v>2030</v>
      </c>
      <c r="I62" s="38">
        <f>ROUND((SUM(H108:I113)/SUM(H93:I113)),2)</f>
        <v>0.27</v>
      </c>
      <c r="J62" s="205"/>
      <c r="K62" s="205"/>
      <c r="N62" s="1" t="s">
        <v>107</v>
      </c>
      <c r="O62" s="1">
        <f t="shared" si="36"/>
        <v>2030</v>
      </c>
      <c r="P62" s="38">
        <f t="shared" si="33"/>
        <v>0.27</v>
      </c>
      <c r="Q62" s="38">
        <f>ROUND((SUM(O108:P113)/SUM(O93:P113)),2)</f>
        <v>0.27</v>
      </c>
    </row>
    <row r="63" spans="1:17" x14ac:dyDescent="0.15">
      <c r="A63" s="2" t="s">
        <v>384</v>
      </c>
      <c r="B63" s="315">
        <f>管理者入力シート!B6</f>
        <v>2015</v>
      </c>
      <c r="C63" s="316"/>
      <c r="D63" s="2" t="s">
        <v>114</v>
      </c>
      <c r="G63" s="1" t="s">
        <v>108</v>
      </c>
      <c r="H63" s="1">
        <f t="shared" si="34"/>
        <v>2035</v>
      </c>
      <c r="I63" s="38">
        <f>ROUND((SUM(H132:I137)/SUM(H117:I137)),2)</f>
        <v>0.3</v>
      </c>
      <c r="J63" s="205"/>
      <c r="K63" s="205"/>
      <c r="N63" s="1" t="s">
        <v>108</v>
      </c>
      <c r="O63" s="1">
        <f t="shared" si="36"/>
        <v>2035</v>
      </c>
      <c r="P63" s="38">
        <f t="shared" si="33"/>
        <v>0.3</v>
      </c>
      <c r="Q63" s="38">
        <f>ROUND((SUM(O132:P137)/SUM(O117:P137)),2)</f>
        <v>0.3</v>
      </c>
    </row>
    <row r="64" spans="1:17" x14ac:dyDescent="0.15">
      <c r="A64" s="2" t="s">
        <v>115</v>
      </c>
      <c r="B64" s="18" t="s">
        <v>21</v>
      </c>
      <c r="C64" s="18" t="s">
        <v>22</v>
      </c>
      <c r="G64" s="1" t="s">
        <v>109</v>
      </c>
      <c r="H64" s="1">
        <f t="shared" si="34"/>
        <v>2040</v>
      </c>
      <c r="I64" s="38">
        <f>ROUND((SUM(H156:I161)/SUM(H141:I161)),2)</f>
        <v>0.3</v>
      </c>
      <c r="J64" s="205"/>
      <c r="K64" s="205"/>
      <c r="N64" s="1" t="s">
        <v>109</v>
      </c>
      <c r="O64" s="1">
        <f t="shared" si="36"/>
        <v>2040</v>
      </c>
      <c r="P64" s="38">
        <f t="shared" si="33"/>
        <v>0.3</v>
      </c>
      <c r="Q64" s="38">
        <f>ROUND((SUM(O156:P161)/SUM(O141:P161)),2)</f>
        <v>0.3</v>
      </c>
    </row>
    <row r="65" spans="1:21" x14ac:dyDescent="0.15">
      <c r="A65" s="2" t="s">
        <v>0</v>
      </c>
      <c r="B65" s="17">
        <f>ROUND(VLOOKUP(B$63&amp;"_1",管理者用人口入力シート!A:X,D65,FALSE),0)</f>
        <v>118</v>
      </c>
      <c r="C65" s="17">
        <f>ROUND(VLOOKUP(B$63&amp;"_2",管理者用人口入力シート!A:X,D65,FALSE),0)</f>
        <v>118</v>
      </c>
      <c r="D65" s="2">
        <v>4</v>
      </c>
    </row>
    <row r="66" spans="1:21" x14ac:dyDescent="0.15">
      <c r="A66" s="2" t="s">
        <v>1</v>
      </c>
      <c r="B66" s="17">
        <f>ROUND(VLOOKUP(B$63&amp;"_1",管理者用人口入力シート!A:X,D66,FALSE),0)</f>
        <v>153</v>
      </c>
      <c r="C66" s="17">
        <f>ROUND(VLOOKUP(B$63&amp;"_2",管理者用人口入力シート!A:X,D66,FALSE),0)</f>
        <v>130</v>
      </c>
      <c r="D66" s="2">
        <v>5</v>
      </c>
      <c r="G66" s="69" t="s">
        <v>113</v>
      </c>
      <c r="N66" s="69" t="s">
        <v>113</v>
      </c>
    </row>
    <row r="67" spans="1:21" x14ac:dyDescent="0.15">
      <c r="A67" s="2" t="s">
        <v>2</v>
      </c>
      <c r="B67" s="17">
        <f>ROUND(VLOOKUP(B$63&amp;"_1",管理者用人口入力シート!A:X,D67,FALSE),0)</f>
        <v>212</v>
      </c>
      <c r="C67" s="17">
        <f>ROUND(VLOOKUP(B$63&amp;"_2",管理者用人口入力シート!A:X,D67,FALSE),0)</f>
        <v>158</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164</v>
      </c>
      <c r="C68" s="17">
        <f>ROUND(VLOOKUP(B$63&amp;"_2",管理者用人口入力シート!A:X,D68,FALSE),0)</f>
        <v>155</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84</v>
      </c>
      <c r="C69" s="17">
        <f>ROUND(VLOOKUP(B$63&amp;"_2",管理者用人口入力シート!A:X,D69,FALSE),0)</f>
        <v>96</v>
      </c>
      <c r="D69" s="2">
        <v>8</v>
      </c>
      <c r="G69" s="2" t="s">
        <v>0</v>
      </c>
      <c r="H69" s="17">
        <f>ROUND(VLOOKUP(H$67&amp;"_1",管理者用人口入力シート!BH:CE,J69,FALSE),0)</f>
        <v>76</v>
      </c>
      <c r="I69" s="17">
        <f>ROUND(VLOOKUP(H$67&amp;"_2",管理者用人口入力シート!BH:CE,J69,FALSE),0)</f>
        <v>81</v>
      </c>
      <c r="J69" s="2">
        <v>4</v>
      </c>
      <c r="K69" s="12"/>
      <c r="N69" s="2" t="s">
        <v>0</v>
      </c>
      <c r="O69" s="17">
        <f>ROUND(VLOOKUP(O$67&amp;"_1",管理者用人口入力シート!CO:DL,Q69,FALSE),0)</f>
        <v>77</v>
      </c>
      <c r="P69" s="17">
        <f>ROUND(VLOOKUP(O$67&amp;"_2",管理者用人口入力シート!CO:DL,Q69,FALSE),0)</f>
        <v>82</v>
      </c>
      <c r="Q69" s="2">
        <v>4</v>
      </c>
      <c r="U69" s="85"/>
    </row>
    <row r="70" spans="1:21" x14ac:dyDescent="0.15">
      <c r="A70" s="2" t="s">
        <v>5</v>
      </c>
      <c r="B70" s="17">
        <f>ROUND(VLOOKUP(B$63&amp;"_1",管理者用人口入力シート!A:X,D70,FALSE),0)</f>
        <v>130</v>
      </c>
      <c r="C70" s="17">
        <f>ROUND(VLOOKUP(B$63&amp;"_2",管理者用人口入力シート!A:X,D70,FALSE),0)</f>
        <v>98</v>
      </c>
      <c r="D70" s="2">
        <v>9</v>
      </c>
      <c r="G70" s="2" t="s">
        <v>1</v>
      </c>
      <c r="H70" s="17">
        <f>ROUND(VLOOKUP(H$67&amp;"_1",管理者用人口入力シート!BH:CE,J70,FALSE),0)</f>
        <v>101</v>
      </c>
      <c r="I70" s="17">
        <f>ROUND(VLOOKUP(H$67&amp;"_2",管理者用人口入力シート!BH:CE,J70,FALSE),0)</f>
        <v>103</v>
      </c>
      <c r="J70" s="2">
        <v>5</v>
      </c>
      <c r="K70" s="12"/>
      <c r="N70" s="2" t="s">
        <v>1</v>
      </c>
      <c r="O70" s="17">
        <f>ROUND(VLOOKUP(O$67&amp;"_1",管理者用人口入力シート!CO:DL,Q70,FALSE),0)</f>
        <v>101</v>
      </c>
      <c r="P70" s="17">
        <f>ROUND(VLOOKUP(O$67&amp;"_2",管理者用人口入力シート!CO:DL,Q70,FALSE),0)</f>
        <v>103</v>
      </c>
      <c r="Q70" s="2">
        <v>5</v>
      </c>
      <c r="U70" s="85"/>
    </row>
    <row r="71" spans="1:21" x14ac:dyDescent="0.15">
      <c r="A71" s="2" t="s">
        <v>6</v>
      </c>
      <c r="B71" s="17">
        <f>ROUND(VLOOKUP(B$63&amp;"_1",管理者用人口入力シート!A:X,D71,FALSE),0)</f>
        <v>151</v>
      </c>
      <c r="C71" s="17">
        <f>ROUND(VLOOKUP(B$63&amp;"_2",管理者用人口入力シート!A:X,D71,FALSE),0)</f>
        <v>145</v>
      </c>
      <c r="D71" s="2">
        <v>10</v>
      </c>
      <c r="G71" s="2" t="s">
        <v>2</v>
      </c>
      <c r="H71" s="17">
        <f>ROUND(VLOOKUP(H$67&amp;"_1",管理者用人口入力シート!BH:CE,J71,FALSE),0)</f>
        <v>131</v>
      </c>
      <c r="I71" s="17">
        <f>ROUND(VLOOKUP(H$67&amp;"_2",管理者用人口入力シート!BH:CE,J71,FALSE),0)</f>
        <v>133</v>
      </c>
      <c r="J71" s="2">
        <v>6</v>
      </c>
      <c r="K71" s="12"/>
      <c r="N71" s="2" t="s">
        <v>2</v>
      </c>
      <c r="O71" s="17">
        <f>ROUND(VLOOKUP(O$67&amp;"_1",管理者用人口入力シート!CO:DL,Q71,FALSE),0)</f>
        <v>132</v>
      </c>
      <c r="P71" s="17">
        <f>ROUND(VLOOKUP(O$67&amp;"_2",管理者用人口入力シート!CO:DL,Q71,FALSE),0)</f>
        <v>134</v>
      </c>
      <c r="Q71" s="2">
        <v>6</v>
      </c>
      <c r="U71" s="85"/>
    </row>
    <row r="72" spans="1:21" x14ac:dyDescent="0.15">
      <c r="A72" s="2" t="s">
        <v>7</v>
      </c>
      <c r="B72" s="17">
        <f>ROUND(VLOOKUP(B$63&amp;"_1",管理者用人口入力シート!A:X,D72,FALSE),0)</f>
        <v>168</v>
      </c>
      <c r="C72" s="17">
        <f>ROUND(VLOOKUP(B$63&amp;"_2",管理者用人口入力シート!A:X,D72,FALSE),0)</f>
        <v>208</v>
      </c>
      <c r="D72" s="2">
        <v>11</v>
      </c>
      <c r="G72" s="2" t="s">
        <v>3</v>
      </c>
      <c r="H72" s="17">
        <f>ROUND(VLOOKUP(H$67&amp;"_1",管理者用人口入力シート!BH:CE,J72,FALSE),0)</f>
        <v>124</v>
      </c>
      <c r="I72" s="17">
        <f>ROUND(VLOOKUP(H$67&amp;"_2",管理者用人口入力シート!BH:CE,J72,FALSE),0)</f>
        <v>115</v>
      </c>
      <c r="J72" s="2">
        <v>7</v>
      </c>
      <c r="K72" s="12"/>
      <c r="N72" s="2" t="s">
        <v>3</v>
      </c>
      <c r="O72" s="17">
        <f>ROUND(VLOOKUP(O$67&amp;"_1",管理者用人口入力シート!CO:DL,Q72,FALSE),0)</f>
        <v>124</v>
      </c>
      <c r="P72" s="17">
        <f>ROUND(VLOOKUP(O$67&amp;"_2",管理者用人口入力シート!CO:DL,Q72,FALSE),0)</f>
        <v>115</v>
      </c>
      <c r="Q72" s="2">
        <v>7</v>
      </c>
      <c r="U72" s="85"/>
    </row>
    <row r="73" spans="1:21" x14ac:dyDescent="0.15">
      <c r="A73" s="2" t="s">
        <v>8</v>
      </c>
      <c r="B73" s="17">
        <f>ROUND(VLOOKUP(B$63&amp;"_1",管理者用人口入力シート!A:X,D73,FALSE),0)</f>
        <v>199</v>
      </c>
      <c r="C73" s="17">
        <f>ROUND(VLOOKUP(B$63&amp;"_2",管理者用人口入力シート!A:X,D73,FALSE),0)</f>
        <v>170</v>
      </c>
      <c r="D73" s="2">
        <v>12</v>
      </c>
      <c r="G73" s="2" t="s">
        <v>4</v>
      </c>
      <c r="H73" s="17">
        <f>ROUND(VLOOKUP(H$67&amp;"_1",管理者用人口入力シート!BH:CE,J73,FALSE),0)</f>
        <v>83</v>
      </c>
      <c r="I73" s="17">
        <f>ROUND(VLOOKUP(H$67&amp;"_2",管理者用人口入力シート!BH:CE,J73,FALSE),0)</f>
        <v>76</v>
      </c>
      <c r="J73" s="2">
        <v>8</v>
      </c>
      <c r="K73" s="12"/>
      <c r="N73" s="2" t="s">
        <v>4</v>
      </c>
      <c r="O73" s="17">
        <f>ROUND(VLOOKUP(O$67&amp;"_1",管理者用人口入力シート!CO:DL,Q73,FALSE),0)</f>
        <v>83</v>
      </c>
      <c r="P73" s="17">
        <f>ROUND(VLOOKUP(O$67&amp;"_2",管理者用人口入力シート!CO:DL,Q73,FALSE),0)</f>
        <v>76</v>
      </c>
      <c r="Q73" s="2">
        <v>8</v>
      </c>
      <c r="U73" s="85"/>
    </row>
    <row r="74" spans="1:21" x14ac:dyDescent="0.15">
      <c r="A74" s="2" t="s">
        <v>9</v>
      </c>
      <c r="B74" s="17">
        <f>ROUND(VLOOKUP(B$63&amp;"_1",管理者用人口入力シート!A:X,D74,FALSE),0)</f>
        <v>153</v>
      </c>
      <c r="C74" s="17">
        <f>ROUND(VLOOKUP(B$63&amp;"_2",管理者用人口入力シート!A:X,D74,FALSE),0)</f>
        <v>181</v>
      </c>
      <c r="D74" s="2">
        <v>13</v>
      </c>
      <c r="G74" s="2" t="s">
        <v>5</v>
      </c>
      <c r="H74" s="17">
        <f>ROUND(VLOOKUP(H$67&amp;"_1",管理者用人口入力シート!BH:CE,J74,FALSE),0)</f>
        <v>84</v>
      </c>
      <c r="I74" s="17">
        <f>ROUND(VLOOKUP(H$67&amp;"_2",管理者用人口入力シート!BH:CE,J74,FALSE),0)</f>
        <v>81</v>
      </c>
      <c r="J74" s="2">
        <v>9</v>
      </c>
      <c r="K74" s="12"/>
      <c r="N74" s="2" t="s">
        <v>5</v>
      </c>
      <c r="O74" s="17">
        <f>ROUND(VLOOKUP(O$67&amp;"_1",管理者用人口入力シート!CO:DL,Q74,FALSE),0)</f>
        <v>86</v>
      </c>
      <c r="P74" s="17">
        <f>ROUND(VLOOKUP(O$67&amp;"_2",管理者用人口入力シート!CO:DL,Q74,FALSE),0)</f>
        <v>83</v>
      </c>
      <c r="Q74" s="2">
        <v>9</v>
      </c>
      <c r="U74" s="85"/>
    </row>
    <row r="75" spans="1:21" x14ac:dyDescent="0.15">
      <c r="A75" s="2" t="s">
        <v>10</v>
      </c>
      <c r="B75" s="17">
        <f>ROUND(VLOOKUP(B$63&amp;"_1",管理者用人口入力シート!A:X,D75,FALSE),0)</f>
        <v>177</v>
      </c>
      <c r="C75" s="17">
        <f>ROUND(VLOOKUP(B$63&amp;"_2",管理者用人口入力シート!A:X,D75,FALSE),0)</f>
        <v>207</v>
      </c>
      <c r="D75" s="2">
        <v>14</v>
      </c>
      <c r="G75" s="2" t="s">
        <v>6</v>
      </c>
      <c r="H75" s="17">
        <f>ROUND(VLOOKUP(H$67&amp;"_1",管理者用人口入力シート!BH:CE,J75,FALSE),0)</f>
        <v>77</v>
      </c>
      <c r="I75" s="17">
        <f>ROUND(VLOOKUP(H$67&amp;"_2",管理者用人口入力シート!BH:CE,J75,FALSE),0)</f>
        <v>84</v>
      </c>
      <c r="J75" s="2">
        <v>10</v>
      </c>
      <c r="K75" s="12"/>
      <c r="N75" s="2" t="s">
        <v>6</v>
      </c>
      <c r="O75" s="17">
        <f>ROUND(VLOOKUP(O$67&amp;"_1",管理者用人口入力シート!CO:DL,Q75,FALSE),0)</f>
        <v>77</v>
      </c>
      <c r="P75" s="17">
        <f>ROUND(VLOOKUP(O$67&amp;"_2",管理者用人口入力シート!CO:DL,Q75,FALSE),0)</f>
        <v>84</v>
      </c>
      <c r="Q75" s="2">
        <v>10</v>
      </c>
      <c r="U75" s="85"/>
    </row>
    <row r="76" spans="1:21" x14ac:dyDescent="0.15">
      <c r="A76" s="2" t="s">
        <v>11</v>
      </c>
      <c r="B76" s="17">
        <f>ROUND(VLOOKUP(B$63&amp;"_1",管理者用人口入力シート!A:X,D76,FALSE),0)</f>
        <v>287</v>
      </c>
      <c r="C76" s="17">
        <f>ROUND(VLOOKUP(B$63&amp;"_2",管理者用人口入力シート!A:X,D76,FALSE),0)</f>
        <v>295</v>
      </c>
      <c r="D76" s="2">
        <v>15</v>
      </c>
      <c r="G76" s="2" t="s">
        <v>7</v>
      </c>
      <c r="H76" s="17">
        <f>ROUND(VLOOKUP(H$67&amp;"_1",管理者用人口入力シート!BH:CE,J76,FALSE),0)</f>
        <v>125</v>
      </c>
      <c r="I76" s="17">
        <f>ROUND(VLOOKUP(H$67&amp;"_2",管理者用人口入力シート!BH:CE,J76,FALSE),0)</f>
        <v>104</v>
      </c>
      <c r="J76" s="2">
        <v>11</v>
      </c>
      <c r="K76" s="12"/>
      <c r="N76" s="2" t="s">
        <v>7</v>
      </c>
      <c r="O76" s="17">
        <f>ROUND(VLOOKUP(O$67&amp;"_1",管理者用人口入力シート!CO:DL,Q76,FALSE),0)</f>
        <v>125</v>
      </c>
      <c r="P76" s="17">
        <f>ROUND(VLOOKUP(O$67&amp;"_2",管理者用人口入力シート!CO:DL,Q76,FALSE),0)</f>
        <v>104</v>
      </c>
      <c r="Q76" s="2">
        <v>11</v>
      </c>
      <c r="U76" s="85"/>
    </row>
    <row r="77" spans="1:21" x14ac:dyDescent="0.15">
      <c r="A77" s="2" t="s">
        <v>12</v>
      </c>
      <c r="B77" s="17">
        <f>ROUND(VLOOKUP(B$63&amp;"_1",管理者用人口入力シート!A:X,D77,FALSE),0)</f>
        <v>341</v>
      </c>
      <c r="C77" s="17">
        <f>ROUND(VLOOKUP(B$63&amp;"_2",管理者用人口入力シート!A:X,D77,FALSE),0)</f>
        <v>322</v>
      </c>
      <c r="D77" s="2">
        <v>16</v>
      </c>
      <c r="G77" s="2" t="s">
        <v>8</v>
      </c>
      <c r="H77" s="17">
        <f>ROUND(VLOOKUP(H$67&amp;"_1",管理者用人口入力シート!BH:CE,J77,FALSE),0)</f>
        <v>149</v>
      </c>
      <c r="I77" s="17">
        <f>ROUND(VLOOKUP(H$67&amp;"_2",管理者用人口入力シート!BH:CE,J77,FALSE),0)</f>
        <v>140</v>
      </c>
      <c r="J77" s="2">
        <v>12</v>
      </c>
      <c r="K77" s="12"/>
      <c r="N77" s="2" t="s">
        <v>8</v>
      </c>
      <c r="O77" s="17">
        <f>ROUND(VLOOKUP(O$67&amp;"_1",管理者用人口入力シート!CO:DL,Q77,FALSE),0)</f>
        <v>149</v>
      </c>
      <c r="P77" s="17">
        <f>ROUND(VLOOKUP(O$67&amp;"_2",管理者用人口入力シート!CO:DL,Q77,FALSE),0)</f>
        <v>141</v>
      </c>
      <c r="Q77" s="2">
        <v>12</v>
      </c>
      <c r="U77" s="85"/>
    </row>
    <row r="78" spans="1:21" x14ac:dyDescent="0.15">
      <c r="A78" s="2" t="s">
        <v>13</v>
      </c>
      <c r="B78" s="17">
        <f>ROUND(VLOOKUP(B$63&amp;"_1",管理者用人口入力シート!A:X,D78,FALSE),0)</f>
        <v>302</v>
      </c>
      <c r="C78" s="17">
        <f>ROUND(VLOOKUP(B$63&amp;"_2",管理者用人口入力シート!A:X,D78,FALSE),0)</f>
        <v>315</v>
      </c>
      <c r="D78" s="2">
        <v>17</v>
      </c>
      <c r="G78" s="2" t="s">
        <v>9</v>
      </c>
      <c r="H78" s="17">
        <f>ROUND(VLOOKUP(H$67&amp;"_1",管理者用人口入力シート!BH:CE,J78,FALSE),0)</f>
        <v>164</v>
      </c>
      <c r="I78" s="17">
        <f>ROUND(VLOOKUP(H$67&amp;"_2",管理者用人口入力シート!BH:CE,J78,FALSE),0)</f>
        <v>191</v>
      </c>
      <c r="J78" s="2">
        <v>13</v>
      </c>
      <c r="K78" s="12"/>
      <c r="N78" s="2" t="s">
        <v>9</v>
      </c>
      <c r="O78" s="17">
        <f>ROUND(VLOOKUP(O$67&amp;"_1",管理者用人口入力シート!CO:DL,Q78,FALSE),0)</f>
        <v>164</v>
      </c>
      <c r="P78" s="17">
        <f>ROUND(VLOOKUP(O$67&amp;"_2",管理者用人口入力シート!CO:DL,Q78,FALSE),0)</f>
        <v>191</v>
      </c>
      <c r="Q78" s="2">
        <v>13</v>
      </c>
      <c r="U78" s="85"/>
    </row>
    <row r="79" spans="1:21" x14ac:dyDescent="0.15">
      <c r="A79" s="2" t="s">
        <v>14</v>
      </c>
      <c r="B79" s="17">
        <f>ROUND(VLOOKUP(B$63&amp;"_1",管理者用人口入力シート!A:X,D79,FALSE),0)</f>
        <v>200</v>
      </c>
      <c r="C79" s="17">
        <f>ROUND(VLOOKUP(B$63&amp;"_2",管理者用人口入力シート!A:X,D79,FALSE),0)</f>
        <v>235</v>
      </c>
      <c r="D79" s="2">
        <v>18</v>
      </c>
      <c r="G79" s="2" t="s">
        <v>10</v>
      </c>
      <c r="H79" s="17">
        <f>ROUND(VLOOKUP(H$67&amp;"_1",管理者用人口入力シート!BH:CE,J79,FALSE),0)</f>
        <v>202</v>
      </c>
      <c r="I79" s="17">
        <f>ROUND(VLOOKUP(H$67&amp;"_2",管理者用人口入力シート!BH:CE,J79,FALSE),0)</f>
        <v>167</v>
      </c>
      <c r="J79" s="2">
        <v>14</v>
      </c>
      <c r="K79" s="12"/>
      <c r="N79" s="2" t="s">
        <v>10</v>
      </c>
      <c r="O79" s="17">
        <f>ROUND(VLOOKUP(O$67&amp;"_1",管理者用人口入力シート!CO:DL,Q79,FALSE),0)</f>
        <v>202</v>
      </c>
      <c r="P79" s="17">
        <f>ROUND(VLOOKUP(O$67&amp;"_2",管理者用人口入力シート!CO:DL,Q79,FALSE),0)</f>
        <v>167</v>
      </c>
      <c r="Q79" s="2">
        <v>14</v>
      </c>
      <c r="U79" s="85"/>
    </row>
    <row r="80" spans="1:21" x14ac:dyDescent="0.15">
      <c r="A80" s="2" t="s">
        <v>15</v>
      </c>
      <c r="B80" s="17">
        <f>ROUND(VLOOKUP(B$63&amp;"_1",管理者用人口入力シート!A:X,D80,FALSE),0)</f>
        <v>212</v>
      </c>
      <c r="C80" s="17">
        <f>ROUND(VLOOKUP(B$63&amp;"_2",管理者用人口入力シート!A:X,D80,FALSE),0)</f>
        <v>285</v>
      </c>
      <c r="D80" s="2">
        <v>19</v>
      </c>
      <c r="G80" s="2" t="s">
        <v>11</v>
      </c>
      <c r="H80" s="17">
        <f>ROUND(VLOOKUP(H$67&amp;"_1",管理者用人口入力シート!BH:CE,J80,FALSE),0)</f>
        <v>160</v>
      </c>
      <c r="I80" s="17">
        <f>ROUND(VLOOKUP(H$67&amp;"_2",管理者用人口入力シート!BH:CE,J80,FALSE),0)</f>
        <v>178</v>
      </c>
      <c r="J80" s="2">
        <v>15</v>
      </c>
      <c r="K80" s="12"/>
      <c r="N80" s="2" t="s">
        <v>11</v>
      </c>
      <c r="O80" s="17">
        <f>ROUND(VLOOKUP(O$67&amp;"_1",管理者用人口入力シート!CO:DL,Q80,FALSE),0)</f>
        <v>160</v>
      </c>
      <c r="P80" s="17">
        <f>ROUND(VLOOKUP(O$67&amp;"_2",管理者用人口入力シート!CO:DL,Q80,FALSE),0)</f>
        <v>178</v>
      </c>
      <c r="Q80" s="2">
        <v>15</v>
      </c>
      <c r="U80" s="85"/>
    </row>
    <row r="81" spans="1:21" x14ac:dyDescent="0.15">
      <c r="A81" s="2" t="s">
        <v>16</v>
      </c>
      <c r="B81" s="17">
        <f>ROUND(VLOOKUP(B$63&amp;"_1",管理者用人口入力シート!A:X,D81,FALSE),0)</f>
        <v>156</v>
      </c>
      <c r="C81" s="17">
        <f>ROUND(VLOOKUP(B$63&amp;"_2",管理者用人口入力シート!A:X,D81,FALSE),0)</f>
        <v>271</v>
      </c>
      <c r="D81" s="2">
        <v>20</v>
      </c>
      <c r="G81" s="2" t="s">
        <v>12</v>
      </c>
      <c r="H81" s="17">
        <f>ROUND(VLOOKUP(H$67&amp;"_1",管理者用人口入力シート!BH:CE,J81,FALSE),0)</f>
        <v>183</v>
      </c>
      <c r="I81" s="17">
        <f>ROUND(VLOOKUP(H$67&amp;"_2",管理者用人口入力シート!BH:CE,J81,FALSE),0)</f>
        <v>208</v>
      </c>
      <c r="J81" s="2">
        <v>16</v>
      </c>
      <c r="K81" s="12"/>
      <c r="N81" s="2" t="s">
        <v>12</v>
      </c>
      <c r="O81" s="17">
        <f>ROUND(VLOOKUP(O$67&amp;"_1",管理者用人口入力シート!CO:DL,Q81,FALSE),0)</f>
        <v>183</v>
      </c>
      <c r="P81" s="17">
        <f>ROUND(VLOOKUP(O$67&amp;"_2",管理者用人口入力シート!CO:DL,Q81,FALSE),0)</f>
        <v>208</v>
      </c>
      <c r="Q81" s="2">
        <v>16</v>
      </c>
      <c r="U81" s="85"/>
    </row>
    <row r="82" spans="1:21" x14ac:dyDescent="0.15">
      <c r="A82" s="2" t="s">
        <v>17</v>
      </c>
      <c r="B82" s="17">
        <f>ROUND(VLOOKUP(B$63&amp;"_1",管理者用人口入力シート!A:X,D82,FALSE),0)</f>
        <v>108</v>
      </c>
      <c r="C82" s="17">
        <f>ROUND(VLOOKUP(B$63&amp;"_2",管理者用人口入力シート!A:X,D82,FALSE),0)</f>
        <v>195</v>
      </c>
      <c r="D82" s="2">
        <v>21</v>
      </c>
      <c r="G82" s="2" t="s">
        <v>13</v>
      </c>
      <c r="H82" s="17">
        <f>ROUND(VLOOKUP(H$67&amp;"_1",管理者用人口入力シート!BH:CE,J82,FALSE),0)</f>
        <v>270</v>
      </c>
      <c r="I82" s="17">
        <f>ROUND(VLOOKUP(H$67&amp;"_2",管理者用人口入力シート!BH:CE,J82,FALSE),0)</f>
        <v>292</v>
      </c>
      <c r="J82" s="2">
        <v>17</v>
      </c>
      <c r="K82" s="12"/>
      <c r="N82" s="2" t="s">
        <v>13</v>
      </c>
      <c r="O82" s="17">
        <f>ROUND(VLOOKUP(O$67&amp;"_1",管理者用人口入力シート!CO:DL,Q82,FALSE),0)</f>
        <v>270</v>
      </c>
      <c r="P82" s="17">
        <f>ROUND(VLOOKUP(O$67&amp;"_2",管理者用人口入力シート!CO:DL,Q82,FALSE),0)</f>
        <v>292</v>
      </c>
      <c r="Q82" s="2">
        <v>17</v>
      </c>
      <c r="U82" s="85"/>
    </row>
    <row r="83" spans="1:21" x14ac:dyDescent="0.15">
      <c r="A83" s="2" t="s">
        <v>18</v>
      </c>
      <c r="B83" s="17">
        <f>ROUND(VLOOKUP(B$63&amp;"_1",管理者用人口入力シート!A:X,D83,FALSE),0)</f>
        <v>22</v>
      </c>
      <c r="C83" s="17">
        <f>ROUND(VLOOKUP(B$63&amp;"_2",管理者用人口入力シート!A:X,D83,FALSE),0)</f>
        <v>102</v>
      </c>
      <c r="D83" s="2">
        <v>22</v>
      </c>
      <c r="G83" s="2" t="s">
        <v>14</v>
      </c>
      <c r="H83" s="17">
        <f>ROUND(VLOOKUP(H$67&amp;"_1",管理者用人口入力シート!BH:CE,J83,FALSE),0)</f>
        <v>310</v>
      </c>
      <c r="I83" s="17">
        <f>ROUND(VLOOKUP(H$67&amp;"_2",管理者用人口入力シート!BH:CE,J83,FALSE),0)</f>
        <v>318</v>
      </c>
      <c r="J83" s="2">
        <v>18</v>
      </c>
      <c r="K83" s="12"/>
      <c r="N83" s="2" t="s">
        <v>14</v>
      </c>
      <c r="O83" s="17">
        <f>ROUND(VLOOKUP(O$67&amp;"_1",管理者用人口入力シート!CO:DL,Q83,FALSE),0)</f>
        <v>310</v>
      </c>
      <c r="P83" s="17">
        <f>ROUND(VLOOKUP(O$67&amp;"_2",管理者用人口入力シート!CO:DL,Q83,FALSE),0)</f>
        <v>318</v>
      </c>
      <c r="Q83" s="2">
        <v>18</v>
      </c>
      <c r="U83" s="85"/>
    </row>
    <row r="84" spans="1:21" x14ac:dyDescent="0.15">
      <c r="A84" s="2" t="s">
        <v>19</v>
      </c>
      <c r="B84" s="17">
        <f>ROUND(VLOOKUP(B$63&amp;"_1",管理者用人口入力シート!A:X,D84,FALSE),0)</f>
        <v>5</v>
      </c>
      <c r="C84" s="17">
        <f>ROUND(VLOOKUP(B$63&amp;"_2",管理者用人口入力シート!A:X,D84,FALSE),0)</f>
        <v>33</v>
      </c>
      <c r="D84" s="2">
        <v>23</v>
      </c>
      <c r="G84" s="2" t="s">
        <v>15</v>
      </c>
      <c r="H84" s="17">
        <f>ROUND(VLOOKUP(H$67&amp;"_1",管理者用人口入力シート!BH:CE,J84,FALSE),0)</f>
        <v>236</v>
      </c>
      <c r="I84" s="17">
        <f>ROUND(VLOOKUP(H$67&amp;"_2",管理者用人口入力シート!BH:CE,J84,FALSE),0)</f>
        <v>294</v>
      </c>
      <c r="J84" s="2">
        <v>19</v>
      </c>
      <c r="K84" s="12"/>
      <c r="N84" s="2" t="s">
        <v>15</v>
      </c>
      <c r="O84" s="17">
        <f>ROUND(VLOOKUP(O$67&amp;"_1",管理者用人口入力シート!CO:DL,Q84,FALSE),0)</f>
        <v>236</v>
      </c>
      <c r="P84" s="17">
        <f>ROUND(VLOOKUP(O$67&amp;"_2",管理者用人口入力シート!CO:DL,Q84,FALSE),0)</f>
        <v>294</v>
      </c>
      <c r="Q84" s="2">
        <v>19</v>
      </c>
      <c r="U84" s="85"/>
    </row>
    <row r="85" spans="1:21" x14ac:dyDescent="0.15">
      <c r="A85" s="2" t="s">
        <v>20</v>
      </c>
      <c r="B85" s="17">
        <f>ROUND(VLOOKUP(B$63&amp;"_1",管理者用人口入力シート!A:X,D85,FALSE),0)</f>
        <v>0</v>
      </c>
      <c r="C85" s="17">
        <f>ROUND(VLOOKUP(B$63&amp;"_2",管理者用人口入力シート!A:X,D85,FALSE),0)</f>
        <v>9</v>
      </c>
      <c r="D85" s="2">
        <v>24</v>
      </c>
      <c r="G85" s="2" t="s">
        <v>16</v>
      </c>
      <c r="H85" s="17">
        <f>ROUND(VLOOKUP(H$67&amp;"_1",管理者用人口入力シート!BH:CE,J85,FALSE),0)</f>
        <v>127</v>
      </c>
      <c r="I85" s="17">
        <f>ROUND(VLOOKUP(H$67&amp;"_2",管理者用人口入力シート!BH:CE,J85,FALSE),0)</f>
        <v>189</v>
      </c>
      <c r="J85" s="2">
        <v>20</v>
      </c>
      <c r="K85" s="12"/>
      <c r="N85" s="2" t="s">
        <v>16</v>
      </c>
      <c r="O85" s="17">
        <f>ROUND(VLOOKUP(O$67&amp;"_1",管理者用人口入力シート!CO:DL,Q85,FALSE),0)</f>
        <v>127</v>
      </c>
      <c r="P85" s="17">
        <f>ROUND(VLOOKUP(O$67&amp;"_2",管理者用人口入力シート!CO:DL,Q85,FALSE),0)</f>
        <v>189</v>
      </c>
      <c r="Q85" s="2">
        <v>20</v>
      </c>
      <c r="U85" s="85"/>
    </row>
    <row r="86" spans="1:21" x14ac:dyDescent="0.15">
      <c r="G86" s="2" t="s">
        <v>17</v>
      </c>
      <c r="H86" s="17">
        <f>ROUND(VLOOKUP(H$67&amp;"_1",管理者用人口入力シート!BH:CE,J86,FALSE),0)</f>
        <v>105</v>
      </c>
      <c r="I86" s="17">
        <f>ROUND(VLOOKUP(H$67&amp;"_2",管理者用人口入力シート!BH:CE,J86,FALSE),0)</f>
        <v>175</v>
      </c>
      <c r="J86" s="2">
        <v>21</v>
      </c>
      <c r="K86" s="12"/>
      <c r="N86" s="2" t="s">
        <v>17</v>
      </c>
      <c r="O86" s="17">
        <f>ROUND(VLOOKUP(O$67&amp;"_1",管理者用人口入力シート!CO:DL,Q86,FALSE),0)</f>
        <v>105</v>
      </c>
      <c r="P86" s="17">
        <f>ROUND(VLOOKUP(O$67&amp;"_2",管理者用人口入力シート!CO:DL,Q86,FALSE),0)</f>
        <v>175</v>
      </c>
      <c r="Q86" s="2">
        <v>21</v>
      </c>
      <c r="U86" s="85"/>
    </row>
    <row r="87" spans="1:21" x14ac:dyDescent="0.15">
      <c r="A87" s="2" t="s">
        <v>62</v>
      </c>
      <c r="B87" s="315">
        <f>管理者入力シート!B5</f>
        <v>2020</v>
      </c>
      <c r="C87" s="316"/>
      <c r="D87" s="2" t="s">
        <v>114</v>
      </c>
      <c r="G87" s="2" t="s">
        <v>18</v>
      </c>
      <c r="H87" s="17">
        <f>ROUND(VLOOKUP(H$67&amp;"_1",管理者用人口入力シート!BH:CE,J87,FALSE),0)</f>
        <v>41</v>
      </c>
      <c r="I87" s="17">
        <f>ROUND(VLOOKUP(H$67&amp;"_2",管理者用人口入力シート!BH:CE,J87,FALSE),0)</f>
        <v>111</v>
      </c>
      <c r="J87" s="2">
        <v>22</v>
      </c>
      <c r="K87" s="12"/>
      <c r="N87" s="2" t="s">
        <v>18</v>
      </c>
      <c r="O87" s="17">
        <f>ROUND(VLOOKUP(O$67&amp;"_1",管理者用人口入力シート!CO:DL,Q87,FALSE),0)</f>
        <v>41</v>
      </c>
      <c r="P87" s="17">
        <f>ROUND(VLOOKUP(O$67&amp;"_2",管理者用人口入力シート!CO:DL,Q87,FALSE),0)</f>
        <v>111</v>
      </c>
      <c r="Q87" s="2">
        <v>22</v>
      </c>
      <c r="U87" s="85"/>
    </row>
    <row r="88" spans="1:21" x14ac:dyDescent="0.15">
      <c r="A88" s="2" t="s">
        <v>115</v>
      </c>
      <c r="B88" s="18" t="s">
        <v>21</v>
      </c>
      <c r="C88" s="18" t="s">
        <v>22</v>
      </c>
      <c r="G88" s="2" t="s">
        <v>19</v>
      </c>
      <c r="H88" s="17">
        <f>ROUND(VLOOKUP(H$67&amp;"_1",管理者用人口入力シート!BH:CE,J88,FALSE),0)</f>
        <v>10</v>
      </c>
      <c r="I88" s="17">
        <f>ROUND(VLOOKUP(H$67&amp;"_2",管理者用人口入力シート!BH:CE,J88,FALSE),0)</f>
        <v>39</v>
      </c>
      <c r="J88" s="2">
        <v>23</v>
      </c>
      <c r="K88" s="12"/>
      <c r="N88" s="2" t="s">
        <v>19</v>
      </c>
      <c r="O88" s="17">
        <f>ROUND(VLOOKUP(O$67&amp;"_1",管理者用人口入力シート!CO:DL,Q88,FALSE),0)</f>
        <v>10</v>
      </c>
      <c r="P88" s="17">
        <f>ROUND(VLOOKUP(O$67&amp;"_2",管理者用人口入力シート!CO:DL,Q88,FALSE),0)</f>
        <v>39</v>
      </c>
      <c r="Q88" s="2">
        <v>23</v>
      </c>
      <c r="U88" s="85"/>
    </row>
    <row r="89" spans="1:21" x14ac:dyDescent="0.15">
      <c r="A89" s="2" t="s">
        <v>0</v>
      </c>
      <c r="B89" s="17">
        <f>ROUND(VLOOKUP(B$87&amp;"_1",管理者用人口入力シート!A:X,D89,FALSE),0)</f>
        <v>93</v>
      </c>
      <c r="C89" s="17">
        <f>ROUND(VLOOKUP(B$87&amp;"_2",管理者用人口入力シート!A:X,D89,FALSE),0)</f>
        <v>100</v>
      </c>
      <c r="D89" s="2">
        <v>4</v>
      </c>
      <c r="G89" s="2" t="s">
        <v>20</v>
      </c>
      <c r="H89" s="17">
        <f>ROUND(VLOOKUP(H$67&amp;"_1",管理者用人口入力シート!BH:CE,J89,FALSE),0)</f>
        <v>0</v>
      </c>
      <c r="I89" s="17">
        <f>ROUND(VLOOKUP(H$67&amp;"_2",管理者用人口入力シート!BH:CE,J89,FALSE),0)</f>
        <v>10</v>
      </c>
      <c r="J89" s="2">
        <v>24</v>
      </c>
      <c r="K89" s="12"/>
      <c r="N89" s="2" t="s">
        <v>20</v>
      </c>
      <c r="O89" s="17">
        <f>ROUND(VLOOKUP(O$67&amp;"_1",管理者用人口入力シート!CO:DL,Q89,FALSE),0)</f>
        <v>0</v>
      </c>
      <c r="P89" s="17">
        <f>ROUND(VLOOKUP(O$67&amp;"_2",管理者用人口入力シート!CO:DL,Q89,FALSE),0)</f>
        <v>10</v>
      </c>
      <c r="Q89" s="2">
        <v>24</v>
      </c>
      <c r="U89" s="85"/>
    </row>
    <row r="90" spans="1:21" x14ac:dyDescent="0.15">
      <c r="A90" s="2" t="s">
        <v>1</v>
      </c>
      <c r="B90" s="17">
        <f>ROUND(VLOOKUP(B$87&amp;"_1",管理者用人口入力シート!A:X,D90,FALSE),0)</f>
        <v>127</v>
      </c>
      <c r="C90" s="17">
        <f>ROUND(VLOOKUP(B$87&amp;"_2",管理者用人口入力シート!A:X,D90,FALSE),0)</f>
        <v>131</v>
      </c>
      <c r="D90" s="2">
        <v>5</v>
      </c>
    </row>
    <row r="91" spans="1:21" x14ac:dyDescent="0.15">
      <c r="A91" s="2" t="s">
        <v>2</v>
      </c>
      <c r="B91" s="17">
        <f>ROUND(VLOOKUP(B$87&amp;"_1",管理者用人口入力シート!A:X,D91,FALSE),0)</f>
        <v>157</v>
      </c>
      <c r="C91" s="17">
        <f>ROUND(VLOOKUP(B$87&amp;"_2",管理者用人口入力シート!A:X,D91,FALSE),0)</f>
        <v>134</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162</v>
      </c>
      <c r="C92" s="17">
        <f>ROUND(VLOOKUP(B$87&amp;"_2",管理者用人口入力シート!A:X,D92,FALSE),0)</f>
        <v>138</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88</v>
      </c>
      <c r="C93" s="17">
        <f>ROUND(VLOOKUP(B$87&amp;"_2",管理者用人口入力シート!A:X,D93,FALSE),0)</f>
        <v>94</v>
      </c>
      <c r="D93" s="2">
        <v>8</v>
      </c>
      <c r="G93" s="2" t="s">
        <v>0</v>
      </c>
      <c r="H93" s="17">
        <f>ROUND(VLOOKUP(H$91&amp;"_1",管理者用人口入力シート!BH:CE,J93,FALSE),0)</f>
        <v>64</v>
      </c>
      <c r="I93" s="17">
        <f>ROUND(VLOOKUP(H$91&amp;"_2",管理者用人口入力シート!BH:CE,J93,FALSE),0)</f>
        <v>69</v>
      </c>
      <c r="J93" s="2">
        <v>4</v>
      </c>
      <c r="K93" s="12"/>
      <c r="N93" s="2" t="s">
        <v>0</v>
      </c>
      <c r="O93" s="17">
        <f>ROUND(VLOOKUP(O$91&amp;"_1",管理者用人口入力シート!CO:DL,Q93,FALSE),0)</f>
        <v>66</v>
      </c>
      <c r="P93" s="17">
        <f>ROUND(VLOOKUP(O$91&amp;"_2",管理者用人口入力シート!CO:DL,Q93,FALSE),0)</f>
        <v>71</v>
      </c>
      <c r="Q93" s="2">
        <v>4</v>
      </c>
      <c r="T93" s="85"/>
    </row>
    <row r="94" spans="1:21" x14ac:dyDescent="0.15">
      <c r="A94" s="2" t="s">
        <v>5</v>
      </c>
      <c r="B94" s="17">
        <f>ROUND(VLOOKUP(B$87&amp;"_1",管理者用人口入力シート!A:X,D94,FALSE),0)</f>
        <v>79</v>
      </c>
      <c r="C94" s="17">
        <f>ROUND(VLOOKUP(B$87&amp;"_2",管理者用人口入力シート!A:X,D94,FALSE),0)</f>
        <v>86</v>
      </c>
      <c r="D94" s="2">
        <v>9</v>
      </c>
      <c r="G94" s="2" t="s">
        <v>1</v>
      </c>
      <c r="H94" s="17">
        <f>ROUND(VLOOKUP(H$91&amp;"_1",管理者用人口入力シート!BH:CE,J94,FALSE),0)</f>
        <v>82</v>
      </c>
      <c r="I94" s="17">
        <f>ROUND(VLOOKUP(H$91&amp;"_2",管理者用人口入力シート!BH:CE,J94,FALSE),0)</f>
        <v>84</v>
      </c>
      <c r="J94" s="2">
        <v>5</v>
      </c>
      <c r="K94" s="12"/>
      <c r="N94" s="2" t="s">
        <v>1</v>
      </c>
      <c r="O94" s="17">
        <f>ROUND(VLOOKUP(O$91&amp;"_1",管理者用人口入力シート!CO:DL,Q94,FALSE),0)</f>
        <v>83</v>
      </c>
      <c r="P94" s="17">
        <f>ROUND(VLOOKUP(O$91&amp;"_2",管理者用人口入力シート!CO:DL,Q94,FALSE),0)</f>
        <v>85</v>
      </c>
      <c r="Q94" s="2">
        <v>5</v>
      </c>
      <c r="T94" s="85"/>
    </row>
    <row r="95" spans="1:21" x14ac:dyDescent="0.15">
      <c r="A95" s="2" t="s">
        <v>6</v>
      </c>
      <c r="B95" s="17">
        <f>ROUND(VLOOKUP(B$87&amp;"_1",管理者用人口入力シート!A:X,D95,FALSE),0)</f>
        <v>123</v>
      </c>
      <c r="C95" s="17">
        <f>ROUND(VLOOKUP(B$87&amp;"_2",管理者用人口入力シート!A:X,D95,FALSE),0)</f>
        <v>102</v>
      </c>
      <c r="D95" s="2">
        <v>10</v>
      </c>
      <c r="G95" s="2" t="s">
        <v>2</v>
      </c>
      <c r="H95" s="17">
        <f>ROUND(VLOOKUP(H$91&amp;"_1",管理者用人口入力シート!BH:CE,J95,FALSE),0)</f>
        <v>105</v>
      </c>
      <c r="I95" s="17">
        <f>ROUND(VLOOKUP(H$91&amp;"_2",管理者用人口入力シート!BH:CE,J95,FALSE),0)</f>
        <v>104</v>
      </c>
      <c r="J95" s="2">
        <v>6</v>
      </c>
      <c r="K95" s="12"/>
      <c r="N95" s="2" t="s">
        <v>2</v>
      </c>
      <c r="O95" s="17">
        <f>ROUND(VLOOKUP(O$91&amp;"_1",管理者用人口入力シート!CO:DL,Q95,FALSE),0)</f>
        <v>106</v>
      </c>
      <c r="P95" s="17">
        <f>ROUND(VLOOKUP(O$91&amp;"_2",管理者用人口入力シート!CO:DL,Q95,FALSE),0)</f>
        <v>105</v>
      </c>
      <c r="Q95" s="2">
        <v>6</v>
      </c>
      <c r="T95" s="85"/>
    </row>
    <row r="96" spans="1:21" x14ac:dyDescent="0.15">
      <c r="A96" s="2" t="s">
        <v>7</v>
      </c>
      <c r="B96" s="17">
        <f>ROUND(VLOOKUP(B$87&amp;"_1",管理者用人口入力シート!A:X,D96,FALSE),0)</f>
        <v>153</v>
      </c>
      <c r="C96" s="17">
        <f>ROUND(VLOOKUP(B$87&amp;"_2",管理者用人口入力シート!A:X,D96,FALSE),0)</f>
        <v>144</v>
      </c>
      <c r="D96" s="2">
        <v>11</v>
      </c>
      <c r="G96" s="2" t="s">
        <v>3</v>
      </c>
      <c r="H96" s="17">
        <f>ROUND(VLOOKUP(H$91&amp;"_1",管理者用人口入力シート!BH:CE,J96,FALSE),0)</f>
        <v>103</v>
      </c>
      <c r="I96" s="17">
        <f>ROUND(VLOOKUP(H$91&amp;"_2",管理者用人口入力シート!BH:CE,J96,FALSE),0)</f>
        <v>114</v>
      </c>
      <c r="J96" s="2">
        <v>7</v>
      </c>
      <c r="K96" s="12"/>
      <c r="N96" s="2" t="s">
        <v>3</v>
      </c>
      <c r="O96" s="17">
        <f>ROUND(VLOOKUP(O$91&amp;"_1",管理者用人口入力シート!CO:DL,Q96,FALSE),0)</f>
        <v>104</v>
      </c>
      <c r="P96" s="17">
        <f>ROUND(VLOOKUP(O$91&amp;"_2",管理者用人口入力シート!CO:DL,Q96,FALSE),0)</f>
        <v>115</v>
      </c>
      <c r="Q96" s="2">
        <v>7</v>
      </c>
      <c r="T96" s="85"/>
    </row>
    <row r="97" spans="1:20" x14ac:dyDescent="0.15">
      <c r="A97" s="2" t="s">
        <v>8</v>
      </c>
      <c r="B97" s="17">
        <f>ROUND(VLOOKUP(B$87&amp;"_1",管理者用人口入力シート!A:X,D97,FALSE),0)</f>
        <v>167</v>
      </c>
      <c r="C97" s="17">
        <f>ROUND(VLOOKUP(B$87&amp;"_2",管理者用人口入力シート!A:X,D97,FALSE),0)</f>
        <v>199</v>
      </c>
      <c r="D97" s="2">
        <v>12</v>
      </c>
      <c r="G97" s="2" t="s">
        <v>4</v>
      </c>
      <c r="H97" s="17">
        <f>ROUND(VLOOKUP(H$91&amp;"_1",管理者用人口入力シート!BH:CE,J97,FALSE),0)</f>
        <v>63</v>
      </c>
      <c r="I97" s="17">
        <f>ROUND(VLOOKUP(H$91&amp;"_2",管理者用人口入力シート!BH:CE,J97,FALSE),0)</f>
        <v>63</v>
      </c>
      <c r="J97" s="2">
        <v>8</v>
      </c>
      <c r="K97" s="12"/>
      <c r="N97" s="2" t="s">
        <v>4</v>
      </c>
      <c r="O97" s="17">
        <f>ROUND(VLOOKUP(O$91&amp;"_1",管理者用人口入力シート!CO:DL,Q97,FALSE),0)</f>
        <v>63</v>
      </c>
      <c r="P97" s="17">
        <f>ROUND(VLOOKUP(O$91&amp;"_2",管理者用人口入力シート!CO:DL,Q97,FALSE),0)</f>
        <v>63</v>
      </c>
      <c r="Q97" s="2">
        <v>8</v>
      </c>
      <c r="T97" s="85"/>
    </row>
    <row r="98" spans="1:20" x14ac:dyDescent="0.15">
      <c r="A98" s="2" t="s">
        <v>9</v>
      </c>
      <c r="B98" s="17">
        <f>ROUND(VLOOKUP(B$87&amp;"_1",管理者用人口入力シート!A:X,D98,FALSE),0)</f>
        <v>207</v>
      </c>
      <c r="C98" s="17">
        <f>ROUND(VLOOKUP(B$87&amp;"_2",管理者用人口入力シート!A:X,D98,FALSE),0)</f>
        <v>166</v>
      </c>
      <c r="D98" s="2">
        <v>13</v>
      </c>
      <c r="G98" s="2" t="s">
        <v>5</v>
      </c>
      <c r="H98" s="17">
        <f>ROUND(VLOOKUP(H$91&amp;"_1",管理者用人口入力シート!BH:CE,J98,FALSE),0)</f>
        <v>79</v>
      </c>
      <c r="I98" s="17">
        <f>ROUND(VLOOKUP(H$91&amp;"_2",管理者用人口入力シート!BH:CE,J98,FALSE),0)</f>
        <v>66</v>
      </c>
      <c r="J98" s="2">
        <v>9</v>
      </c>
      <c r="K98" s="12"/>
      <c r="N98" s="2" t="s">
        <v>5</v>
      </c>
      <c r="O98" s="17">
        <f>ROUND(VLOOKUP(O$91&amp;"_1",管理者用人口入力シート!CO:DL,Q98,FALSE),0)</f>
        <v>81</v>
      </c>
      <c r="P98" s="17">
        <f>ROUND(VLOOKUP(O$91&amp;"_2",管理者用人口入力シート!CO:DL,Q98,FALSE),0)</f>
        <v>68</v>
      </c>
      <c r="Q98" s="2">
        <v>9</v>
      </c>
      <c r="T98" s="85"/>
    </row>
    <row r="99" spans="1:20" x14ac:dyDescent="0.15">
      <c r="A99" s="2" t="s">
        <v>10</v>
      </c>
      <c r="B99" s="17">
        <f>ROUND(VLOOKUP(B$87&amp;"_1",管理者用人口入力シート!A:X,D99,FALSE),0)</f>
        <v>155</v>
      </c>
      <c r="C99" s="17">
        <f>ROUND(VLOOKUP(B$87&amp;"_2",管理者用人口入力シート!A:X,D99,FALSE),0)</f>
        <v>182</v>
      </c>
      <c r="D99" s="2">
        <v>14</v>
      </c>
      <c r="G99" s="2" t="s">
        <v>6</v>
      </c>
      <c r="H99" s="17">
        <f>ROUND(VLOOKUP(H$91&amp;"_1",管理者用人口入力シート!BH:CE,J99,FALSE),0)</f>
        <v>82</v>
      </c>
      <c r="I99" s="17">
        <f>ROUND(VLOOKUP(H$91&amp;"_2",管理者用人口入力シート!BH:CE,J99,FALSE),0)</f>
        <v>80</v>
      </c>
      <c r="J99" s="2">
        <v>10</v>
      </c>
      <c r="K99" s="12"/>
      <c r="N99" s="2" t="s">
        <v>6</v>
      </c>
      <c r="O99" s="17">
        <f>ROUND(VLOOKUP(O$91&amp;"_1",管理者用人口入力シート!CO:DL,Q99,FALSE),0)</f>
        <v>83</v>
      </c>
      <c r="P99" s="17">
        <f>ROUND(VLOOKUP(O$91&amp;"_2",管理者用人口入力シート!CO:DL,Q99,FALSE),0)</f>
        <v>82</v>
      </c>
      <c r="Q99" s="2">
        <v>10</v>
      </c>
      <c r="T99" s="85"/>
    </row>
    <row r="100" spans="1:20" x14ac:dyDescent="0.15">
      <c r="A100" s="2" t="s">
        <v>11</v>
      </c>
      <c r="B100" s="17">
        <f>ROUND(VLOOKUP(B$87&amp;"_1",管理者用人口入力シート!A:X,D100,FALSE),0)</f>
        <v>188</v>
      </c>
      <c r="C100" s="17">
        <f>ROUND(VLOOKUP(B$87&amp;"_2",管理者用人口入力シート!A:X,D100,FALSE),0)</f>
        <v>205</v>
      </c>
      <c r="D100" s="2">
        <v>15</v>
      </c>
      <c r="G100" s="2" t="s">
        <v>7</v>
      </c>
      <c r="H100" s="17">
        <f>ROUND(VLOOKUP(H$91&amp;"_1",管理者用人口入力シート!BH:CE,J100,FALSE),0)</f>
        <v>78</v>
      </c>
      <c r="I100" s="17">
        <f>ROUND(VLOOKUP(H$91&amp;"_2",管理者用人口入力シート!BH:CE,J100,FALSE),0)</f>
        <v>86</v>
      </c>
      <c r="J100" s="2">
        <v>11</v>
      </c>
      <c r="K100" s="12"/>
      <c r="N100" s="2" t="s">
        <v>7</v>
      </c>
      <c r="O100" s="17">
        <f>ROUND(VLOOKUP(O$91&amp;"_1",管理者用人口入力シート!CO:DL,Q100,FALSE),0)</f>
        <v>78</v>
      </c>
      <c r="P100" s="17">
        <f>ROUND(VLOOKUP(O$91&amp;"_2",管理者用人口入力シート!CO:DL,Q100,FALSE),0)</f>
        <v>86</v>
      </c>
      <c r="Q100" s="2">
        <v>11</v>
      </c>
      <c r="T100" s="85"/>
    </row>
    <row r="101" spans="1:20" x14ac:dyDescent="0.15">
      <c r="A101" s="2" t="s">
        <v>12</v>
      </c>
      <c r="B101" s="17">
        <f>ROUND(VLOOKUP(B$87&amp;"_1",管理者用人口入力シート!A:X,D101,FALSE),0)</f>
        <v>279</v>
      </c>
      <c r="C101" s="17">
        <f>ROUND(VLOOKUP(B$87&amp;"_2",管理者用人口入力シート!A:X,D101,FALSE),0)</f>
        <v>294</v>
      </c>
      <c r="D101" s="2">
        <v>16</v>
      </c>
      <c r="G101" s="2" t="s">
        <v>8</v>
      </c>
      <c r="H101" s="17">
        <f>ROUND(VLOOKUP(H$91&amp;"_1",管理者用人口入力シート!BH:CE,J101,FALSE),0)</f>
        <v>122</v>
      </c>
      <c r="I101" s="17">
        <f>ROUND(VLOOKUP(H$91&amp;"_2",管理者用人口入力シート!BH:CE,J101,FALSE),0)</f>
        <v>101</v>
      </c>
      <c r="J101" s="2">
        <v>12</v>
      </c>
      <c r="K101" s="12"/>
      <c r="N101" s="2" t="s">
        <v>8</v>
      </c>
      <c r="O101" s="17">
        <f>ROUND(VLOOKUP(O$91&amp;"_1",管理者用人口入力シート!CO:DL,Q101,FALSE),0)</f>
        <v>122</v>
      </c>
      <c r="P101" s="17">
        <f>ROUND(VLOOKUP(O$91&amp;"_2",管理者用人口入力シート!CO:DL,Q101,FALSE),0)</f>
        <v>102</v>
      </c>
      <c r="Q101" s="2">
        <v>12</v>
      </c>
      <c r="T101" s="85"/>
    </row>
    <row r="102" spans="1:20" x14ac:dyDescent="0.15">
      <c r="A102" s="2" t="s">
        <v>13</v>
      </c>
      <c r="B102" s="17">
        <f>ROUND(VLOOKUP(B$87&amp;"_1",管理者用人口入力シート!A:X,D102,FALSE),0)</f>
        <v>339</v>
      </c>
      <c r="C102" s="17">
        <f>ROUND(VLOOKUP(B$87&amp;"_2",管理者用人口入力シート!A:X,D102,FALSE),0)</f>
        <v>325</v>
      </c>
      <c r="D102" s="2">
        <v>17</v>
      </c>
      <c r="G102" s="2" t="s">
        <v>9</v>
      </c>
      <c r="H102" s="17">
        <f>ROUND(VLOOKUP(H$91&amp;"_1",管理者用人口入力シート!BH:CE,J102,FALSE),0)</f>
        <v>147</v>
      </c>
      <c r="I102" s="17">
        <f>ROUND(VLOOKUP(H$91&amp;"_2",管理者用人口入力シート!BH:CE,J102,FALSE),0)</f>
        <v>134</v>
      </c>
      <c r="J102" s="2">
        <v>13</v>
      </c>
      <c r="K102" s="12"/>
      <c r="N102" s="2" t="s">
        <v>9</v>
      </c>
      <c r="O102" s="17">
        <f>ROUND(VLOOKUP(O$91&amp;"_1",管理者用人口入力シート!CO:DL,Q102,FALSE),0)</f>
        <v>147</v>
      </c>
      <c r="P102" s="17">
        <f>ROUND(VLOOKUP(O$91&amp;"_2",管理者用人口入力シート!CO:DL,Q102,FALSE),0)</f>
        <v>135</v>
      </c>
      <c r="Q102" s="2">
        <v>13</v>
      </c>
      <c r="T102" s="85"/>
    </row>
    <row r="103" spans="1:20" x14ac:dyDescent="0.15">
      <c r="A103" s="2" t="s">
        <v>14</v>
      </c>
      <c r="B103" s="17">
        <f>ROUND(VLOOKUP(B$87&amp;"_1",管理者用人口入力シート!A:X,D103,FALSE),0)</f>
        <v>274</v>
      </c>
      <c r="C103" s="17">
        <f>ROUND(VLOOKUP(B$87&amp;"_2",管理者用人口入力シート!A:X,D103,FALSE),0)</f>
        <v>309</v>
      </c>
      <c r="D103" s="2">
        <v>18</v>
      </c>
      <c r="G103" s="2" t="s">
        <v>10</v>
      </c>
      <c r="H103" s="17">
        <f>ROUND(VLOOKUP(H$91&amp;"_1",管理者用人口入力シート!BH:CE,J103,FALSE),0)</f>
        <v>160</v>
      </c>
      <c r="I103" s="17">
        <f>ROUND(VLOOKUP(H$91&amp;"_2",管理者用人口入力シート!BH:CE,J103,FALSE),0)</f>
        <v>192</v>
      </c>
      <c r="J103" s="2">
        <v>14</v>
      </c>
      <c r="K103" s="12"/>
      <c r="N103" s="2" t="s">
        <v>10</v>
      </c>
      <c r="O103" s="17">
        <f>ROUND(VLOOKUP(O$91&amp;"_1",管理者用人口入力シート!CO:DL,Q103,FALSE),0)</f>
        <v>160</v>
      </c>
      <c r="P103" s="17">
        <f>ROUND(VLOOKUP(O$91&amp;"_2",管理者用人口入力シート!CO:DL,Q103,FALSE),0)</f>
        <v>192</v>
      </c>
      <c r="Q103" s="2">
        <v>14</v>
      </c>
      <c r="T103" s="85"/>
    </row>
    <row r="104" spans="1:20" x14ac:dyDescent="0.15">
      <c r="A104" s="2" t="s">
        <v>15</v>
      </c>
      <c r="B104" s="17">
        <f>ROUND(VLOOKUP(B$87&amp;"_1",管理者用人口入力シート!A:X,D104,FALSE),0)</f>
        <v>173</v>
      </c>
      <c r="C104" s="17">
        <f>ROUND(VLOOKUP(B$87&amp;"_2",管理者用人口入力シート!A:X,D104,FALSE),0)</f>
        <v>226</v>
      </c>
      <c r="D104" s="2">
        <v>19</v>
      </c>
      <c r="G104" s="2" t="s">
        <v>11</v>
      </c>
      <c r="H104" s="17">
        <f>ROUND(VLOOKUP(H$91&amp;"_1",管理者用人口入力シート!BH:CE,J104,FALSE),0)</f>
        <v>208</v>
      </c>
      <c r="I104" s="17">
        <f>ROUND(VLOOKUP(H$91&amp;"_2",管理者用人口入力シート!BH:CE,J104,FALSE),0)</f>
        <v>163</v>
      </c>
      <c r="J104" s="2">
        <v>15</v>
      </c>
      <c r="K104" s="12"/>
      <c r="N104" s="2" t="s">
        <v>11</v>
      </c>
      <c r="O104" s="17">
        <f>ROUND(VLOOKUP(O$91&amp;"_1",管理者用人口入力シート!CO:DL,Q104,FALSE),0)</f>
        <v>208</v>
      </c>
      <c r="P104" s="17">
        <f>ROUND(VLOOKUP(O$91&amp;"_2",管理者用人口入力シート!CO:DL,Q104,FALSE),0)</f>
        <v>163</v>
      </c>
      <c r="Q104" s="2">
        <v>15</v>
      </c>
      <c r="T104" s="85"/>
    </row>
    <row r="105" spans="1:20" x14ac:dyDescent="0.15">
      <c r="A105" s="2" t="s">
        <v>16</v>
      </c>
      <c r="B105" s="17">
        <f>ROUND(VLOOKUP(B$87&amp;"_1",管理者用人口入力シート!A:X,D105,FALSE),0)</f>
        <v>161</v>
      </c>
      <c r="C105" s="17">
        <f>ROUND(VLOOKUP(B$87&amp;"_2",管理者用人口入力シート!A:X,D105,FALSE),0)</f>
        <v>242</v>
      </c>
      <c r="D105" s="2">
        <v>20</v>
      </c>
      <c r="G105" s="2" t="s">
        <v>12</v>
      </c>
      <c r="H105" s="17">
        <f>ROUND(VLOOKUP(H$91&amp;"_1",管理者用人口入力シート!BH:CE,J105,FALSE),0)</f>
        <v>156</v>
      </c>
      <c r="I105" s="17">
        <f>ROUND(VLOOKUP(H$91&amp;"_2",管理者用人口入力シート!BH:CE,J105,FALSE),0)</f>
        <v>181</v>
      </c>
      <c r="J105" s="2">
        <v>16</v>
      </c>
      <c r="K105" s="12"/>
      <c r="N105" s="2" t="s">
        <v>12</v>
      </c>
      <c r="O105" s="17">
        <f>ROUND(VLOOKUP(O$91&amp;"_1",管理者用人口入力シート!CO:DL,Q105,FALSE),0)</f>
        <v>156</v>
      </c>
      <c r="P105" s="17">
        <f>ROUND(VLOOKUP(O$91&amp;"_2",管理者用人口入力シート!CO:DL,Q105,FALSE),0)</f>
        <v>181</v>
      </c>
      <c r="Q105" s="2">
        <v>16</v>
      </c>
      <c r="T105" s="85"/>
    </row>
    <row r="106" spans="1:20" x14ac:dyDescent="0.15">
      <c r="A106" s="2" t="s">
        <v>17</v>
      </c>
      <c r="B106" s="17">
        <f>ROUND(VLOOKUP(B$87&amp;"_1",管理者用人口入力シート!A:X,D106,FALSE),0)</f>
        <v>108</v>
      </c>
      <c r="C106" s="17">
        <f>ROUND(VLOOKUP(B$87&amp;"_2",管理者用人口入力シート!A:X,D106,FALSE),0)</f>
        <v>208</v>
      </c>
      <c r="D106" s="2">
        <v>21</v>
      </c>
      <c r="G106" s="2" t="s">
        <v>13</v>
      </c>
      <c r="H106" s="17">
        <f>ROUND(VLOOKUP(H$91&amp;"_1",管理者用人口入力シート!BH:CE,J106,FALSE),0)</f>
        <v>178</v>
      </c>
      <c r="I106" s="17">
        <f>ROUND(VLOOKUP(H$91&amp;"_2",管理者用人口入力シート!BH:CE,J106,FALSE),0)</f>
        <v>206</v>
      </c>
      <c r="J106" s="2">
        <v>17</v>
      </c>
      <c r="K106" s="12"/>
      <c r="N106" s="2" t="s">
        <v>13</v>
      </c>
      <c r="O106" s="17">
        <f>ROUND(VLOOKUP(O$91&amp;"_1",管理者用人口入力シート!CO:DL,Q106,FALSE),0)</f>
        <v>178</v>
      </c>
      <c r="P106" s="17">
        <f>ROUND(VLOOKUP(O$91&amp;"_2",管理者用人口入力シート!CO:DL,Q106,FALSE),0)</f>
        <v>206</v>
      </c>
      <c r="Q106" s="2">
        <v>17</v>
      </c>
      <c r="T106" s="85"/>
    </row>
    <row r="107" spans="1:20" x14ac:dyDescent="0.15">
      <c r="A107" s="2" t="s">
        <v>18</v>
      </c>
      <c r="B107" s="17">
        <f>ROUND(VLOOKUP(B$87&amp;"_1",管理者用人口入力シート!A:X,D107,FALSE),0)</f>
        <v>47</v>
      </c>
      <c r="C107" s="17">
        <f>ROUND(VLOOKUP(B$87&amp;"_2",管理者用人口入力シート!A:X,D107,FALSE),0)</f>
        <v>109</v>
      </c>
      <c r="D107" s="2">
        <v>22</v>
      </c>
      <c r="G107" s="2" t="s">
        <v>14</v>
      </c>
      <c r="H107" s="17">
        <f>ROUND(VLOOKUP(H$91&amp;"_1",管理者用人口入力シート!BH:CE,J107,FALSE),0)</f>
        <v>247</v>
      </c>
      <c r="I107" s="17">
        <f>ROUND(VLOOKUP(H$91&amp;"_2",管理者用人口入力シート!BH:CE,J107,FALSE),0)</f>
        <v>285</v>
      </c>
      <c r="J107" s="2">
        <v>18</v>
      </c>
      <c r="K107" s="12"/>
      <c r="N107" s="2" t="s">
        <v>14</v>
      </c>
      <c r="O107" s="17">
        <f>ROUND(VLOOKUP(O$91&amp;"_1",管理者用人口入力シート!CO:DL,Q107,FALSE),0)</f>
        <v>247</v>
      </c>
      <c r="P107" s="17">
        <f>ROUND(VLOOKUP(O$91&amp;"_2",管理者用人口入力シート!CO:DL,Q107,FALSE),0)</f>
        <v>285</v>
      </c>
      <c r="Q107" s="2">
        <v>18</v>
      </c>
      <c r="T107" s="85"/>
    </row>
    <row r="108" spans="1:20" x14ac:dyDescent="0.15">
      <c r="A108" s="2" t="s">
        <v>19</v>
      </c>
      <c r="B108" s="17">
        <f>ROUND(VLOOKUP(B$87&amp;"_1",管理者用人口入力シート!A:X,D108,FALSE),0)</f>
        <v>6</v>
      </c>
      <c r="C108" s="17">
        <f>ROUND(VLOOKUP(B$87&amp;"_2",管理者用人口入力シート!A:X,D108,FALSE),0)</f>
        <v>41</v>
      </c>
      <c r="D108" s="2">
        <v>23</v>
      </c>
      <c r="G108" s="2" t="s">
        <v>15</v>
      </c>
      <c r="H108" s="17">
        <f>ROUND(VLOOKUP(H$91&amp;"_1",管理者用人口入力シート!BH:CE,J108,FALSE),0)</f>
        <v>266</v>
      </c>
      <c r="I108" s="17">
        <f>ROUND(VLOOKUP(H$91&amp;"_2",管理者用人口入力シート!BH:CE,J108,FALSE),0)</f>
        <v>302</v>
      </c>
      <c r="J108" s="2">
        <v>19</v>
      </c>
      <c r="K108" s="12"/>
      <c r="N108" s="2" t="s">
        <v>15</v>
      </c>
      <c r="O108" s="17">
        <f>ROUND(VLOOKUP(O$91&amp;"_1",管理者用人口入力シート!CO:DL,Q108,FALSE),0)</f>
        <v>266</v>
      </c>
      <c r="P108" s="17">
        <f>ROUND(VLOOKUP(O$91&amp;"_2",管理者用人口入力シート!CO:DL,Q108,FALSE),0)</f>
        <v>302</v>
      </c>
      <c r="Q108" s="2">
        <v>19</v>
      </c>
      <c r="T108" s="85"/>
    </row>
    <row r="109" spans="1:20" x14ac:dyDescent="0.15">
      <c r="A109" s="2" t="s">
        <v>20</v>
      </c>
      <c r="B109" s="17">
        <f>ROUND(VLOOKUP(B$87&amp;"_1",管理者用人口入力シート!A:X,D109,FALSE),0)</f>
        <v>0</v>
      </c>
      <c r="C109" s="17">
        <f>ROUND(VLOOKUP(B$87&amp;"_2",管理者用人口入力シート!A:X,D109,FALSE),0)</f>
        <v>7</v>
      </c>
      <c r="D109" s="2">
        <v>24</v>
      </c>
      <c r="G109" s="2" t="s">
        <v>16</v>
      </c>
      <c r="H109" s="17">
        <f>ROUND(VLOOKUP(H$91&amp;"_1",管理者用人口入力シート!BH:CE,J109,FALSE),0)</f>
        <v>173</v>
      </c>
      <c r="I109" s="17">
        <f>ROUND(VLOOKUP(H$91&amp;"_2",管理者用人口入力シート!BH:CE,J109,FALSE),0)</f>
        <v>246</v>
      </c>
      <c r="J109" s="2">
        <v>20</v>
      </c>
      <c r="K109" s="12"/>
      <c r="N109" s="2" t="s">
        <v>16</v>
      </c>
      <c r="O109" s="17">
        <f>ROUND(VLOOKUP(O$91&amp;"_1",管理者用人口入力シート!CO:DL,Q109,FALSE),0)</f>
        <v>173</v>
      </c>
      <c r="P109" s="17">
        <f>ROUND(VLOOKUP(O$91&amp;"_2",管理者用人口入力シート!CO:DL,Q109,FALSE),0)</f>
        <v>246</v>
      </c>
      <c r="Q109" s="2">
        <v>20</v>
      </c>
      <c r="T109" s="85"/>
    </row>
    <row r="110" spans="1:20" x14ac:dyDescent="0.15">
      <c r="G110" s="2" t="s">
        <v>17</v>
      </c>
      <c r="H110" s="17">
        <f>ROUND(VLOOKUP(H$91&amp;"_1",管理者用人口入力シート!BH:CE,J110,FALSE),0)</f>
        <v>83</v>
      </c>
      <c r="I110" s="17">
        <f>ROUND(VLOOKUP(H$91&amp;"_2",管理者用人口入力シート!BH:CE,J110,FALSE),0)</f>
        <v>137</v>
      </c>
      <c r="J110" s="2">
        <v>21</v>
      </c>
      <c r="K110" s="12"/>
      <c r="N110" s="2" t="s">
        <v>17</v>
      </c>
      <c r="O110" s="17">
        <f>ROUND(VLOOKUP(O$91&amp;"_1",管理者用人口入力シート!CO:DL,Q110,FALSE),0)</f>
        <v>83</v>
      </c>
      <c r="P110" s="17">
        <f>ROUND(VLOOKUP(O$91&amp;"_2",管理者用人口入力シート!CO:DL,Q110,FALSE),0)</f>
        <v>137</v>
      </c>
      <c r="Q110" s="2">
        <v>21</v>
      </c>
      <c r="T110" s="85"/>
    </row>
    <row r="111" spans="1:20" x14ac:dyDescent="0.15">
      <c r="G111" s="2" t="s">
        <v>18</v>
      </c>
      <c r="H111" s="17">
        <f>ROUND(VLOOKUP(H$91&amp;"_1",管理者用人口入力シート!BH:CE,J111,FALSE),0)</f>
        <v>40</v>
      </c>
      <c r="I111" s="17">
        <f>ROUND(VLOOKUP(H$91&amp;"_2",管理者用人口入力シート!BH:CE,J111,FALSE),0)</f>
        <v>93</v>
      </c>
      <c r="J111" s="2">
        <v>22</v>
      </c>
      <c r="K111" s="12"/>
      <c r="N111" s="2" t="s">
        <v>18</v>
      </c>
      <c r="O111" s="17">
        <f>ROUND(VLOOKUP(O$91&amp;"_1",管理者用人口入力シート!CO:DL,Q111,FALSE),0)</f>
        <v>40</v>
      </c>
      <c r="P111" s="17">
        <f>ROUND(VLOOKUP(O$91&amp;"_2",管理者用人口入力シート!CO:DL,Q111,FALSE),0)</f>
        <v>93</v>
      </c>
      <c r="Q111" s="2">
        <v>22</v>
      </c>
      <c r="T111" s="85"/>
    </row>
    <row r="112" spans="1:20" x14ac:dyDescent="0.15">
      <c r="G112" s="2" t="s">
        <v>19</v>
      </c>
      <c r="H112" s="17">
        <f>ROUND(VLOOKUP(H$91&amp;"_1",管理者用人口入力シート!BH:CE,J112,FALSE),0)</f>
        <v>9</v>
      </c>
      <c r="I112" s="17">
        <f>ROUND(VLOOKUP(H$91&amp;"_2",管理者用人口入力シート!BH:CE,J112,FALSE),0)</f>
        <v>39</v>
      </c>
      <c r="J112" s="2">
        <v>23</v>
      </c>
      <c r="K112" s="12"/>
      <c r="N112" s="2" t="s">
        <v>19</v>
      </c>
      <c r="O112" s="17">
        <f>ROUND(VLOOKUP(O$91&amp;"_1",管理者用人口入力シート!CO:DL,Q112,FALSE),0)</f>
        <v>9</v>
      </c>
      <c r="P112" s="17">
        <f>ROUND(VLOOKUP(O$91&amp;"_2",管理者用人口入力シート!CO:DL,Q112,FALSE),0)</f>
        <v>39</v>
      </c>
      <c r="Q112" s="2">
        <v>23</v>
      </c>
      <c r="T112" s="85"/>
    </row>
    <row r="113" spans="7:20" x14ac:dyDescent="0.15">
      <c r="G113" s="2" t="s">
        <v>20</v>
      </c>
      <c r="H113" s="17">
        <f>ROUND(VLOOKUP(H$91&amp;"_1",管理者用人口入力シート!BH:CE,J113,FALSE),0)</f>
        <v>0</v>
      </c>
      <c r="I113" s="17">
        <f>ROUND(VLOOKUP(H$91&amp;"_2",管理者用人口入力シート!BH:CE,J113,FALSE),0)</f>
        <v>10</v>
      </c>
      <c r="J113" s="2">
        <v>24</v>
      </c>
      <c r="K113" s="12"/>
      <c r="N113" s="2" t="s">
        <v>20</v>
      </c>
      <c r="O113" s="17">
        <f>ROUND(VLOOKUP(O$91&amp;"_1",管理者用人口入力シート!CO:DL,Q113,FALSE),0)</f>
        <v>0</v>
      </c>
      <c r="P113" s="17">
        <f>ROUND(VLOOKUP(O$91&amp;"_2",管理者用人口入力シート!CO:DL,Q113,FALSE),0)</f>
        <v>10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58</v>
      </c>
      <c r="I117" s="17">
        <f>ROUND(VLOOKUP(H$115&amp;"_2",管理者用人口入力シート!BH:CE,J117,FALSE),0)</f>
        <v>62</v>
      </c>
      <c r="J117" s="2">
        <v>4</v>
      </c>
      <c r="N117" s="2" t="s">
        <v>0</v>
      </c>
      <c r="O117" s="17">
        <f>ROUND(VLOOKUP(O$115&amp;"_1",管理者用人口入力シート!CO:DL,Q117,FALSE),0)</f>
        <v>60</v>
      </c>
      <c r="P117" s="17">
        <f>ROUND(VLOOKUP(O$115&amp;"_2",管理者用人口入力シート!CO:DL,Q117,FALSE),0)</f>
        <v>64</v>
      </c>
      <c r="Q117" s="2">
        <v>4</v>
      </c>
      <c r="T117" s="85"/>
    </row>
    <row r="118" spans="7:20" x14ac:dyDescent="0.15">
      <c r="G118" s="2" t="s">
        <v>1</v>
      </c>
      <c r="H118" s="17">
        <f>ROUND(VLOOKUP(H$115&amp;"_1",管理者用人口入力シート!BH:CE,J118,FALSE),0)</f>
        <v>70</v>
      </c>
      <c r="I118" s="17">
        <f>ROUND(VLOOKUP(H$115&amp;"_2",管理者用人口入力シート!BH:CE,J118,FALSE),0)</f>
        <v>71</v>
      </c>
      <c r="J118" s="2">
        <v>5</v>
      </c>
      <c r="N118" s="2" t="s">
        <v>1</v>
      </c>
      <c r="O118" s="17">
        <f>ROUND(VLOOKUP(O$115&amp;"_1",管理者用人口入力シート!CO:DL,Q118,FALSE),0)</f>
        <v>72</v>
      </c>
      <c r="P118" s="17">
        <f>ROUND(VLOOKUP(O$115&amp;"_2",管理者用人口入力シート!CO:DL,Q118,FALSE),0)</f>
        <v>73</v>
      </c>
      <c r="Q118" s="2">
        <v>5</v>
      </c>
      <c r="T118" s="85"/>
    </row>
    <row r="119" spans="7:20" x14ac:dyDescent="0.15">
      <c r="G119" s="2" t="s">
        <v>2</v>
      </c>
      <c r="H119" s="17">
        <f>ROUND(VLOOKUP(H$115&amp;"_1",管理者用人口入力シート!BH:CE,J119,FALSE),0)</f>
        <v>85</v>
      </c>
      <c r="I119" s="17">
        <f>ROUND(VLOOKUP(H$115&amp;"_2",管理者用人口入力シート!BH:CE,J119,FALSE),0)</f>
        <v>85</v>
      </c>
      <c r="J119" s="2">
        <v>6</v>
      </c>
      <c r="N119" s="2" t="s">
        <v>2</v>
      </c>
      <c r="O119" s="17">
        <f>ROUND(VLOOKUP(O$115&amp;"_1",管理者用人口入力シート!CO:DL,Q119,FALSE),0)</f>
        <v>87</v>
      </c>
      <c r="P119" s="17">
        <f>ROUND(VLOOKUP(O$115&amp;"_2",管理者用人口入力シート!CO:DL,Q119,FALSE),0)</f>
        <v>87</v>
      </c>
      <c r="Q119" s="2">
        <v>6</v>
      </c>
      <c r="T119" s="85"/>
    </row>
    <row r="120" spans="7:20" x14ac:dyDescent="0.15">
      <c r="G120" s="2" t="s">
        <v>3</v>
      </c>
      <c r="H120" s="17">
        <f>ROUND(VLOOKUP(H$115&amp;"_1",管理者用人口入力シート!BH:CE,J120,FALSE),0)</f>
        <v>82</v>
      </c>
      <c r="I120" s="17">
        <f>ROUND(VLOOKUP(H$115&amp;"_2",管理者用人口入力シート!BH:CE,J120,FALSE),0)</f>
        <v>90</v>
      </c>
      <c r="J120" s="2">
        <v>7</v>
      </c>
      <c r="N120" s="2" t="s">
        <v>3</v>
      </c>
      <c r="O120" s="17">
        <f>ROUND(VLOOKUP(O$115&amp;"_1",管理者用人口入力シート!CO:DL,Q120,FALSE),0)</f>
        <v>83</v>
      </c>
      <c r="P120" s="17">
        <f>ROUND(VLOOKUP(O$115&amp;"_2",管理者用人口入力シート!CO:DL,Q120,FALSE),0)</f>
        <v>91</v>
      </c>
      <c r="Q120" s="2">
        <v>7</v>
      </c>
      <c r="T120" s="85"/>
    </row>
    <row r="121" spans="7:20" x14ac:dyDescent="0.15">
      <c r="G121" s="2" t="s">
        <v>4</v>
      </c>
      <c r="H121" s="17">
        <f>ROUND(VLOOKUP(H$115&amp;"_1",管理者用人口入力シート!BH:CE,J121,FALSE),0)</f>
        <v>53</v>
      </c>
      <c r="I121" s="17">
        <f>ROUND(VLOOKUP(H$115&amp;"_2",管理者用人口入力シート!BH:CE,J121,FALSE),0)</f>
        <v>63</v>
      </c>
      <c r="J121" s="2">
        <v>8</v>
      </c>
      <c r="N121" s="2" t="s">
        <v>4</v>
      </c>
      <c r="O121" s="17">
        <f>ROUND(VLOOKUP(O$115&amp;"_1",管理者用人口入力シート!CO:DL,Q121,FALSE),0)</f>
        <v>53</v>
      </c>
      <c r="P121" s="17">
        <f>ROUND(VLOOKUP(O$115&amp;"_2",管理者用人口入力シート!CO:DL,Q121,FALSE),0)</f>
        <v>63</v>
      </c>
      <c r="Q121" s="2">
        <v>8</v>
      </c>
      <c r="T121" s="85"/>
    </row>
    <row r="122" spans="7:20" x14ac:dyDescent="0.15">
      <c r="G122" s="2" t="s">
        <v>5</v>
      </c>
      <c r="H122" s="17">
        <f>ROUND(VLOOKUP(H$115&amp;"_1",管理者用人口入力シート!BH:CE,J122,FALSE),0)</f>
        <v>60</v>
      </c>
      <c r="I122" s="17">
        <f>ROUND(VLOOKUP(H$115&amp;"_2",管理者用人口入力シート!BH:CE,J122,FALSE),0)</f>
        <v>55</v>
      </c>
      <c r="J122" s="2">
        <v>9</v>
      </c>
      <c r="N122" s="2" t="s">
        <v>5</v>
      </c>
      <c r="O122" s="17">
        <f>ROUND(VLOOKUP(O$115&amp;"_1",管理者用人口入力シート!CO:DL,Q122,FALSE),0)</f>
        <v>62</v>
      </c>
      <c r="P122" s="17">
        <f>ROUND(VLOOKUP(O$115&amp;"_2",管理者用人口入力シート!CO:DL,Q122,FALSE),0)</f>
        <v>57</v>
      </c>
      <c r="Q122" s="2">
        <v>9</v>
      </c>
      <c r="T122" s="85"/>
    </row>
    <row r="123" spans="7:20" x14ac:dyDescent="0.15">
      <c r="G123" s="2" t="s">
        <v>6</v>
      </c>
      <c r="H123" s="17">
        <f>ROUND(VLOOKUP(H$115&amp;"_1",管理者用人口入力シート!BH:CE,J123,FALSE),0)</f>
        <v>77</v>
      </c>
      <c r="I123" s="17">
        <f>ROUND(VLOOKUP(H$115&amp;"_2",管理者用人口入力シート!BH:CE,J123,FALSE),0)</f>
        <v>64</v>
      </c>
      <c r="J123" s="2">
        <v>10</v>
      </c>
      <c r="N123" s="2" t="s">
        <v>6</v>
      </c>
      <c r="O123" s="17">
        <f>ROUND(VLOOKUP(O$115&amp;"_1",管理者用人口入力シート!CO:DL,Q123,FALSE),0)</f>
        <v>79</v>
      </c>
      <c r="P123" s="17">
        <f>ROUND(VLOOKUP(O$115&amp;"_2",管理者用人口入力シート!CO:DL,Q123,FALSE),0)</f>
        <v>66</v>
      </c>
      <c r="Q123" s="2">
        <v>10</v>
      </c>
      <c r="T123" s="85"/>
    </row>
    <row r="124" spans="7:20" x14ac:dyDescent="0.15">
      <c r="G124" s="2" t="s">
        <v>7</v>
      </c>
      <c r="H124" s="17">
        <f>ROUND(VLOOKUP(H$115&amp;"_1",管理者用人口入力シート!BH:CE,J124,FALSE),0)</f>
        <v>83</v>
      </c>
      <c r="I124" s="17">
        <f>ROUND(VLOOKUP(H$115&amp;"_2",管理者用人口入力シート!BH:CE,J124,FALSE),0)</f>
        <v>82</v>
      </c>
      <c r="J124" s="2">
        <v>11</v>
      </c>
      <c r="N124" s="2" t="s">
        <v>7</v>
      </c>
      <c r="O124" s="17">
        <f>ROUND(VLOOKUP(O$115&amp;"_1",管理者用人口入力シート!CO:DL,Q124,FALSE),0)</f>
        <v>85</v>
      </c>
      <c r="P124" s="17">
        <f>ROUND(VLOOKUP(O$115&amp;"_2",管理者用人口入力シート!CO:DL,Q124,FALSE),0)</f>
        <v>84</v>
      </c>
      <c r="Q124" s="2">
        <v>11</v>
      </c>
      <c r="T124" s="85"/>
    </row>
    <row r="125" spans="7:20" x14ac:dyDescent="0.15">
      <c r="G125" s="2" t="s">
        <v>8</v>
      </c>
      <c r="H125" s="17">
        <f>ROUND(VLOOKUP(H$115&amp;"_1",管理者用人口入力シート!BH:CE,J125,FALSE),0)</f>
        <v>76</v>
      </c>
      <c r="I125" s="17">
        <f>ROUND(VLOOKUP(H$115&amp;"_2",管理者用人口入力シート!BH:CE,J125,FALSE),0)</f>
        <v>84</v>
      </c>
      <c r="J125" s="2">
        <v>12</v>
      </c>
      <c r="N125" s="2" t="s">
        <v>8</v>
      </c>
      <c r="O125" s="17">
        <f>ROUND(VLOOKUP(O$115&amp;"_1",管理者用人口入力シート!CO:DL,Q125,FALSE),0)</f>
        <v>76</v>
      </c>
      <c r="P125" s="17">
        <f>ROUND(VLOOKUP(O$115&amp;"_2",管理者用人口入力シート!CO:DL,Q125,FALSE),0)</f>
        <v>85</v>
      </c>
      <c r="Q125" s="2">
        <v>12</v>
      </c>
      <c r="T125" s="85"/>
    </row>
    <row r="126" spans="7:20" x14ac:dyDescent="0.15">
      <c r="G126" s="2" t="s">
        <v>9</v>
      </c>
      <c r="H126" s="17">
        <f>ROUND(VLOOKUP(H$115&amp;"_1",管理者用人口入力シート!BH:CE,J126,FALSE),0)</f>
        <v>120</v>
      </c>
      <c r="I126" s="17">
        <f>ROUND(VLOOKUP(H$115&amp;"_2",管理者用人口入力シート!BH:CE,J126,FALSE),0)</f>
        <v>97</v>
      </c>
      <c r="J126" s="2">
        <v>13</v>
      </c>
      <c r="N126" s="2" t="s">
        <v>9</v>
      </c>
      <c r="O126" s="17">
        <f>ROUND(VLOOKUP(O$115&amp;"_1",管理者用人口入力シート!CO:DL,Q126,FALSE),0)</f>
        <v>120</v>
      </c>
      <c r="P126" s="17">
        <f>ROUND(VLOOKUP(O$115&amp;"_2",管理者用人口入力シート!CO:DL,Q126,FALSE),0)</f>
        <v>98</v>
      </c>
      <c r="Q126" s="2">
        <v>13</v>
      </c>
      <c r="T126" s="85"/>
    </row>
    <row r="127" spans="7:20" x14ac:dyDescent="0.15">
      <c r="G127" s="2" t="s">
        <v>10</v>
      </c>
      <c r="H127" s="17">
        <f>ROUND(VLOOKUP(H$115&amp;"_1",管理者用人口入力シート!BH:CE,J127,FALSE),0)</f>
        <v>143</v>
      </c>
      <c r="I127" s="17">
        <f>ROUND(VLOOKUP(H$115&amp;"_2",管理者用人口入力シート!BH:CE,J127,FALSE),0)</f>
        <v>134</v>
      </c>
      <c r="J127" s="2">
        <v>14</v>
      </c>
      <c r="N127" s="2" t="s">
        <v>10</v>
      </c>
      <c r="O127" s="17">
        <f>ROUND(VLOOKUP(O$115&amp;"_1",管理者用人口入力シート!CO:DL,Q127,FALSE),0)</f>
        <v>143</v>
      </c>
      <c r="P127" s="17">
        <f>ROUND(VLOOKUP(O$115&amp;"_2",管理者用人口入力シート!CO:DL,Q127,FALSE),0)</f>
        <v>135</v>
      </c>
      <c r="Q127" s="2">
        <v>14</v>
      </c>
      <c r="T127" s="85"/>
    </row>
    <row r="128" spans="7:20" x14ac:dyDescent="0.15">
      <c r="G128" s="2" t="s">
        <v>11</v>
      </c>
      <c r="H128" s="17">
        <f>ROUND(VLOOKUP(H$115&amp;"_1",管理者用人口入力シート!BH:CE,J128,FALSE),0)</f>
        <v>165</v>
      </c>
      <c r="I128" s="17">
        <f>ROUND(VLOOKUP(H$115&amp;"_2",管理者用人口入力シート!BH:CE,J128,FALSE),0)</f>
        <v>188</v>
      </c>
      <c r="J128" s="2">
        <v>15</v>
      </c>
      <c r="N128" s="2" t="s">
        <v>11</v>
      </c>
      <c r="O128" s="17">
        <f>ROUND(VLOOKUP(O$115&amp;"_1",管理者用人口入力シート!CO:DL,Q128,FALSE),0)</f>
        <v>165</v>
      </c>
      <c r="P128" s="17">
        <f>ROUND(VLOOKUP(O$115&amp;"_2",管理者用人口入力シート!CO:DL,Q128,FALSE),0)</f>
        <v>188</v>
      </c>
      <c r="Q128" s="2">
        <v>15</v>
      </c>
      <c r="T128" s="85"/>
    </row>
    <row r="129" spans="7:20" x14ac:dyDescent="0.15">
      <c r="G129" s="2" t="s">
        <v>12</v>
      </c>
      <c r="H129" s="17">
        <f>ROUND(VLOOKUP(H$115&amp;"_1",管理者用人口入力シート!BH:CE,J129,FALSE),0)</f>
        <v>203</v>
      </c>
      <c r="I129" s="17">
        <f>ROUND(VLOOKUP(H$115&amp;"_2",管理者用人口入力シート!BH:CE,J129,FALSE),0)</f>
        <v>166</v>
      </c>
      <c r="J129" s="2">
        <v>16</v>
      </c>
      <c r="N129" s="2" t="s">
        <v>12</v>
      </c>
      <c r="O129" s="17">
        <f>ROUND(VLOOKUP(O$115&amp;"_1",管理者用人口入力シート!CO:DL,Q129,FALSE),0)</f>
        <v>203</v>
      </c>
      <c r="P129" s="17">
        <f>ROUND(VLOOKUP(O$115&amp;"_2",管理者用人口入力シート!CO:DL,Q129,FALSE),0)</f>
        <v>166</v>
      </c>
      <c r="Q129" s="2">
        <v>16</v>
      </c>
      <c r="T129" s="85"/>
    </row>
    <row r="130" spans="7:20" x14ac:dyDescent="0.15">
      <c r="G130" s="2" t="s">
        <v>13</v>
      </c>
      <c r="H130" s="17">
        <f>ROUND(VLOOKUP(H$115&amp;"_1",管理者用人口入力シート!BH:CE,J130,FALSE),0)</f>
        <v>151</v>
      </c>
      <c r="I130" s="17">
        <f>ROUND(VLOOKUP(H$115&amp;"_2",管理者用人口入力シート!BH:CE,J130,FALSE),0)</f>
        <v>179</v>
      </c>
      <c r="J130" s="2">
        <v>17</v>
      </c>
      <c r="N130" s="2" t="s">
        <v>13</v>
      </c>
      <c r="O130" s="17">
        <f>ROUND(VLOOKUP(O$115&amp;"_1",管理者用人口入力シート!CO:DL,Q130,FALSE),0)</f>
        <v>151</v>
      </c>
      <c r="P130" s="17">
        <f>ROUND(VLOOKUP(O$115&amp;"_2",管理者用人口入力シート!CO:DL,Q130,FALSE),0)</f>
        <v>179</v>
      </c>
      <c r="Q130" s="2">
        <v>17</v>
      </c>
      <c r="T130" s="85"/>
    </row>
    <row r="131" spans="7:20" x14ac:dyDescent="0.15">
      <c r="G131" s="2" t="s">
        <v>14</v>
      </c>
      <c r="H131" s="17">
        <f>ROUND(VLOOKUP(H$115&amp;"_1",管理者用人口入力シート!BH:CE,J131,FALSE),0)</f>
        <v>162</v>
      </c>
      <c r="I131" s="17">
        <f>ROUND(VLOOKUP(H$115&amp;"_2",管理者用人口入力シート!BH:CE,J131,FALSE),0)</f>
        <v>202</v>
      </c>
      <c r="J131" s="2">
        <v>18</v>
      </c>
      <c r="N131" s="2" t="s">
        <v>14</v>
      </c>
      <c r="O131" s="17">
        <f>ROUND(VLOOKUP(O$115&amp;"_1",管理者用人口入力シート!CO:DL,Q131,FALSE),0)</f>
        <v>162</v>
      </c>
      <c r="P131" s="17">
        <f>ROUND(VLOOKUP(O$115&amp;"_2",管理者用人口入力シート!CO:DL,Q131,FALSE),0)</f>
        <v>202</v>
      </c>
      <c r="Q131" s="2">
        <v>18</v>
      </c>
      <c r="T131" s="85"/>
    </row>
    <row r="132" spans="7:20" x14ac:dyDescent="0.15">
      <c r="G132" s="2" t="s">
        <v>15</v>
      </c>
      <c r="H132" s="17">
        <f>ROUND(VLOOKUP(H$115&amp;"_1",管理者用人口入力シート!BH:CE,J132,FALSE),0)</f>
        <v>212</v>
      </c>
      <c r="I132" s="17">
        <f>ROUND(VLOOKUP(H$115&amp;"_2",管理者用人口入力シート!BH:CE,J132,FALSE),0)</f>
        <v>271</v>
      </c>
      <c r="J132" s="2">
        <v>19</v>
      </c>
      <c r="N132" s="2" t="s">
        <v>15</v>
      </c>
      <c r="O132" s="17">
        <f>ROUND(VLOOKUP(O$115&amp;"_1",管理者用人口入力シート!CO:DL,Q132,FALSE),0)</f>
        <v>212</v>
      </c>
      <c r="P132" s="17">
        <f>ROUND(VLOOKUP(O$115&amp;"_2",管理者用人口入力シート!CO:DL,Q132,FALSE),0)</f>
        <v>271</v>
      </c>
      <c r="Q132" s="2">
        <v>19</v>
      </c>
      <c r="T132" s="85"/>
    </row>
    <row r="133" spans="7:20" x14ac:dyDescent="0.15">
      <c r="G133" s="2" t="s">
        <v>16</v>
      </c>
      <c r="H133" s="17">
        <f>ROUND(VLOOKUP(H$115&amp;"_1",管理者用人口入力シート!BH:CE,J133,FALSE),0)</f>
        <v>196</v>
      </c>
      <c r="I133" s="17">
        <f>ROUND(VLOOKUP(H$115&amp;"_2",管理者用人口入力シート!BH:CE,J133,FALSE),0)</f>
        <v>253</v>
      </c>
      <c r="J133" s="2">
        <v>20</v>
      </c>
      <c r="N133" s="2" t="s">
        <v>16</v>
      </c>
      <c r="O133" s="17">
        <f>ROUND(VLOOKUP(O$115&amp;"_1",管理者用人口入力シート!CO:DL,Q133,FALSE),0)</f>
        <v>196</v>
      </c>
      <c r="P133" s="17">
        <f>ROUND(VLOOKUP(O$115&amp;"_2",管理者用人口入力シート!CO:DL,Q133,FALSE),0)</f>
        <v>253</v>
      </c>
      <c r="Q133" s="2">
        <v>20</v>
      </c>
      <c r="T133" s="85"/>
    </row>
    <row r="134" spans="7:20" x14ac:dyDescent="0.15">
      <c r="G134" s="2" t="s">
        <v>17</v>
      </c>
      <c r="H134" s="17">
        <f>ROUND(VLOOKUP(H$115&amp;"_1",管理者用人口入力シート!BH:CE,J134,FALSE),0)</f>
        <v>113</v>
      </c>
      <c r="I134" s="17">
        <f>ROUND(VLOOKUP(H$115&amp;"_2",管理者用人口入力シート!BH:CE,J134,FALSE),0)</f>
        <v>178</v>
      </c>
      <c r="J134" s="2">
        <v>21</v>
      </c>
      <c r="N134" s="2" t="s">
        <v>17</v>
      </c>
      <c r="O134" s="17">
        <f>ROUND(VLOOKUP(O$115&amp;"_1",管理者用人口入力シート!CO:DL,Q134,FALSE),0)</f>
        <v>113</v>
      </c>
      <c r="P134" s="17">
        <f>ROUND(VLOOKUP(O$115&amp;"_2",管理者用人口入力シート!CO:DL,Q134,FALSE),0)</f>
        <v>178</v>
      </c>
      <c r="Q134" s="2">
        <v>21</v>
      </c>
      <c r="T134" s="85"/>
    </row>
    <row r="135" spans="7:20" x14ac:dyDescent="0.15">
      <c r="G135" s="2" t="s">
        <v>18</v>
      </c>
      <c r="H135" s="17">
        <f>ROUND(VLOOKUP(H$115&amp;"_1",管理者用人口入力シート!BH:CE,J135,FALSE),0)</f>
        <v>32</v>
      </c>
      <c r="I135" s="17">
        <f>ROUND(VLOOKUP(H$115&amp;"_2",管理者用人口入力シート!BH:CE,J135,FALSE),0)</f>
        <v>73</v>
      </c>
      <c r="J135" s="2">
        <v>22</v>
      </c>
      <c r="N135" s="2" t="s">
        <v>18</v>
      </c>
      <c r="O135" s="17">
        <f>ROUND(VLOOKUP(O$115&amp;"_1",管理者用人口入力シート!CO:DL,Q135,FALSE),0)</f>
        <v>32</v>
      </c>
      <c r="P135" s="17">
        <f>ROUND(VLOOKUP(O$115&amp;"_2",管理者用人口入力シート!CO:DL,Q135,FALSE),0)</f>
        <v>73</v>
      </c>
      <c r="Q135" s="2">
        <v>22</v>
      </c>
      <c r="T135" s="85"/>
    </row>
    <row r="136" spans="7:20" x14ac:dyDescent="0.15">
      <c r="G136" s="2" t="s">
        <v>19</v>
      </c>
      <c r="H136" s="17">
        <f>ROUND(VLOOKUP(H$115&amp;"_1",管理者用人口入力シート!BH:CE,J136,FALSE),0)</f>
        <v>8</v>
      </c>
      <c r="I136" s="17">
        <f>ROUND(VLOOKUP(H$115&amp;"_2",管理者用人口入力シート!BH:CE,J136,FALSE),0)</f>
        <v>33</v>
      </c>
      <c r="J136" s="2">
        <v>23</v>
      </c>
      <c r="N136" s="2" t="s">
        <v>19</v>
      </c>
      <c r="O136" s="17">
        <f>ROUND(VLOOKUP(O$115&amp;"_1",管理者用人口入力シート!CO:DL,Q136,FALSE),0)</f>
        <v>8</v>
      </c>
      <c r="P136" s="17">
        <f>ROUND(VLOOKUP(O$115&amp;"_2",管理者用人口入力シート!CO:DL,Q136,FALSE),0)</f>
        <v>33</v>
      </c>
      <c r="Q136" s="2">
        <v>23</v>
      </c>
      <c r="T136" s="85"/>
    </row>
    <row r="137" spans="7:20" x14ac:dyDescent="0.15">
      <c r="G137" s="2" t="s">
        <v>20</v>
      </c>
      <c r="H137" s="17">
        <f>ROUND(VLOOKUP(H$115&amp;"_1",管理者用人口入力シート!BH:CE,J137,FALSE),0)</f>
        <v>0</v>
      </c>
      <c r="I137" s="17">
        <f>ROUND(VLOOKUP(H$115&amp;"_2",管理者用人口入力シート!BH:CE,J137,FALSE),0)</f>
        <v>10</v>
      </c>
      <c r="J137" s="2">
        <v>24</v>
      </c>
      <c r="N137" s="2" t="s">
        <v>20</v>
      </c>
      <c r="O137" s="17">
        <f>ROUND(VLOOKUP(O$115&amp;"_1",管理者用人口入力シート!CO:DL,Q137,FALSE),0)</f>
        <v>0</v>
      </c>
      <c r="P137" s="17">
        <f>ROUND(VLOOKUP(O$115&amp;"_2",管理者用人口入力シート!CO:DL,Q137,FALSE),0)</f>
        <v>10</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49</v>
      </c>
      <c r="I141" s="17">
        <f>ROUND(VLOOKUP(H$139&amp;"_2",管理者用人口入力シート!BH:CE,J141,FALSE),0)</f>
        <v>52</v>
      </c>
      <c r="J141" s="2">
        <v>4</v>
      </c>
      <c r="N141" s="2" t="s">
        <v>0</v>
      </c>
      <c r="O141" s="17">
        <f>ROUND(VLOOKUP(O$139&amp;"_1",管理者用人口入力シート!CO:DL,Q141,FALSE),0)</f>
        <v>51</v>
      </c>
      <c r="P141" s="17">
        <f>ROUND(VLOOKUP(O$139&amp;"_2",管理者用人口入力シート!CO:DL,Q141,FALSE),0)</f>
        <v>55</v>
      </c>
      <c r="Q141" s="2">
        <v>4</v>
      </c>
    </row>
    <row r="142" spans="7:20" x14ac:dyDescent="0.15">
      <c r="G142" s="2" t="s">
        <v>1</v>
      </c>
      <c r="H142" s="17">
        <f>ROUND(VLOOKUP(H$139&amp;"_1",管理者用人口入力シート!BH:CE,J142,FALSE),0)</f>
        <v>63</v>
      </c>
      <c r="I142" s="17">
        <f>ROUND(VLOOKUP(H$139&amp;"_2",管理者用人口入力シート!BH:CE,J142,FALSE),0)</f>
        <v>64</v>
      </c>
      <c r="J142" s="2">
        <v>5</v>
      </c>
      <c r="N142" s="2" t="s">
        <v>1</v>
      </c>
      <c r="O142" s="17">
        <f>ROUND(VLOOKUP(O$139&amp;"_1",管理者用人口入力シート!CO:DL,Q142,FALSE),0)</f>
        <v>65</v>
      </c>
      <c r="P142" s="17">
        <f>ROUND(VLOOKUP(O$139&amp;"_2",管理者用人口入力シート!CO:DL,Q142,FALSE),0)</f>
        <v>66</v>
      </c>
      <c r="Q142" s="2">
        <v>5</v>
      </c>
    </row>
    <row r="143" spans="7:20" x14ac:dyDescent="0.15">
      <c r="G143" s="2" t="s">
        <v>2</v>
      </c>
      <c r="H143" s="17">
        <f>ROUND(VLOOKUP(H$139&amp;"_1",管理者用人口入力シート!BH:CE,J143,FALSE),0)</f>
        <v>72</v>
      </c>
      <c r="I143" s="17">
        <f>ROUND(VLOOKUP(H$139&amp;"_2",管理者用人口入力シート!BH:CE,J143,FALSE),0)</f>
        <v>72</v>
      </c>
      <c r="J143" s="2">
        <v>6</v>
      </c>
      <c r="N143" s="2" t="s">
        <v>2</v>
      </c>
      <c r="O143" s="17">
        <f>ROUND(VLOOKUP(O$139&amp;"_1",管理者用人口入力シート!CO:DL,Q143,FALSE),0)</f>
        <v>76</v>
      </c>
      <c r="P143" s="17">
        <f>ROUND(VLOOKUP(O$139&amp;"_2",管理者用人口入力シート!CO:DL,Q143,FALSE),0)</f>
        <v>75</v>
      </c>
      <c r="Q143" s="2">
        <v>6</v>
      </c>
    </row>
    <row r="144" spans="7:20" x14ac:dyDescent="0.15">
      <c r="G144" s="2" t="s">
        <v>3</v>
      </c>
      <c r="H144" s="17">
        <f>ROUND(VLOOKUP(H$139&amp;"_1",管理者用人口入力シート!BH:CE,J144,FALSE),0)</f>
        <v>67</v>
      </c>
      <c r="I144" s="17">
        <f>ROUND(VLOOKUP(H$139&amp;"_2",管理者用人口入力シート!BH:CE,J144,FALSE),0)</f>
        <v>73</v>
      </c>
      <c r="J144" s="2">
        <v>7</v>
      </c>
      <c r="N144" s="2" t="s">
        <v>3</v>
      </c>
      <c r="O144" s="17">
        <f>ROUND(VLOOKUP(O$139&amp;"_1",管理者用人口入力シート!CO:DL,Q144,FALSE),0)</f>
        <v>69</v>
      </c>
      <c r="P144" s="17">
        <f>ROUND(VLOOKUP(O$139&amp;"_2",管理者用人口入力シート!CO:DL,Q144,FALSE),0)</f>
        <v>75</v>
      </c>
      <c r="Q144" s="2">
        <v>7</v>
      </c>
    </row>
    <row r="145" spans="7:17" x14ac:dyDescent="0.15">
      <c r="G145" s="2" t="s">
        <v>4</v>
      </c>
      <c r="H145" s="17">
        <f>ROUND(VLOOKUP(H$139&amp;"_1",管理者用人口入力シート!BH:CE,J145,FALSE),0)</f>
        <v>42</v>
      </c>
      <c r="I145" s="17">
        <f>ROUND(VLOOKUP(H$139&amp;"_2",管理者用人口入力シート!BH:CE,J145,FALSE),0)</f>
        <v>49</v>
      </c>
      <c r="J145" s="2">
        <v>8</v>
      </c>
      <c r="N145" s="2" t="s">
        <v>4</v>
      </c>
      <c r="O145" s="17">
        <f>ROUND(VLOOKUP(O$139&amp;"_1",管理者用人口入力シート!CO:DL,Q145,FALSE),0)</f>
        <v>42</v>
      </c>
      <c r="P145" s="17">
        <f>ROUND(VLOOKUP(O$139&amp;"_2",管理者用人口入力シート!CO:DL,Q145,FALSE),0)</f>
        <v>50</v>
      </c>
      <c r="Q145" s="2">
        <v>8</v>
      </c>
    </row>
    <row r="146" spans="7:17" x14ac:dyDescent="0.15">
      <c r="G146" s="2" t="s">
        <v>5</v>
      </c>
      <c r="H146" s="17">
        <f>ROUND(VLOOKUP(H$139&amp;"_1",管理者用人口入力シート!BH:CE,J146,FALSE),0)</f>
        <v>50</v>
      </c>
      <c r="I146" s="17">
        <f>ROUND(VLOOKUP(H$139&amp;"_2",管理者用人口入力シート!BH:CE,J146,FALSE),0)</f>
        <v>54</v>
      </c>
      <c r="J146" s="2">
        <v>9</v>
      </c>
      <c r="N146" s="2" t="s">
        <v>5</v>
      </c>
      <c r="O146" s="17">
        <f>ROUND(VLOOKUP(O$139&amp;"_1",管理者用人口入力シート!CO:DL,Q146,FALSE),0)</f>
        <v>53</v>
      </c>
      <c r="P146" s="17">
        <f>ROUND(VLOOKUP(O$139&amp;"_2",管理者用人口入力シート!CO:DL,Q146,FALSE),0)</f>
        <v>57</v>
      </c>
      <c r="Q146" s="2">
        <v>9</v>
      </c>
    </row>
    <row r="147" spans="7:17" x14ac:dyDescent="0.15">
      <c r="G147" s="2" t="s">
        <v>6</v>
      </c>
      <c r="H147" s="17">
        <f>ROUND(VLOOKUP(H$139&amp;"_1",管理者用人口入力シート!BH:CE,J147,FALSE),0)</f>
        <v>58</v>
      </c>
      <c r="I147" s="17">
        <f>ROUND(VLOOKUP(H$139&amp;"_2",管理者用人口入力シート!BH:CE,J147,FALSE),0)</f>
        <v>54</v>
      </c>
      <c r="J147" s="2">
        <v>10</v>
      </c>
      <c r="N147" s="2" t="s">
        <v>6</v>
      </c>
      <c r="O147" s="17">
        <f>ROUND(VLOOKUP(O$139&amp;"_1",管理者用人口入力シート!CO:DL,Q147,FALSE),0)</f>
        <v>60</v>
      </c>
      <c r="P147" s="17">
        <f>ROUND(VLOOKUP(O$139&amp;"_2",管理者用人口入力シート!CO:DL,Q147,FALSE),0)</f>
        <v>56</v>
      </c>
      <c r="Q147" s="2">
        <v>10</v>
      </c>
    </row>
    <row r="148" spans="7:17" x14ac:dyDescent="0.15">
      <c r="G148" s="2" t="s">
        <v>7</v>
      </c>
      <c r="H148" s="17">
        <f>ROUND(VLOOKUP(H$139&amp;"_1",管理者用人口入力シート!BH:CE,J148,FALSE),0)</f>
        <v>78</v>
      </c>
      <c r="I148" s="17">
        <f>ROUND(VLOOKUP(H$139&amp;"_2",管理者用人口入力シート!BH:CE,J148,FALSE),0)</f>
        <v>66</v>
      </c>
      <c r="J148" s="2">
        <v>11</v>
      </c>
      <c r="N148" s="2" t="s">
        <v>7</v>
      </c>
      <c r="O148" s="17">
        <f>ROUND(VLOOKUP(O$139&amp;"_1",管理者用人口入力シート!CO:DL,Q148,FALSE),0)</f>
        <v>80</v>
      </c>
      <c r="P148" s="17">
        <f>ROUND(VLOOKUP(O$139&amp;"_2",管理者用人口入力シート!CO:DL,Q148,FALSE),0)</f>
        <v>68</v>
      </c>
      <c r="Q148" s="2">
        <v>11</v>
      </c>
    </row>
    <row r="149" spans="7:17" x14ac:dyDescent="0.15">
      <c r="G149" s="2" t="s">
        <v>8</v>
      </c>
      <c r="H149" s="17">
        <f>ROUND(VLOOKUP(H$139&amp;"_1",管理者用人口入力シート!BH:CE,J149,FALSE),0)</f>
        <v>81</v>
      </c>
      <c r="I149" s="17">
        <f>ROUND(VLOOKUP(H$139&amp;"_2",管理者用人口入力シート!BH:CE,J149,FALSE),0)</f>
        <v>79</v>
      </c>
      <c r="J149" s="2">
        <v>12</v>
      </c>
      <c r="N149" s="2" t="s">
        <v>8</v>
      </c>
      <c r="O149" s="17">
        <f>ROUND(VLOOKUP(O$139&amp;"_1",管理者用人口入力シート!CO:DL,Q149,FALSE),0)</f>
        <v>83</v>
      </c>
      <c r="P149" s="17">
        <f>ROUND(VLOOKUP(O$139&amp;"_2",管理者用人口入力シート!CO:DL,Q149,FALSE),0)</f>
        <v>82</v>
      </c>
      <c r="Q149" s="2">
        <v>12</v>
      </c>
    </row>
    <row r="150" spans="7:17" x14ac:dyDescent="0.15">
      <c r="G150" s="2" t="s">
        <v>9</v>
      </c>
      <c r="H150" s="17">
        <f>ROUND(VLOOKUP(H$139&amp;"_1",管理者用人口入力シート!BH:CE,J150,FALSE),0)</f>
        <v>75</v>
      </c>
      <c r="I150" s="17">
        <f>ROUND(VLOOKUP(H$139&amp;"_2",管理者用人口入力シート!BH:CE,J150,FALSE),0)</f>
        <v>80</v>
      </c>
      <c r="J150" s="2">
        <v>13</v>
      </c>
      <c r="N150" s="2" t="s">
        <v>9</v>
      </c>
      <c r="O150" s="17">
        <f>ROUND(VLOOKUP(O$139&amp;"_1",管理者用人口入力シート!CO:DL,Q150,FALSE),0)</f>
        <v>75</v>
      </c>
      <c r="P150" s="17">
        <f>ROUND(VLOOKUP(O$139&amp;"_2",管理者用人口入力シート!CO:DL,Q150,FALSE),0)</f>
        <v>81</v>
      </c>
      <c r="Q150" s="2">
        <v>13</v>
      </c>
    </row>
    <row r="151" spans="7:17" x14ac:dyDescent="0.15">
      <c r="G151" s="2" t="s">
        <v>10</v>
      </c>
      <c r="H151" s="17">
        <f>ROUND(VLOOKUP(H$139&amp;"_1",管理者用人口入力シート!BH:CE,J151,FALSE),0)</f>
        <v>117</v>
      </c>
      <c r="I151" s="17">
        <f>ROUND(VLOOKUP(H$139&amp;"_2",管理者用人口入力シート!BH:CE,J151,FALSE),0)</f>
        <v>98</v>
      </c>
      <c r="J151" s="2">
        <v>14</v>
      </c>
      <c r="N151" s="2" t="s">
        <v>10</v>
      </c>
      <c r="O151" s="17">
        <f>ROUND(VLOOKUP(O$139&amp;"_1",管理者用人口入力シート!CO:DL,Q151,FALSE),0)</f>
        <v>117</v>
      </c>
      <c r="P151" s="17">
        <f>ROUND(VLOOKUP(O$139&amp;"_2",管理者用人口入力シート!CO:DL,Q151,FALSE),0)</f>
        <v>98</v>
      </c>
      <c r="Q151" s="2">
        <v>14</v>
      </c>
    </row>
    <row r="152" spans="7:17" x14ac:dyDescent="0.15">
      <c r="G152" s="2" t="s">
        <v>11</v>
      </c>
      <c r="H152" s="17">
        <f>ROUND(VLOOKUP(H$139&amp;"_1",管理者用人口入力シート!BH:CE,J152,FALSE),0)</f>
        <v>147</v>
      </c>
      <c r="I152" s="17">
        <f>ROUND(VLOOKUP(H$139&amp;"_2",管理者用人口入力シート!BH:CE,J152,FALSE),0)</f>
        <v>132</v>
      </c>
      <c r="J152" s="2">
        <v>15</v>
      </c>
      <c r="N152" s="2" t="s">
        <v>11</v>
      </c>
      <c r="O152" s="17">
        <f>ROUND(VLOOKUP(O$139&amp;"_1",管理者用人口入力シート!CO:DL,Q152,FALSE),0)</f>
        <v>147</v>
      </c>
      <c r="P152" s="17">
        <f>ROUND(VLOOKUP(O$139&amp;"_2",管理者用人口入力シート!CO:DL,Q152,FALSE),0)</f>
        <v>133</v>
      </c>
      <c r="Q152" s="2">
        <v>15</v>
      </c>
    </row>
    <row r="153" spans="7:17" x14ac:dyDescent="0.15">
      <c r="G153" s="2" t="s">
        <v>12</v>
      </c>
      <c r="H153" s="17">
        <f>ROUND(VLOOKUP(H$139&amp;"_1",管理者用人口入力シート!BH:CE,J153,FALSE),0)</f>
        <v>161</v>
      </c>
      <c r="I153" s="17">
        <f>ROUND(VLOOKUP(H$139&amp;"_2",管理者用人口入力シート!BH:CE,J153,FALSE),0)</f>
        <v>190</v>
      </c>
      <c r="J153" s="2">
        <v>16</v>
      </c>
      <c r="N153" s="2" t="s">
        <v>12</v>
      </c>
      <c r="O153" s="17">
        <f>ROUND(VLOOKUP(O$139&amp;"_1",管理者用人口入力シート!CO:DL,Q153,FALSE),0)</f>
        <v>161</v>
      </c>
      <c r="P153" s="17">
        <f>ROUND(VLOOKUP(O$139&amp;"_2",管理者用人口入力シート!CO:DL,Q153,FALSE),0)</f>
        <v>190</v>
      </c>
      <c r="Q153" s="2">
        <v>16</v>
      </c>
    </row>
    <row r="154" spans="7:17" x14ac:dyDescent="0.15">
      <c r="G154" s="2" t="s">
        <v>13</v>
      </c>
      <c r="H154" s="17">
        <f>ROUND(VLOOKUP(H$139&amp;"_1",管理者用人口入力シート!BH:CE,J154,FALSE),0)</f>
        <v>197</v>
      </c>
      <c r="I154" s="17">
        <f>ROUND(VLOOKUP(H$139&amp;"_2",管理者用人口入力シート!BH:CE,J154,FALSE),0)</f>
        <v>164</v>
      </c>
      <c r="J154" s="2">
        <v>17</v>
      </c>
      <c r="N154" s="2" t="s">
        <v>13</v>
      </c>
      <c r="O154" s="17">
        <f>ROUND(VLOOKUP(O$139&amp;"_1",管理者用人口入力シート!CO:DL,Q154,FALSE),0)</f>
        <v>197</v>
      </c>
      <c r="P154" s="17">
        <f>ROUND(VLOOKUP(O$139&amp;"_2",管理者用人口入力シート!CO:DL,Q154,FALSE),0)</f>
        <v>164</v>
      </c>
      <c r="Q154" s="2">
        <v>17</v>
      </c>
    </row>
    <row r="155" spans="7:17" x14ac:dyDescent="0.15">
      <c r="G155" s="2" t="s">
        <v>14</v>
      </c>
      <c r="H155" s="17">
        <f>ROUND(VLOOKUP(H$139&amp;"_1",管理者用人口入力シート!BH:CE,J155,FALSE),0)</f>
        <v>138</v>
      </c>
      <c r="I155" s="17">
        <f>ROUND(VLOOKUP(H$139&amp;"_2",管理者用人口入力シート!BH:CE,J155,FALSE),0)</f>
        <v>175</v>
      </c>
      <c r="J155" s="2">
        <v>18</v>
      </c>
      <c r="N155" s="2" t="s">
        <v>14</v>
      </c>
      <c r="O155" s="17">
        <f>ROUND(VLOOKUP(O$139&amp;"_1",管理者用人口入力シート!CO:DL,Q155,FALSE),0)</f>
        <v>138</v>
      </c>
      <c r="P155" s="17">
        <f>ROUND(VLOOKUP(O$139&amp;"_2",管理者用人口入力シート!CO:DL,Q155,FALSE),0)</f>
        <v>175</v>
      </c>
      <c r="Q155" s="2">
        <v>18</v>
      </c>
    </row>
    <row r="156" spans="7:17" x14ac:dyDescent="0.15">
      <c r="G156" s="2" t="s">
        <v>15</v>
      </c>
      <c r="H156" s="17">
        <f>ROUND(VLOOKUP(H$139&amp;"_1",管理者用人口入力シート!BH:CE,J156,FALSE),0)</f>
        <v>139</v>
      </c>
      <c r="I156" s="17">
        <f>ROUND(VLOOKUP(H$139&amp;"_2",管理者用人口入力シート!BH:CE,J156,FALSE),0)</f>
        <v>192</v>
      </c>
      <c r="J156" s="2">
        <v>19</v>
      </c>
      <c r="N156" s="2" t="s">
        <v>15</v>
      </c>
      <c r="O156" s="17">
        <f>ROUND(VLOOKUP(O$139&amp;"_1",管理者用人口入力シート!CO:DL,Q156,FALSE),0)</f>
        <v>139</v>
      </c>
      <c r="P156" s="17">
        <f>ROUND(VLOOKUP(O$139&amp;"_2",管理者用人口入力シート!CO:DL,Q156,FALSE),0)</f>
        <v>192</v>
      </c>
      <c r="Q156" s="2">
        <v>19</v>
      </c>
    </row>
    <row r="157" spans="7:17" x14ac:dyDescent="0.15">
      <c r="G157" s="2" t="s">
        <v>16</v>
      </c>
      <c r="H157" s="17">
        <f>ROUND(VLOOKUP(H$139&amp;"_1",管理者用人口入力シート!BH:CE,J157,FALSE),0)</f>
        <v>156</v>
      </c>
      <c r="I157" s="17">
        <f>ROUND(VLOOKUP(H$139&amp;"_2",管理者用人口入力シート!BH:CE,J157,FALSE),0)</f>
        <v>227</v>
      </c>
      <c r="J157" s="2">
        <v>20</v>
      </c>
      <c r="N157" s="2" t="s">
        <v>16</v>
      </c>
      <c r="O157" s="17">
        <f>ROUND(VLOOKUP(O$139&amp;"_1",管理者用人口入力シート!CO:DL,Q157,FALSE),0)</f>
        <v>156</v>
      </c>
      <c r="P157" s="17">
        <f>ROUND(VLOOKUP(O$139&amp;"_2",管理者用人口入力シート!CO:DL,Q157,FALSE),0)</f>
        <v>227</v>
      </c>
      <c r="Q157" s="2">
        <v>20</v>
      </c>
    </row>
    <row r="158" spans="7:17" x14ac:dyDescent="0.15">
      <c r="G158" s="2" t="s">
        <v>17</v>
      </c>
      <c r="H158" s="17">
        <f>ROUND(VLOOKUP(H$139&amp;"_1",管理者用人口入力シート!BH:CE,J158,FALSE),0)</f>
        <v>127</v>
      </c>
      <c r="I158" s="17">
        <f>ROUND(VLOOKUP(H$139&amp;"_2",管理者用人口入力シート!BH:CE,J158,FALSE),0)</f>
        <v>183</v>
      </c>
      <c r="J158" s="2">
        <v>21</v>
      </c>
      <c r="N158" s="2" t="s">
        <v>17</v>
      </c>
      <c r="O158" s="17">
        <f>ROUND(VLOOKUP(O$139&amp;"_1",管理者用人口入力シート!CO:DL,Q158,FALSE),0)</f>
        <v>127</v>
      </c>
      <c r="P158" s="17">
        <f>ROUND(VLOOKUP(O$139&amp;"_2",管理者用人口入力シート!CO:DL,Q158,FALSE),0)</f>
        <v>183</v>
      </c>
      <c r="Q158" s="2">
        <v>21</v>
      </c>
    </row>
    <row r="159" spans="7:17" x14ac:dyDescent="0.15">
      <c r="G159" s="2" t="s">
        <v>18</v>
      </c>
      <c r="H159" s="17">
        <f>ROUND(VLOOKUP(H$139&amp;"_1",管理者用人口入力シート!BH:CE,J159,FALSE),0)</f>
        <v>43</v>
      </c>
      <c r="I159" s="17">
        <f>ROUND(VLOOKUP(H$139&amp;"_2",管理者用人口入力シート!BH:CE,J159,FALSE),0)</f>
        <v>95</v>
      </c>
      <c r="J159" s="2">
        <v>22</v>
      </c>
      <c r="N159" s="2" t="s">
        <v>18</v>
      </c>
      <c r="O159" s="17">
        <f>ROUND(VLOOKUP(O$139&amp;"_1",管理者用人口入力シート!CO:DL,Q159,FALSE),0)</f>
        <v>43</v>
      </c>
      <c r="P159" s="17">
        <f>ROUND(VLOOKUP(O$139&amp;"_2",管理者用人口入力シート!CO:DL,Q159,FALSE),0)</f>
        <v>95</v>
      </c>
      <c r="Q159" s="2">
        <v>22</v>
      </c>
    </row>
    <row r="160" spans="7:17" x14ac:dyDescent="0.15">
      <c r="G160" s="2" t="s">
        <v>19</v>
      </c>
      <c r="H160" s="17">
        <f>ROUND(VLOOKUP(H$139&amp;"_1",管理者用人口入力シート!BH:CE,J160,FALSE),0)</f>
        <v>7</v>
      </c>
      <c r="I160" s="17">
        <f>ROUND(VLOOKUP(H$139&amp;"_2",管理者用人口入力シート!BH:CE,J160,FALSE),0)</f>
        <v>26</v>
      </c>
      <c r="J160" s="2">
        <v>23</v>
      </c>
      <c r="N160" s="2" t="s">
        <v>19</v>
      </c>
      <c r="O160" s="17">
        <f>ROUND(VLOOKUP(O$139&amp;"_1",管理者用人口入力シート!CO:DL,Q160,FALSE),0)</f>
        <v>7</v>
      </c>
      <c r="P160" s="17">
        <f>ROUND(VLOOKUP(O$139&amp;"_2",管理者用人口入力シート!CO:DL,Q160,FALSE),0)</f>
        <v>26</v>
      </c>
      <c r="Q160" s="2">
        <v>23</v>
      </c>
    </row>
    <row r="161" spans="7:17" x14ac:dyDescent="0.15">
      <c r="G161" s="2" t="s">
        <v>20</v>
      </c>
      <c r="H161" s="17">
        <f>ROUND(VLOOKUP(H$139&amp;"_1",管理者用人口入力シート!BH:CE,J161,FALSE),0)</f>
        <v>0</v>
      </c>
      <c r="I161" s="17">
        <f>ROUND(VLOOKUP(H$139&amp;"_2",管理者用人口入力シート!BH:CE,J161,FALSE),0)</f>
        <v>8</v>
      </c>
      <c r="J161" s="2">
        <v>24</v>
      </c>
      <c r="N161" s="2" t="s">
        <v>20</v>
      </c>
      <c r="O161" s="17">
        <f>ROUND(VLOOKUP(O$139&amp;"_1",管理者用人口入力シート!CO:DL,Q161,FALSE),0)</f>
        <v>0</v>
      </c>
      <c r="P161" s="17">
        <f>ROUND(VLOOKUP(O$139&amp;"_2",管理者用人口入力シート!CO:DL,Q161,FALSE),0)</f>
        <v>8</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42</v>
      </c>
      <c r="I165" s="17">
        <f>ROUND(VLOOKUP(H$163&amp;"_2",管理者用人口入力シート!BH:CE,J165,FALSE),0)</f>
        <v>45</v>
      </c>
      <c r="J165" s="2">
        <v>4</v>
      </c>
      <c r="N165" s="2" t="s">
        <v>0</v>
      </c>
      <c r="O165" s="17">
        <f>ROUND(VLOOKUP(O$163&amp;"_1",管理者用人口入力シート!CO:DL,Q165,FALSE),0)</f>
        <v>44</v>
      </c>
      <c r="P165" s="17">
        <f>ROUND(VLOOKUP(O$163&amp;"_2",管理者用人口入力シート!CO:DL,Q165,FALSE),0)</f>
        <v>48</v>
      </c>
      <c r="Q165" s="2">
        <v>4</v>
      </c>
    </row>
    <row r="166" spans="7:17" x14ac:dyDescent="0.15">
      <c r="G166" s="2" t="s">
        <v>1</v>
      </c>
      <c r="H166" s="17">
        <f>ROUND(VLOOKUP(H$163&amp;"_1",管理者用人口入力シート!BH:CE,J166,FALSE),0)</f>
        <v>53</v>
      </c>
      <c r="I166" s="17">
        <f>ROUND(VLOOKUP(H$163&amp;"_2",管理者用人口入力シート!BH:CE,J166,FALSE),0)</f>
        <v>54</v>
      </c>
      <c r="J166" s="2">
        <v>5</v>
      </c>
      <c r="N166" s="2" t="s">
        <v>1</v>
      </c>
      <c r="O166" s="17">
        <f>ROUND(VLOOKUP(O$163&amp;"_1",管理者用人口入力シート!CO:DL,Q166,FALSE),0)</f>
        <v>56</v>
      </c>
      <c r="P166" s="17">
        <f>ROUND(VLOOKUP(O$163&amp;"_2",管理者用人口入力シート!CO:DL,Q166,FALSE),0)</f>
        <v>57</v>
      </c>
      <c r="Q166" s="2">
        <v>5</v>
      </c>
    </row>
    <row r="167" spans="7:17" x14ac:dyDescent="0.15">
      <c r="G167" s="2" t="s">
        <v>2</v>
      </c>
      <c r="H167" s="17">
        <f>ROUND(VLOOKUP(H$163&amp;"_1",管理者用人口入力シート!BH:CE,J167,FALSE),0)</f>
        <v>65</v>
      </c>
      <c r="I167" s="17">
        <f>ROUND(VLOOKUP(H$163&amp;"_2",管理者用人口入力シート!BH:CE,J167,FALSE),0)</f>
        <v>65</v>
      </c>
      <c r="J167" s="2">
        <v>6</v>
      </c>
      <c r="N167" s="2" t="s">
        <v>2</v>
      </c>
      <c r="O167" s="17">
        <f>ROUND(VLOOKUP(O$163&amp;"_1",管理者用人口入力シート!CO:DL,Q167,FALSE),0)</f>
        <v>68</v>
      </c>
      <c r="P167" s="17">
        <f>ROUND(VLOOKUP(O$163&amp;"_2",管理者用人口入力シート!CO:DL,Q167,FALSE),0)</f>
        <v>68</v>
      </c>
      <c r="Q167" s="2">
        <v>6</v>
      </c>
    </row>
    <row r="168" spans="7:17" x14ac:dyDescent="0.15">
      <c r="G168" s="2" t="s">
        <v>3</v>
      </c>
      <c r="H168" s="17">
        <f>ROUND(VLOOKUP(H$163&amp;"_1",管理者用人口入力シート!BH:CE,J168,FALSE),0)</f>
        <v>57</v>
      </c>
      <c r="I168" s="17">
        <f>ROUND(VLOOKUP(H$163&amp;"_2",管理者用人口入力シート!BH:CE,J168,FALSE),0)</f>
        <v>62</v>
      </c>
      <c r="J168" s="2">
        <v>7</v>
      </c>
      <c r="N168" s="2" t="s">
        <v>3</v>
      </c>
      <c r="O168" s="17">
        <f>ROUND(VLOOKUP(O$163&amp;"_1",管理者用人口入力シート!CO:DL,Q168,FALSE),0)</f>
        <v>59</v>
      </c>
      <c r="P168" s="17">
        <f>ROUND(VLOOKUP(O$163&amp;"_2",管理者用人口入力シート!CO:DL,Q168,FALSE),0)</f>
        <v>65</v>
      </c>
      <c r="Q168" s="2">
        <v>7</v>
      </c>
    </row>
    <row r="169" spans="7:17" x14ac:dyDescent="0.15">
      <c r="G169" s="2" t="s">
        <v>4</v>
      </c>
      <c r="H169" s="17">
        <f>ROUND(VLOOKUP(H$163&amp;"_1",管理者用人口入力シート!BH:CE,J169,FALSE),0)</f>
        <v>34</v>
      </c>
      <c r="I169" s="17">
        <f>ROUND(VLOOKUP(H$163&amp;"_2",管理者用人口入力シート!BH:CE,J169,FALSE),0)</f>
        <v>40</v>
      </c>
      <c r="J169" s="2">
        <v>8</v>
      </c>
      <c r="N169" s="2" t="s">
        <v>4</v>
      </c>
      <c r="O169" s="17">
        <f>ROUND(VLOOKUP(O$163&amp;"_1",管理者用人口入力シート!CO:DL,Q169,FALSE),0)</f>
        <v>35</v>
      </c>
      <c r="P169" s="17">
        <f>ROUND(VLOOKUP(O$163&amp;"_2",管理者用人口入力シート!CO:DL,Q169,FALSE),0)</f>
        <v>41</v>
      </c>
      <c r="Q169" s="2">
        <v>8</v>
      </c>
    </row>
    <row r="170" spans="7:17" x14ac:dyDescent="0.15">
      <c r="G170" s="2" t="s">
        <v>5</v>
      </c>
      <c r="H170" s="17">
        <f>ROUND(VLOOKUP(H$163&amp;"_1",管理者用人口入力シート!BH:CE,J170,FALSE),0)</f>
        <v>40</v>
      </c>
      <c r="I170" s="17">
        <f>ROUND(VLOOKUP(H$163&amp;"_2",管理者用人口入力シート!BH:CE,J170,FALSE),0)</f>
        <v>43</v>
      </c>
      <c r="J170" s="2">
        <v>9</v>
      </c>
      <c r="N170" s="2" t="s">
        <v>5</v>
      </c>
      <c r="O170" s="17">
        <f>ROUND(VLOOKUP(O$163&amp;"_1",管理者用人口入力シート!CO:DL,Q170,FALSE),0)</f>
        <v>43</v>
      </c>
      <c r="P170" s="17">
        <f>ROUND(VLOOKUP(O$163&amp;"_2",管理者用人口入力シート!CO:DL,Q170,FALSE),0)</f>
        <v>45</v>
      </c>
      <c r="Q170" s="2">
        <v>9</v>
      </c>
    </row>
    <row r="171" spans="7:17" x14ac:dyDescent="0.15">
      <c r="G171" s="2" t="s">
        <v>6</v>
      </c>
      <c r="H171" s="17">
        <f>ROUND(VLOOKUP(H$163&amp;"_1",管理者用人口入力シート!BH:CE,J171,FALSE),0)</f>
        <v>49</v>
      </c>
      <c r="I171" s="17">
        <f>ROUND(VLOOKUP(H$163&amp;"_2",管理者用人口入力シート!BH:CE,J171,FALSE),0)</f>
        <v>53</v>
      </c>
      <c r="J171" s="2">
        <v>10</v>
      </c>
      <c r="N171" s="2" t="s">
        <v>6</v>
      </c>
      <c r="O171" s="17">
        <f>ROUND(VLOOKUP(O$163&amp;"_1",管理者用人口入力シート!CO:DL,Q171,FALSE),0)</f>
        <v>51</v>
      </c>
      <c r="P171" s="17">
        <f>ROUND(VLOOKUP(O$163&amp;"_2",管理者用人口入力シート!CO:DL,Q171,FALSE),0)</f>
        <v>56</v>
      </c>
      <c r="Q171" s="2">
        <v>10</v>
      </c>
    </row>
    <row r="172" spans="7:17" x14ac:dyDescent="0.15">
      <c r="G172" s="2" t="s">
        <v>7</v>
      </c>
      <c r="H172" s="17">
        <f>ROUND(VLOOKUP(H$163&amp;"_1",管理者用人口入力シート!BH:CE,J172,FALSE),0)</f>
        <v>59</v>
      </c>
      <c r="I172" s="17">
        <f>ROUND(VLOOKUP(H$163&amp;"_2",管理者用人口入力シート!BH:CE,J172,FALSE),0)</f>
        <v>55</v>
      </c>
      <c r="J172" s="2">
        <v>11</v>
      </c>
      <c r="N172" s="2" t="s">
        <v>7</v>
      </c>
      <c r="O172" s="17">
        <f>ROUND(VLOOKUP(O$163&amp;"_1",管理者用人口入力シート!CO:DL,Q172,FALSE),0)</f>
        <v>61</v>
      </c>
      <c r="P172" s="17">
        <f>ROUND(VLOOKUP(O$163&amp;"_2",管理者用人口入力シート!CO:DL,Q172,FALSE),0)</f>
        <v>57</v>
      </c>
      <c r="Q172" s="2">
        <v>11</v>
      </c>
    </row>
    <row r="173" spans="7:17" x14ac:dyDescent="0.15">
      <c r="G173" s="2" t="s">
        <v>8</v>
      </c>
      <c r="H173" s="17">
        <f>ROUND(VLOOKUP(H$163&amp;"_1",管理者用人口入力シート!BH:CE,J173,FALSE),0)</f>
        <v>76</v>
      </c>
      <c r="I173" s="17">
        <f>ROUND(VLOOKUP(H$163&amp;"_2",管理者用人口入力シート!BH:CE,J173,FALSE),0)</f>
        <v>64</v>
      </c>
      <c r="J173" s="2">
        <v>12</v>
      </c>
      <c r="N173" s="2" t="s">
        <v>8</v>
      </c>
      <c r="O173" s="17">
        <f>ROUND(VLOOKUP(O$163&amp;"_1",管理者用人口入力シート!CO:DL,Q173,FALSE),0)</f>
        <v>78</v>
      </c>
      <c r="P173" s="17">
        <f>ROUND(VLOOKUP(O$163&amp;"_2",管理者用人口入力シート!CO:DL,Q173,FALSE),0)</f>
        <v>67</v>
      </c>
      <c r="Q173" s="2">
        <v>12</v>
      </c>
    </row>
    <row r="174" spans="7:17" x14ac:dyDescent="0.15">
      <c r="G174" s="2" t="s">
        <v>9</v>
      </c>
      <c r="H174" s="17">
        <f>ROUND(VLOOKUP(H$163&amp;"_1",管理者用人口入力シート!BH:CE,J174,FALSE),0)</f>
        <v>79</v>
      </c>
      <c r="I174" s="17">
        <f>ROUND(VLOOKUP(H$163&amp;"_2",管理者用人口入力シート!BH:CE,J174,FALSE),0)</f>
        <v>76</v>
      </c>
      <c r="J174" s="2">
        <v>13</v>
      </c>
      <c r="N174" s="2" t="s">
        <v>9</v>
      </c>
      <c r="O174" s="17">
        <f>ROUND(VLOOKUP(O$163&amp;"_1",管理者用人口入力シート!CO:DL,Q174,FALSE),0)</f>
        <v>81</v>
      </c>
      <c r="P174" s="17">
        <f>ROUND(VLOOKUP(O$163&amp;"_2",管理者用人口入力シート!CO:DL,Q174,FALSE),0)</f>
        <v>79</v>
      </c>
      <c r="Q174" s="2">
        <v>13</v>
      </c>
    </row>
    <row r="175" spans="7:17" x14ac:dyDescent="0.15">
      <c r="G175" s="2" t="s">
        <v>10</v>
      </c>
      <c r="H175" s="17">
        <f>ROUND(VLOOKUP(H$163&amp;"_1",管理者用人口入力シート!BH:CE,J175,FALSE),0)</f>
        <v>73</v>
      </c>
      <c r="I175" s="17">
        <f>ROUND(VLOOKUP(H$163&amp;"_2",管理者用人口入力シート!BH:CE,J175,FALSE),0)</f>
        <v>81</v>
      </c>
      <c r="J175" s="2">
        <v>14</v>
      </c>
      <c r="N175" s="2" t="s">
        <v>10</v>
      </c>
      <c r="O175" s="17">
        <f>ROUND(VLOOKUP(O$163&amp;"_1",管理者用人口入力シート!CO:DL,Q175,FALSE),0)</f>
        <v>73</v>
      </c>
      <c r="P175" s="17">
        <f>ROUND(VLOOKUP(O$163&amp;"_2",管理者用人口入力シート!CO:DL,Q175,FALSE),0)</f>
        <v>82</v>
      </c>
      <c r="Q175" s="2">
        <v>14</v>
      </c>
    </row>
    <row r="176" spans="7:17" x14ac:dyDescent="0.15">
      <c r="G176" s="2" t="s">
        <v>11</v>
      </c>
      <c r="H176" s="17">
        <f>ROUND(VLOOKUP(H$163&amp;"_1",管理者用人口入力シート!BH:CE,J176,FALSE),0)</f>
        <v>120</v>
      </c>
      <c r="I176" s="17">
        <f>ROUND(VLOOKUP(H$163&amp;"_2",管理者用人口入力シート!BH:CE,J176,FALSE),0)</f>
        <v>95</v>
      </c>
      <c r="J176" s="2">
        <v>15</v>
      </c>
      <c r="N176" s="2" t="s">
        <v>11</v>
      </c>
      <c r="O176" s="17">
        <f>ROUND(VLOOKUP(O$163&amp;"_1",管理者用人口入力シート!CO:DL,Q176,FALSE),0)</f>
        <v>120</v>
      </c>
      <c r="P176" s="17">
        <f>ROUND(VLOOKUP(O$163&amp;"_2",管理者用人口入力シート!CO:DL,Q176,FALSE),0)</f>
        <v>96</v>
      </c>
      <c r="Q176" s="2">
        <v>15</v>
      </c>
    </row>
    <row r="177" spans="7:17" x14ac:dyDescent="0.15">
      <c r="G177" s="2" t="s">
        <v>12</v>
      </c>
      <c r="H177" s="17">
        <f>ROUND(VLOOKUP(H$163&amp;"_1",管理者用人口入力シート!BH:CE,J177,FALSE),0)</f>
        <v>144</v>
      </c>
      <c r="I177" s="17">
        <f>ROUND(VLOOKUP(H$163&amp;"_2",管理者用人口入力シート!BH:CE,J177,FALSE),0)</f>
        <v>133</v>
      </c>
      <c r="J177" s="2">
        <v>16</v>
      </c>
      <c r="N177" s="2" t="s">
        <v>12</v>
      </c>
      <c r="O177" s="17">
        <f>ROUND(VLOOKUP(O$163&amp;"_1",管理者用人口入力シート!CO:DL,Q177,FALSE),0)</f>
        <v>144</v>
      </c>
      <c r="P177" s="17">
        <f>ROUND(VLOOKUP(O$163&amp;"_2",管理者用人口入力シート!CO:DL,Q177,FALSE),0)</f>
        <v>134</v>
      </c>
      <c r="Q177" s="2">
        <v>16</v>
      </c>
    </row>
    <row r="178" spans="7:17" x14ac:dyDescent="0.15">
      <c r="G178" s="2" t="s">
        <v>13</v>
      </c>
      <c r="H178" s="17">
        <f>ROUND(VLOOKUP(H$163&amp;"_1",管理者用人口入力シート!BH:CE,J178,FALSE),0)</f>
        <v>156</v>
      </c>
      <c r="I178" s="17">
        <f>ROUND(VLOOKUP(H$163&amp;"_2",管理者用人口入力シート!BH:CE,J178,FALSE),0)</f>
        <v>189</v>
      </c>
      <c r="J178" s="2">
        <v>17</v>
      </c>
      <c r="N178" s="2" t="s">
        <v>13</v>
      </c>
      <c r="O178" s="17">
        <f>ROUND(VLOOKUP(O$163&amp;"_1",管理者用人口入力シート!CO:DL,Q178,FALSE),0)</f>
        <v>156</v>
      </c>
      <c r="P178" s="17">
        <f>ROUND(VLOOKUP(O$163&amp;"_2",管理者用人口入力シート!CO:DL,Q178,FALSE),0)</f>
        <v>189</v>
      </c>
      <c r="Q178" s="2">
        <v>17</v>
      </c>
    </row>
    <row r="179" spans="7:17" x14ac:dyDescent="0.15">
      <c r="G179" s="2" t="s">
        <v>14</v>
      </c>
      <c r="H179" s="17">
        <f>ROUND(VLOOKUP(H$163&amp;"_1",管理者用人口入力シート!BH:CE,J179,FALSE),0)</f>
        <v>179</v>
      </c>
      <c r="I179" s="17">
        <f>ROUND(VLOOKUP(H$163&amp;"_2",管理者用人口入力シート!BH:CE,J179,FALSE),0)</f>
        <v>161</v>
      </c>
      <c r="J179" s="2">
        <v>18</v>
      </c>
      <c r="N179" s="2" t="s">
        <v>14</v>
      </c>
      <c r="O179" s="17">
        <f>ROUND(VLOOKUP(O$163&amp;"_1",管理者用人口入力シート!CO:DL,Q179,FALSE),0)</f>
        <v>179</v>
      </c>
      <c r="P179" s="17">
        <f>ROUND(VLOOKUP(O$163&amp;"_2",管理者用人口入力シート!CO:DL,Q179,FALSE),0)</f>
        <v>161</v>
      </c>
      <c r="Q179" s="2">
        <v>18</v>
      </c>
    </row>
    <row r="180" spans="7:17" x14ac:dyDescent="0.15">
      <c r="G180" s="2" t="s">
        <v>15</v>
      </c>
      <c r="H180" s="17">
        <f>ROUND(VLOOKUP(H$163&amp;"_1",管理者用人口入力シート!BH:CE,J180,FALSE),0)</f>
        <v>119</v>
      </c>
      <c r="I180" s="17">
        <f>ROUND(VLOOKUP(H$163&amp;"_2",管理者用人口入力シート!BH:CE,J180,FALSE),0)</f>
        <v>167</v>
      </c>
      <c r="J180" s="2">
        <v>19</v>
      </c>
      <c r="N180" s="2" t="s">
        <v>15</v>
      </c>
      <c r="O180" s="17">
        <f>ROUND(VLOOKUP(O$163&amp;"_1",管理者用人口入力シート!CO:DL,Q180,FALSE),0)</f>
        <v>119</v>
      </c>
      <c r="P180" s="17">
        <f>ROUND(VLOOKUP(O$163&amp;"_2",管理者用人口入力シート!CO:DL,Q180,FALSE),0)</f>
        <v>167</v>
      </c>
      <c r="Q180" s="2">
        <v>19</v>
      </c>
    </row>
    <row r="181" spans="7:17" x14ac:dyDescent="0.15">
      <c r="G181" s="2" t="s">
        <v>16</v>
      </c>
      <c r="H181" s="17">
        <f>ROUND(VLOOKUP(H$163&amp;"_1",管理者用人口入力シート!BH:CE,J181,FALSE),0)</f>
        <v>103</v>
      </c>
      <c r="I181" s="17">
        <f>ROUND(VLOOKUP(H$163&amp;"_2",管理者用人口入力シート!BH:CE,J181,FALSE),0)</f>
        <v>161</v>
      </c>
      <c r="J181" s="2">
        <v>20</v>
      </c>
      <c r="N181" s="2" t="s">
        <v>16</v>
      </c>
      <c r="O181" s="17">
        <f>ROUND(VLOOKUP(O$163&amp;"_1",管理者用人口入力シート!CO:DL,Q181,FALSE),0)</f>
        <v>103</v>
      </c>
      <c r="P181" s="17">
        <f>ROUND(VLOOKUP(O$163&amp;"_2",管理者用人口入力シート!CO:DL,Q181,FALSE),0)</f>
        <v>161</v>
      </c>
      <c r="Q181" s="2">
        <v>20</v>
      </c>
    </row>
    <row r="182" spans="7:17" x14ac:dyDescent="0.15">
      <c r="G182" s="2" t="s">
        <v>17</v>
      </c>
      <c r="H182" s="17">
        <f>ROUND(VLOOKUP(H$163&amp;"_1",管理者用人口入力シート!BH:CE,J182,FALSE),0)</f>
        <v>102</v>
      </c>
      <c r="I182" s="17">
        <f>ROUND(VLOOKUP(H$163&amp;"_2",管理者用人口入力シート!BH:CE,J182,FALSE),0)</f>
        <v>164</v>
      </c>
      <c r="J182" s="2">
        <v>21</v>
      </c>
      <c r="N182" s="2" t="s">
        <v>17</v>
      </c>
      <c r="O182" s="17">
        <f>ROUND(VLOOKUP(O$163&amp;"_1",管理者用人口入力シート!CO:DL,Q182,FALSE),0)</f>
        <v>102</v>
      </c>
      <c r="P182" s="17">
        <f>ROUND(VLOOKUP(O$163&amp;"_2",管理者用人口入力シート!CO:DL,Q182,FALSE),0)</f>
        <v>164</v>
      </c>
      <c r="Q182" s="2">
        <v>21</v>
      </c>
    </row>
    <row r="183" spans="7:17" x14ac:dyDescent="0.15">
      <c r="G183" s="2" t="s">
        <v>18</v>
      </c>
      <c r="H183" s="17">
        <f>ROUND(VLOOKUP(H$163&amp;"_1",管理者用人口入力シート!BH:CE,J183,FALSE),0)</f>
        <v>49</v>
      </c>
      <c r="I183" s="17">
        <f>ROUND(VLOOKUP(H$163&amp;"_2",管理者用人口入力シート!BH:CE,J183,FALSE),0)</f>
        <v>98</v>
      </c>
      <c r="J183" s="2">
        <v>22</v>
      </c>
      <c r="N183" s="2" t="s">
        <v>18</v>
      </c>
      <c r="O183" s="17">
        <f>ROUND(VLOOKUP(O$163&amp;"_1",管理者用人口入力シート!CO:DL,Q183,FALSE),0)</f>
        <v>49</v>
      </c>
      <c r="P183" s="17">
        <f>ROUND(VLOOKUP(O$163&amp;"_2",管理者用人口入力シート!CO:DL,Q183,FALSE),0)</f>
        <v>98</v>
      </c>
      <c r="Q183" s="2">
        <v>22</v>
      </c>
    </row>
    <row r="184" spans="7:17" x14ac:dyDescent="0.15">
      <c r="G184" s="2" t="s">
        <v>19</v>
      </c>
      <c r="H184" s="17">
        <f>ROUND(VLOOKUP(H$163&amp;"_1",管理者用人口入力シート!BH:CE,J184,FALSE),0)</f>
        <v>9</v>
      </c>
      <c r="I184" s="17">
        <f>ROUND(VLOOKUP(H$163&amp;"_2",管理者用人口入力シート!BH:CE,J184,FALSE),0)</f>
        <v>34</v>
      </c>
      <c r="J184" s="2">
        <v>23</v>
      </c>
      <c r="N184" s="2" t="s">
        <v>19</v>
      </c>
      <c r="O184" s="17">
        <f>ROUND(VLOOKUP(O$163&amp;"_1",管理者用人口入力シート!CO:DL,Q184,FALSE),0)</f>
        <v>9</v>
      </c>
      <c r="P184" s="17">
        <f>ROUND(VLOOKUP(O$163&amp;"_2",管理者用人口入力シート!CO:DL,Q184,FALSE),0)</f>
        <v>34</v>
      </c>
      <c r="Q184" s="2">
        <v>23</v>
      </c>
    </row>
    <row r="185" spans="7:17" x14ac:dyDescent="0.15">
      <c r="G185" s="2" t="s">
        <v>20</v>
      </c>
      <c r="H185" s="17">
        <f>ROUND(VLOOKUP(H$163&amp;"_1",管理者用人口入力シート!BH:CE,J185,FALSE),0)</f>
        <v>0</v>
      </c>
      <c r="I185" s="17">
        <f>ROUND(VLOOKUP(H$163&amp;"_2",管理者用人口入力シート!BH:CE,J185,FALSE),0)</f>
        <v>6</v>
      </c>
      <c r="J185" s="2">
        <v>24</v>
      </c>
      <c r="N185" s="2" t="s">
        <v>20</v>
      </c>
      <c r="O185" s="17">
        <f>ROUND(VLOOKUP(O$163&amp;"_1",管理者用人口入力シート!CO:DL,Q185,FALSE),0)</f>
        <v>0</v>
      </c>
      <c r="P185" s="17">
        <f>ROUND(VLOOKUP(O$163&amp;"_2",管理者用人口入力シート!CO:DL,Q185,FALSE),0)</f>
        <v>6</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36</v>
      </c>
      <c r="I189" s="17">
        <f>ROUND(VLOOKUP(H$187&amp;"_2",管理者用人口入力シート!BH:CE,J189,FALSE),0)</f>
        <v>39</v>
      </c>
      <c r="J189" s="2">
        <v>4</v>
      </c>
      <c r="N189" s="2" t="s">
        <v>0</v>
      </c>
      <c r="O189" s="17">
        <f>ROUND(VLOOKUP(O$187&amp;"_1",管理者用人口入力シート!CO:DL,Q189,FALSE),0)</f>
        <v>39</v>
      </c>
      <c r="P189" s="17">
        <f>ROUND(VLOOKUP(O$187&amp;"_2",管理者用人口入力シート!CO:DL,Q189,FALSE),0)</f>
        <v>42</v>
      </c>
      <c r="Q189" s="2">
        <v>4</v>
      </c>
    </row>
    <row r="190" spans="7:17" x14ac:dyDescent="0.15">
      <c r="G190" s="2" t="s">
        <v>1</v>
      </c>
      <c r="H190" s="17">
        <f>ROUND(VLOOKUP(H$187&amp;"_1",管理者用人口入力シート!BH:CE,J190,FALSE),0)</f>
        <v>45</v>
      </c>
      <c r="I190" s="17">
        <f>ROUND(VLOOKUP(H$187&amp;"_2",管理者用人口入力シート!BH:CE,J190,FALSE),0)</f>
        <v>46</v>
      </c>
      <c r="J190" s="2">
        <v>5</v>
      </c>
      <c r="N190" s="2" t="s">
        <v>1</v>
      </c>
      <c r="O190" s="17">
        <f>ROUND(VLOOKUP(O$187&amp;"_1",管理者用人口入力シート!CO:DL,Q190,FALSE),0)</f>
        <v>48</v>
      </c>
      <c r="P190" s="17">
        <f>ROUND(VLOOKUP(O$187&amp;"_2",管理者用人口入力シート!CO:DL,Q190,FALSE),0)</f>
        <v>49</v>
      </c>
      <c r="Q190" s="2">
        <v>5</v>
      </c>
    </row>
    <row r="191" spans="7:17" x14ac:dyDescent="0.15">
      <c r="G191" s="2" t="s">
        <v>2</v>
      </c>
      <c r="H191" s="17">
        <f>ROUND(VLOOKUP(H$187&amp;"_1",管理者用人口入力シート!BH:CE,J191,FALSE),0)</f>
        <v>55</v>
      </c>
      <c r="I191" s="17">
        <f>ROUND(VLOOKUP(H$187&amp;"_2",管理者用人口入力シート!BH:CE,J191,FALSE),0)</f>
        <v>55</v>
      </c>
      <c r="J191" s="2">
        <v>6</v>
      </c>
      <c r="N191" s="2" t="s">
        <v>2</v>
      </c>
      <c r="O191" s="17">
        <f>ROUND(VLOOKUP(O$187&amp;"_1",管理者用人口入力シート!CO:DL,Q191,FALSE),0)</f>
        <v>59</v>
      </c>
      <c r="P191" s="17">
        <f>ROUND(VLOOKUP(O$187&amp;"_2",管理者用人口入力シート!CO:DL,Q191,FALSE),0)</f>
        <v>58</v>
      </c>
      <c r="Q191" s="2">
        <v>6</v>
      </c>
    </row>
    <row r="192" spans="7:17" x14ac:dyDescent="0.15">
      <c r="G192" s="2" t="s">
        <v>3</v>
      </c>
      <c r="H192" s="17">
        <f>ROUND(VLOOKUP(H$187&amp;"_1",管理者用人口入力シート!BH:CE,J192,FALSE),0)</f>
        <v>51</v>
      </c>
      <c r="I192" s="17">
        <f>ROUND(VLOOKUP(H$187&amp;"_2",管理者用人口入力シート!BH:CE,J192,FALSE),0)</f>
        <v>56</v>
      </c>
      <c r="J192" s="2">
        <v>7</v>
      </c>
      <c r="N192" s="2" t="s">
        <v>3</v>
      </c>
      <c r="O192" s="17">
        <f>ROUND(VLOOKUP(O$187&amp;"_1",管理者用人口入力シート!CO:DL,Q192,FALSE),0)</f>
        <v>54</v>
      </c>
      <c r="P192" s="17">
        <f>ROUND(VLOOKUP(O$187&amp;"_2",管理者用人口入力シート!CO:DL,Q192,FALSE),0)</f>
        <v>59</v>
      </c>
      <c r="Q192" s="2">
        <v>7</v>
      </c>
    </row>
    <row r="193" spans="7:17" x14ac:dyDescent="0.15">
      <c r="G193" s="2" t="s">
        <v>4</v>
      </c>
      <c r="H193" s="17">
        <f>ROUND(VLOOKUP(H$187&amp;"_1",管理者用人口入力シート!BH:CE,J193,FALSE),0)</f>
        <v>29</v>
      </c>
      <c r="I193" s="17">
        <f>ROUND(VLOOKUP(H$187&amp;"_2",管理者用人口入力シート!BH:CE,J193,FALSE),0)</f>
        <v>34</v>
      </c>
      <c r="J193" s="2">
        <v>8</v>
      </c>
      <c r="N193" s="2" t="s">
        <v>4</v>
      </c>
      <c r="O193" s="17">
        <f>ROUND(VLOOKUP(O$187&amp;"_1",管理者用人口入力シート!CO:DL,Q193,FALSE),0)</f>
        <v>30</v>
      </c>
      <c r="P193" s="17">
        <f>ROUND(VLOOKUP(O$187&amp;"_2",管理者用人口入力シート!CO:DL,Q193,FALSE),0)</f>
        <v>36</v>
      </c>
      <c r="Q193" s="2">
        <v>8</v>
      </c>
    </row>
    <row r="194" spans="7:17" x14ac:dyDescent="0.15">
      <c r="G194" s="2" t="s">
        <v>5</v>
      </c>
      <c r="H194" s="17">
        <f>ROUND(VLOOKUP(H$187&amp;"_1",管理者用人口入力シート!BH:CE,J194,FALSE),0)</f>
        <v>33</v>
      </c>
      <c r="I194" s="17">
        <f>ROUND(VLOOKUP(H$187&amp;"_2",管理者用人口入力シート!BH:CE,J194,FALSE),0)</f>
        <v>35</v>
      </c>
      <c r="J194" s="2">
        <v>9</v>
      </c>
      <c r="N194" s="2" t="s">
        <v>5</v>
      </c>
      <c r="O194" s="17">
        <f>ROUND(VLOOKUP(O$187&amp;"_1",管理者用人口入力シート!CO:DL,Q194,FALSE),0)</f>
        <v>35</v>
      </c>
      <c r="P194" s="17">
        <f>ROUND(VLOOKUP(O$187&amp;"_2",管理者用人口入力シート!CO:DL,Q194,FALSE),0)</f>
        <v>38</v>
      </c>
      <c r="Q194" s="2">
        <v>9</v>
      </c>
    </row>
    <row r="195" spans="7:17" x14ac:dyDescent="0.15">
      <c r="G195" s="2" t="s">
        <v>6</v>
      </c>
      <c r="H195" s="17">
        <f>ROUND(VLOOKUP(H$187&amp;"_1",管理者用人口入力シート!BH:CE,J195,FALSE),0)</f>
        <v>39</v>
      </c>
      <c r="I195" s="17">
        <f>ROUND(VLOOKUP(H$187&amp;"_2",管理者用人口入力シート!BH:CE,J195,FALSE),0)</f>
        <v>42</v>
      </c>
      <c r="J195" s="2">
        <v>10</v>
      </c>
      <c r="N195" s="2" t="s">
        <v>6</v>
      </c>
      <c r="O195" s="17">
        <f>ROUND(VLOOKUP(O$187&amp;"_1",管理者用人口入力シート!CO:DL,Q195,FALSE),0)</f>
        <v>41</v>
      </c>
      <c r="P195" s="17">
        <f>ROUND(VLOOKUP(O$187&amp;"_2",管理者用人口入力シート!CO:DL,Q195,FALSE),0)</f>
        <v>44</v>
      </c>
      <c r="Q195" s="2">
        <v>10</v>
      </c>
    </row>
    <row r="196" spans="7:17" x14ac:dyDescent="0.15">
      <c r="G196" s="2" t="s">
        <v>7</v>
      </c>
      <c r="H196" s="17">
        <f>ROUND(VLOOKUP(H$187&amp;"_1",管理者用人口入力シート!BH:CE,J196,FALSE),0)</f>
        <v>50</v>
      </c>
      <c r="I196" s="17">
        <f>ROUND(VLOOKUP(H$187&amp;"_2",管理者用人口入力シート!BH:CE,J196,FALSE),0)</f>
        <v>55</v>
      </c>
      <c r="J196" s="2">
        <v>11</v>
      </c>
      <c r="N196" s="2" t="s">
        <v>7</v>
      </c>
      <c r="O196" s="17">
        <f>ROUND(VLOOKUP(O$187&amp;"_1",管理者用人口入力シート!CO:DL,Q196,FALSE),0)</f>
        <v>52</v>
      </c>
      <c r="P196" s="17">
        <f>ROUND(VLOOKUP(O$187&amp;"_2",管理者用人口入力シート!CO:DL,Q196,FALSE),0)</f>
        <v>57</v>
      </c>
      <c r="Q196" s="2">
        <v>11</v>
      </c>
    </row>
    <row r="197" spans="7:17" x14ac:dyDescent="0.15">
      <c r="G197" s="2" t="s">
        <v>8</v>
      </c>
      <c r="H197" s="17">
        <f>ROUND(VLOOKUP(H$187&amp;"_1",管理者用人口入力シート!BH:CE,J197,FALSE),0)</f>
        <v>58</v>
      </c>
      <c r="I197" s="17">
        <f>ROUND(VLOOKUP(H$187&amp;"_2",管理者用人口入力シート!BH:CE,J197,FALSE),0)</f>
        <v>53</v>
      </c>
      <c r="J197" s="2">
        <v>12</v>
      </c>
      <c r="N197" s="2" t="s">
        <v>8</v>
      </c>
      <c r="O197" s="17">
        <f>ROUND(VLOOKUP(O$187&amp;"_1",管理者用人口入力シート!CO:DL,Q197,FALSE),0)</f>
        <v>60</v>
      </c>
      <c r="P197" s="17">
        <f>ROUND(VLOOKUP(O$187&amp;"_2",管理者用人口入力シート!CO:DL,Q197,FALSE),0)</f>
        <v>56</v>
      </c>
      <c r="Q197" s="2">
        <v>12</v>
      </c>
    </row>
    <row r="198" spans="7:17" x14ac:dyDescent="0.15">
      <c r="G198" s="2" t="s">
        <v>9</v>
      </c>
      <c r="H198" s="17">
        <f>ROUND(VLOOKUP(H$187&amp;"_1",管理者用人口入力シート!BH:CE,J198,FALSE),0)</f>
        <v>75</v>
      </c>
      <c r="I198" s="17">
        <f>ROUND(VLOOKUP(H$187&amp;"_2",管理者用人口入力シート!BH:CE,J198,FALSE),0)</f>
        <v>61</v>
      </c>
      <c r="J198" s="2">
        <v>13</v>
      </c>
      <c r="N198" s="2" t="s">
        <v>9</v>
      </c>
      <c r="O198" s="17">
        <f>ROUND(VLOOKUP(O$187&amp;"_1",管理者用人口入力シート!CO:DL,Q198,FALSE),0)</f>
        <v>76</v>
      </c>
      <c r="P198" s="17">
        <f>ROUND(VLOOKUP(O$187&amp;"_2",管理者用人口入力シート!CO:DL,Q198,FALSE),0)</f>
        <v>64</v>
      </c>
      <c r="Q198" s="2">
        <v>13</v>
      </c>
    </row>
    <row r="199" spans="7:17" x14ac:dyDescent="0.15">
      <c r="G199" s="2" t="s">
        <v>10</v>
      </c>
      <c r="H199" s="17">
        <f>ROUND(VLOOKUP(H$187&amp;"_1",管理者用人口入力シート!BH:CE,J199,FALSE),0)</f>
        <v>77</v>
      </c>
      <c r="I199" s="17">
        <f>ROUND(VLOOKUP(H$187&amp;"_2",管理者用人口入力シート!BH:CE,J199,FALSE),0)</f>
        <v>76</v>
      </c>
      <c r="J199" s="2">
        <v>14</v>
      </c>
      <c r="N199" s="2" t="s">
        <v>10</v>
      </c>
      <c r="O199" s="17">
        <f>ROUND(VLOOKUP(O$187&amp;"_1",管理者用人口入力シート!CO:DL,Q199,FALSE),0)</f>
        <v>79</v>
      </c>
      <c r="P199" s="17">
        <f>ROUND(VLOOKUP(O$187&amp;"_2",管理者用人口入力シート!CO:DL,Q199,FALSE),0)</f>
        <v>79</v>
      </c>
      <c r="Q199" s="2">
        <v>14</v>
      </c>
    </row>
    <row r="200" spans="7:17" x14ac:dyDescent="0.15">
      <c r="G200" s="2" t="s">
        <v>11</v>
      </c>
      <c r="H200" s="17">
        <f>ROUND(VLOOKUP(H$187&amp;"_1",管理者用人口入力シート!BH:CE,J200,FALSE),0)</f>
        <v>75</v>
      </c>
      <c r="I200" s="17">
        <f>ROUND(VLOOKUP(H$187&amp;"_2",管理者用人口入力シート!BH:CE,J200,FALSE),0)</f>
        <v>79</v>
      </c>
      <c r="J200" s="2">
        <v>15</v>
      </c>
      <c r="N200" s="2" t="s">
        <v>11</v>
      </c>
      <c r="O200" s="17">
        <f>ROUND(VLOOKUP(O$187&amp;"_1",管理者用人口入力シート!CO:DL,Q200,FALSE),0)</f>
        <v>75</v>
      </c>
      <c r="P200" s="17">
        <f>ROUND(VLOOKUP(O$187&amp;"_2",管理者用人口入力シート!CO:DL,Q200,FALSE),0)</f>
        <v>80</v>
      </c>
      <c r="Q200" s="2">
        <v>15</v>
      </c>
    </row>
    <row r="201" spans="7:17" x14ac:dyDescent="0.15">
      <c r="G201" s="2" t="s">
        <v>12</v>
      </c>
      <c r="H201" s="17">
        <f>ROUND(VLOOKUP(H$187&amp;"_1",管理者用人口入力シート!BH:CE,J201,FALSE),0)</f>
        <v>117</v>
      </c>
      <c r="I201" s="17">
        <f>ROUND(VLOOKUP(H$187&amp;"_2",管理者用人口入力シート!BH:CE,J201,FALSE),0)</f>
        <v>97</v>
      </c>
      <c r="J201" s="2">
        <v>16</v>
      </c>
      <c r="N201" s="2" t="s">
        <v>12</v>
      </c>
      <c r="O201" s="17">
        <f>ROUND(VLOOKUP(O$187&amp;"_1",管理者用人口入力シート!CO:DL,Q201,FALSE),0)</f>
        <v>117</v>
      </c>
      <c r="P201" s="17">
        <f>ROUND(VLOOKUP(O$187&amp;"_2",管理者用人口入力シート!CO:DL,Q201,FALSE),0)</f>
        <v>98</v>
      </c>
      <c r="Q201" s="2">
        <v>16</v>
      </c>
    </row>
    <row r="202" spans="7:17" x14ac:dyDescent="0.15">
      <c r="G202" s="2" t="s">
        <v>13</v>
      </c>
      <c r="H202" s="17">
        <f>ROUND(VLOOKUP(H$187&amp;"_1",管理者用人口入力シート!BH:CE,J202,FALSE),0)</f>
        <v>139</v>
      </c>
      <c r="I202" s="17">
        <f>ROUND(VLOOKUP(H$187&amp;"_2",管理者用人口入力シート!BH:CE,J202,FALSE),0)</f>
        <v>132</v>
      </c>
      <c r="J202" s="2">
        <v>17</v>
      </c>
      <c r="N202" s="2" t="s">
        <v>13</v>
      </c>
      <c r="O202" s="17">
        <f>ROUND(VLOOKUP(O$187&amp;"_1",管理者用人口入力シート!CO:DL,Q202,FALSE),0)</f>
        <v>139</v>
      </c>
      <c r="P202" s="17">
        <f>ROUND(VLOOKUP(O$187&amp;"_2",管理者用人口入力シート!CO:DL,Q202,FALSE),0)</f>
        <v>133</v>
      </c>
      <c r="Q202" s="2">
        <v>17</v>
      </c>
    </row>
    <row r="203" spans="7:17" x14ac:dyDescent="0.15">
      <c r="G203" s="2" t="s">
        <v>14</v>
      </c>
      <c r="H203" s="17">
        <f>ROUND(VLOOKUP(H$187&amp;"_1",管理者用人口入力シート!BH:CE,J203,FALSE),0)</f>
        <v>142</v>
      </c>
      <c r="I203" s="17">
        <f>ROUND(VLOOKUP(H$187&amp;"_2",管理者用人口入力シート!BH:CE,J203,FALSE),0)</f>
        <v>185</v>
      </c>
      <c r="J203" s="2">
        <v>18</v>
      </c>
      <c r="N203" s="2" t="s">
        <v>14</v>
      </c>
      <c r="O203" s="17">
        <f>ROUND(VLOOKUP(O$187&amp;"_1",管理者用人口入力シート!CO:DL,Q203,FALSE),0)</f>
        <v>142</v>
      </c>
      <c r="P203" s="17">
        <f>ROUND(VLOOKUP(O$187&amp;"_2",管理者用人口入力シート!CO:DL,Q203,FALSE),0)</f>
        <v>185</v>
      </c>
      <c r="Q203" s="2">
        <v>18</v>
      </c>
    </row>
    <row r="204" spans="7:17" x14ac:dyDescent="0.15">
      <c r="G204" s="2" t="s">
        <v>15</v>
      </c>
      <c r="H204" s="17">
        <f>ROUND(VLOOKUP(H$187&amp;"_1",管理者用人口入力シート!BH:CE,J204,FALSE),0)</f>
        <v>154</v>
      </c>
      <c r="I204" s="17">
        <f>ROUND(VLOOKUP(H$187&amp;"_2",管理者用人口入力シート!BH:CE,J204,FALSE),0)</f>
        <v>153</v>
      </c>
      <c r="J204" s="2">
        <v>19</v>
      </c>
      <c r="N204" s="2" t="s">
        <v>15</v>
      </c>
      <c r="O204" s="17">
        <f>ROUND(VLOOKUP(O$187&amp;"_1",管理者用人口入力シート!CO:DL,Q204,FALSE),0)</f>
        <v>154</v>
      </c>
      <c r="P204" s="17">
        <f>ROUND(VLOOKUP(O$187&amp;"_2",管理者用人口入力シート!CO:DL,Q204,FALSE),0)</f>
        <v>153</v>
      </c>
      <c r="Q204" s="2">
        <v>19</v>
      </c>
    </row>
    <row r="205" spans="7:17" x14ac:dyDescent="0.15">
      <c r="G205" s="2" t="s">
        <v>16</v>
      </c>
      <c r="H205" s="17">
        <f>ROUND(VLOOKUP(H$187&amp;"_1",管理者用人口入力シート!BH:CE,J205,FALSE),0)</f>
        <v>87</v>
      </c>
      <c r="I205" s="17">
        <f>ROUND(VLOOKUP(H$187&amp;"_2",管理者用人口入力シート!BH:CE,J205,FALSE),0)</f>
        <v>139</v>
      </c>
      <c r="J205" s="2">
        <v>20</v>
      </c>
      <c r="N205" s="2" t="s">
        <v>16</v>
      </c>
      <c r="O205" s="17">
        <f>ROUND(VLOOKUP(O$187&amp;"_1",管理者用人口入力シート!CO:DL,Q205,FALSE),0)</f>
        <v>87</v>
      </c>
      <c r="P205" s="17">
        <f>ROUND(VLOOKUP(O$187&amp;"_2",管理者用人口入力シート!CO:DL,Q205,FALSE),0)</f>
        <v>139</v>
      </c>
      <c r="Q205" s="2">
        <v>20</v>
      </c>
    </row>
    <row r="206" spans="7:17" x14ac:dyDescent="0.15">
      <c r="G206" s="2" t="s">
        <v>17</v>
      </c>
      <c r="H206" s="17">
        <f>ROUND(VLOOKUP(H$187&amp;"_1",管理者用人口入力シート!BH:CE,J206,FALSE),0)</f>
        <v>67</v>
      </c>
      <c r="I206" s="17">
        <f>ROUND(VLOOKUP(H$187&amp;"_2",管理者用人口入力シート!BH:CE,J206,FALSE),0)</f>
        <v>116</v>
      </c>
      <c r="J206" s="2">
        <v>21</v>
      </c>
      <c r="N206" s="2" t="s">
        <v>17</v>
      </c>
      <c r="O206" s="17">
        <f>ROUND(VLOOKUP(O$187&amp;"_1",管理者用人口入力シート!CO:DL,Q206,FALSE),0)</f>
        <v>67</v>
      </c>
      <c r="P206" s="17">
        <f>ROUND(VLOOKUP(O$187&amp;"_2",管理者用人口入力シート!CO:DL,Q206,FALSE),0)</f>
        <v>116</v>
      </c>
      <c r="Q206" s="2">
        <v>21</v>
      </c>
    </row>
    <row r="207" spans="7:17" x14ac:dyDescent="0.15">
      <c r="G207" s="2" t="s">
        <v>18</v>
      </c>
      <c r="H207" s="17">
        <f>ROUND(VLOOKUP(H$187&amp;"_1",管理者用人口入力シート!BH:CE,J207,FALSE),0)</f>
        <v>39</v>
      </c>
      <c r="I207" s="17">
        <f>ROUND(VLOOKUP(H$187&amp;"_2",管理者用人口入力シート!BH:CE,J207,FALSE),0)</f>
        <v>88</v>
      </c>
      <c r="J207" s="2">
        <v>22</v>
      </c>
      <c r="N207" s="2" t="s">
        <v>18</v>
      </c>
      <c r="O207" s="17">
        <f>ROUND(VLOOKUP(O$187&amp;"_1",管理者用人口入力シート!CO:DL,Q207,FALSE),0)</f>
        <v>39</v>
      </c>
      <c r="P207" s="17">
        <f>ROUND(VLOOKUP(O$187&amp;"_2",管理者用人口入力シート!CO:DL,Q207,FALSE),0)</f>
        <v>88</v>
      </c>
      <c r="Q207" s="2">
        <v>22</v>
      </c>
    </row>
    <row r="208" spans="7:17" x14ac:dyDescent="0.15">
      <c r="G208" s="2" t="s">
        <v>19</v>
      </c>
      <c r="H208" s="17">
        <f>ROUND(VLOOKUP(H$187&amp;"_1",管理者用人口入力シート!BH:CE,J208,FALSE),0)</f>
        <v>10</v>
      </c>
      <c r="I208" s="17">
        <f>ROUND(VLOOKUP(H$187&amp;"_2",管理者用人口入力シート!BH:CE,J208,FALSE),0)</f>
        <v>35</v>
      </c>
      <c r="J208" s="2">
        <v>23</v>
      </c>
      <c r="N208" s="2" t="s">
        <v>19</v>
      </c>
      <c r="O208" s="17">
        <f>ROUND(VLOOKUP(O$187&amp;"_1",管理者用人口入力シート!CO:DL,Q208,FALSE),0)</f>
        <v>10</v>
      </c>
      <c r="P208" s="17">
        <f>ROUND(VLOOKUP(O$187&amp;"_2",管理者用人口入力シート!CO:DL,Q208,FALSE),0)</f>
        <v>35</v>
      </c>
      <c r="Q208" s="2">
        <v>23</v>
      </c>
    </row>
    <row r="209" spans="7:17" x14ac:dyDescent="0.15">
      <c r="G209" s="2" t="s">
        <v>20</v>
      </c>
      <c r="H209" s="17">
        <f>ROUND(VLOOKUP(H$187&amp;"_1",管理者用人口入力シート!BH:CE,J209,FALSE),0)</f>
        <v>0</v>
      </c>
      <c r="I209" s="17">
        <f>ROUND(VLOOKUP(H$187&amp;"_2",管理者用人口入力シート!BH:CE,J209,FALSE),0)</f>
        <v>8</v>
      </c>
      <c r="J209" s="2">
        <v>24</v>
      </c>
      <c r="N209" s="2" t="s">
        <v>20</v>
      </c>
      <c r="O209" s="17">
        <f>ROUND(VLOOKUP(O$187&amp;"_1",管理者用人口入力シート!CO:DL,Q209,FALSE),0)</f>
        <v>0</v>
      </c>
      <c r="P209" s="17">
        <f>ROUND(VLOOKUP(O$187&amp;"_2",管理者用人口入力シート!CO:DL,Q209,FALSE),0)</f>
        <v>8</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133</v>
      </c>
      <c r="P214" s="17">
        <f>O93+P93</f>
        <v>137</v>
      </c>
      <c r="Q214" s="2">
        <v>4</v>
      </c>
    </row>
    <row r="215" spans="7:17" x14ac:dyDescent="0.15">
      <c r="N215" s="2" t="s">
        <v>1</v>
      </c>
      <c r="O215" s="17">
        <f t="shared" ref="O215:O233" si="37">H94+I94</f>
        <v>166</v>
      </c>
      <c r="P215" s="17">
        <f t="shared" ref="P215:P233" si="38">O94+P94</f>
        <v>168</v>
      </c>
      <c r="Q215" s="2">
        <v>5</v>
      </c>
    </row>
    <row r="216" spans="7:17" x14ac:dyDescent="0.15">
      <c r="N216" s="2" t="s">
        <v>2</v>
      </c>
      <c r="O216" s="17">
        <f t="shared" si="37"/>
        <v>209</v>
      </c>
      <c r="P216" s="17">
        <f t="shared" si="38"/>
        <v>211</v>
      </c>
      <c r="Q216" s="2">
        <v>6</v>
      </c>
    </row>
    <row r="217" spans="7:17" x14ac:dyDescent="0.15">
      <c r="N217" s="2" t="s">
        <v>3</v>
      </c>
      <c r="O217" s="17">
        <f t="shared" si="37"/>
        <v>217</v>
      </c>
      <c r="P217" s="17">
        <f t="shared" si="38"/>
        <v>219</v>
      </c>
      <c r="Q217" s="2">
        <v>7</v>
      </c>
    </row>
    <row r="218" spans="7:17" x14ac:dyDescent="0.15">
      <c r="N218" s="2" t="s">
        <v>4</v>
      </c>
      <c r="O218" s="17">
        <f t="shared" si="37"/>
        <v>126</v>
      </c>
      <c r="P218" s="17">
        <f t="shared" si="38"/>
        <v>126</v>
      </c>
      <c r="Q218" s="2">
        <v>8</v>
      </c>
    </row>
    <row r="219" spans="7:17" x14ac:dyDescent="0.15">
      <c r="N219" s="2" t="s">
        <v>5</v>
      </c>
      <c r="O219" s="17">
        <f t="shared" si="37"/>
        <v>145</v>
      </c>
      <c r="P219" s="17">
        <f t="shared" si="38"/>
        <v>149</v>
      </c>
      <c r="Q219" s="2">
        <v>9</v>
      </c>
    </row>
    <row r="220" spans="7:17" x14ac:dyDescent="0.15">
      <c r="N220" s="2" t="s">
        <v>6</v>
      </c>
      <c r="O220" s="17">
        <f t="shared" si="37"/>
        <v>162</v>
      </c>
      <c r="P220" s="17">
        <f t="shared" si="38"/>
        <v>165</v>
      </c>
      <c r="Q220" s="2">
        <v>10</v>
      </c>
    </row>
    <row r="221" spans="7:17" x14ac:dyDescent="0.15">
      <c r="N221" s="2" t="s">
        <v>7</v>
      </c>
      <c r="O221" s="17">
        <f t="shared" si="37"/>
        <v>164</v>
      </c>
      <c r="P221" s="17">
        <f t="shared" si="38"/>
        <v>164</v>
      </c>
      <c r="Q221" s="2">
        <v>11</v>
      </c>
    </row>
    <row r="222" spans="7:17" x14ac:dyDescent="0.15">
      <c r="N222" s="2" t="s">
        <v>8</v>
      </c>
      <c r="O222" s="17">
        <f t="shared" si="37"/>
        <v>223</v>
      </c>
      <c r="P222" s="17">
        <f t="shared" si="38"/>
        <v>224</v>
      </c>
      <c r="Q222" s="2">
        <v>12</v>
      </c>
    </row>
    <row r="223" spans="7:17" x14ac:dyDescent="0.15">
      <c r="N223" s="2" t="s">
        <v>9</v>
      </c>
      <c r="O223" s="17">
        <f t="shared" si="37"/>
        <v>281</v>
      </c>
      <c r="P223" s="17">
        <f t="shared" si="38"/>
        <v>282</v>
      </c>
      <c r="Q223" s="2">
        <v>13</v>
      </c>
    </row>
    <row r="224" spans="7:17" x14ac:dyDescent="0.15">
      <c r="N224" s="2" t="s">
        <v>10</v>
      </c>
      <c r="O224" s="17">
        <f t="shared" si="37"/>
        <v>352</v>
      </c>
      <c r="P224" s="17">
        <f t="shared" si="38"/>
        <v>352</v>
      </c>
      <c r="Q224" s="2">
        <v>14</v>
      </c>
    </row>
    <row r="225" spans="14:17" x14ac:dyDescent="0.15">
      <c r="N225" s="2" t="s">
        <v>11</v>
      </c>
      <c r="O225" s="17">
        <f t="shared" si="37"/>
        <v>371</v>
      </c>
      <c r="P225" s="17">
        <f t="shared" si="38"/>
        <v>371</v>
      </c>
      <c r="Q225" s="2">
        <v>15</v>
      </c>
    </row>
    <row r="226" spans="14:17" x14ac:dyDescent="0.15">
      <c r="N226" s="2" t="s">
        <v>12</v>
      </c>
      <c r="O226" s="17">
        <f t="shared" si="37"/>
        <v>337</v>
      </c>
      <c r="P226" s="17">
        <f t="shared" si="38"/>
        <v>337</v>
      </c>
      <c r="Q226" s="2">
        <v>16</v>
      </c>
    </row>
    <row r="227" spans="14:17" x14ac:dyDescent="0.15">
      <c r="N227" s="2" t="s">
        <v>13</v>
      </c>
      <c r="O227" s="17">
        <f t="shared" si="37"/>
        <v>384</v>
      </c>
      <c r="P227" s="17">
        <f t="shared" si="38"/>
        <v>384</v>
      </c>
      <c r="Q227" s="2">
        <v>17</v>
      </c>
    </row>
    <row r="228" spans="14:17" x14ac:dyDescent="0.15">
      <c r="N228" s="2" t="s">
        <v>14</v>
      </c>
      <c r="O228" s="17">
        <f t="shared" si="37"/>
        <v>532</v>
      </c>
      <c r="P228" s="17">
        <f t="shared" si="38"/>
        <v>532</v>
      </c>
      <c r="Q228" s="2">
        <v>18</v>
      </c>
    </row>
    <row r="229" spans="14:17" x14ac:dyDescent="0.15">
      <c r="N229" s="2" t="s">
        <v>15</v>
      </c>
      <c r="O229" s="17">
        <f t="shared" si="37"/>
        <v>568</v>
      </c>
      <c r="P229" s="17">
        <f t="shared" si="38"/>
        <v>568</v>
      </c>
      <c r="Q229" s="2">
        <v>19</v>
      </c>
    </row>
    <row r="230" spans="14:17" x14ac:dyDescent="0.15">
      <c r="N230" s="2" t="s">
        <v>16</v>
      </c>
      <c r="O230" s="17">
        <f t="shared" si="37"/>
        <v>419</v>
      </c>
      <c r="P230" s="17">
        <f t="shared" si="38"/>
        <v>419</v>
      </c>
      <c r="Q230" s="2">
        <v>20</v>
      </c>
    </row>
    <row r="231" spans="14:17" x14ac:dyDescent="0.15">
      <c r="N231" s="2" t="s">
        <v>17</v>
      </c>
      <c r="O231" s="17">
        <f t="shared" si="37"/>
        <v>220</v>
      </c>
      <c r="P231" s="17">
        <f t="shared" si="38"/>
        <v>220</v>
      </c>
      <c r="Q231" s="2">
        <v>21</v>
      </c>
    </row>
    <row r="232" spans="14:17" x14ac:dyDescent="0.15">
      <c r="N232" s="2" t="s">
        <v>18</v>
      </c>
      <c r="O232" s="17">
        <f t="shared" si="37"/>
        <v>133</v>
      </c>
      <c r="P232" s="17">
        <f t="shared" si="38"/>
        <v>133</v>
      </c>
      <c r="Q232" s="2">
        <v>22</v>
      </c>
    </row>
    <row r="233" spans="14:17" x14ac:dyDescent="0.15">
      <c r="N233" s="2" t="s">
        <v>19</v>
      </c>
      <c r="O233" s="17">
        <f t="shared" si="37"/>
        <v>48</v>
      </c>
      <c r="P233" s="17">
        <f t="shared" si="38"/>
        <v>48</v>
      </c>
      <c r="Q233" s="2">
        <v>23</v>
      </c>
    </row>
    <row r="234" spans="14:17" x14ac:dyDescent="0.15">
      <c r="N234" s="2" t="s">
        <v>20</v>
      </c>
      <c r="O234" s="17">
        <f>H113+I113</f>
        <v>10</v>
      </c>
      <c r="P234" s="17">
        <f>O113+P113</f>
        <v>10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101</v>
      </c>
      <c r="P238" s="17">
        <f>O141+P141</f>
        <v>106</v>
      </c>
      <c r="Q238" s="2">
        <v>4</v>
      </c>
    </row>
    <row r="239" spans="14:17" x14ac:dyDescent="0.15">
      <c r="N239" s="2" t="s">
        <v>1</v>
      </c>
      <c r="O239" s="17">
        <f t="shared" ref="O239:O257" si="39">H142+I142</f>
        <v>127</v>
      </c>
      <c r="P239" s="17">
        <f t="shared" ref="P239:P257" si="40">O142+P142</f>
        <v>131</v>
      </c>
      <c r="Q239" s="2">
        <v>5</v>
      </c>
    </row>
    <row r="240" spans="14:17" x14ac:dyDescent="0.15">
      <c r="N240" s="2" t="s">
        <v>2</v>
      </c>
      <c r="O240" s="17">
        <f t="shared" si="39"/>
        <v>144</v>
      </c>
      <c r="P240" s="17">
        <f t="shared" si="40"/>
        <v>151</v>
      </c>
      <c r="Q240" s="2">
        <v>6</v>
      </c>
    </row>
    <row r="241" spans="14:17" x14ac:dyDescent="0.15">
      <c r="N241" s="2" t="s">
        <v>3</v>
      </c>
      <c r="O241" s="17">
        <f t="shared" si="39"/>
        <v>140</v>
      </c>
      <c r="P241" s="17">
        <f t="shared" si="40"/>
        <v>144</v>
      </c>
      <c r="Q241" s="2">
        <v>7</v>
      </c>
    </row>
    <row r="242" spans="14:17" x14ac:dyDescent="0.15">
      <c r="N242" s="2" t="s">
        <v>4</v>
      </c>
      <c r="O242" s="17">
        <f t="shared" si="39"/>
        <v>91</v>
      </c>
      <c r="P242" s="17">
        <f t="shared" si="40"/>
        <v>92</v>
      </c>
      <c r="Q242" s="2">
        <v>8</v>
      </c>
    </row>
    <row r="243" spans="14:17" x14ac:dyDescent="0.15">
      <c r="N243" s="2" t="s">
        <v>5</v>
      </c>
      <c r="O243" s="17">
        <f t="shared" si="39"/>
        <v>104</v>
      </c>
      <c r="P243" s="17">
        <f t="shared" si="40"/>
        <v>110</v>
      </c>
      <c r="Q243" s="2">
        <v>9</v>
      </c>
    </row>
    <row r="244" spans="14:17" x14ac:dyDescent="0.15">
      <c r="N244" s="2" t="s">
        <v>6</v>
      </c>
      <c r="O244" s="17">
        <f t="shared" si="39"/>
        <v>112</v>
      </c>
      <c r="P244" s="17">
        <f t="shared" si="40"/>
        <v>116</v>
      </c>
      <c r="Q244" s="2">
        <v>10</v>
      </c>
    </row>
    <row r="245" spans="14:17" x14ac:dyDescent="0.15">
      <c r="N245" s="2" t="s">
        <v>7</v>
      </c>
      <c r="O245" s="17">
        <f t="shared" si="39"/>
        <v>144</v>
      </c>
      <c r="P245" s="17">
        <f t="shared" si="40"/>
        <v>148</v>
      </c>
      <c r="Q245" s="2">
        <v>11</v>
      </c>
    </row>
    <row r="246" spans="14:17" x14ac:dyDescent="0.15">
      <c r="N246" s="2" t="s">
        <v>8</v>
      </c>
      <c r="O246" s="17">
        <f t="shared" si="39"/>
        <v>160</v>
      </c>
      <c r="P246" s="17">
        <f t="shared" si="40"/>
        <v>165</v>
      </c>
      <c r="Q246" s="2">
        <v>12</v>
      </c>
    </row>
    <row r="247" spans="14:17" x14ac:dyDescent="0.15">
      <c r="N247" s="2" t="s">
        <v>9</v>
      </c>
      <c r="O247" s="17">
        <f t="shared" si="39"/>
        <v>155</v>
      </c>
      <c r="P247" s="17">
        <f t="shared" si="40"/>
        <v>156</v>
      </c>
      <c r="Q247" s="2">
        <v>13</v>
      </c>
    </row>
    <row r="248" spans="14:17" x14ac:dyDescent="0.15">
      <c r="N248" s="2" t="s">
        <v>10</v>
      </c>
      <c r="O248" s="17">
        <f t="shared" si="39"/>
        <v>215</v>
      </c>
      <c r="P248" s="17">
        <f t="shared" si="40"/>
        <v>215</v>
      </c>
      <c r="Q248" s="2">
        <v>14</v>
      </c>
    </row>
    <row r="249" spans="14:17" x14ac:dyDescent="0.15">
      <c r="N249" s="2" t="s">
        <v>11</v>
      </c>
      <c r="O249" s="17">
        <f t="shared" si="39"/>
        <v>279</v>
      </c>
      <c r="P249" s="17">
        <f t="shared" si="40"/>
        <v>280</v>
      </c>
      <c r="Q249" s="2">
        <v>15</v>
      </c>
    </row>
    <row r="250" spans="14:17" x14ac:dyDescent="0.15">
      <c r="N250" s="2" t="s">
        <v>12</v>
      </c>
      <c r="O250" s="17">
        <f t="shared" si="39"/>
        <v>351</v>
      </c>
      <c r="P250" s="17">
        <f t="shared" si="40"/>
        <v>351</v>
      </c>
      <c r="Q250" s="2">
        <v>16</v>
      </c>
    </row>
    <row r="251" spans="14:17" x14ac:dyDescent="0.15">
      <c r="N251" s="2" t="s">
        <v>13</v>
      </c>
      <c r="O251" s="17">
        <f t="shared" si="39"/>
        <v>361</v>
      </c>
      <c r="P251" s="17">
        <f t="shared" si="40"/>
        <v>361</v>
      </c>
      <c r="Q251" s="2">
        <v>17</v>
      </c>
    </row>
    <row r="252" spans="14:17" x14ac:dyDescent="0.15">
      <c r="N252" s="2" t="s">
        <v>14</v>
      </c>
      <c r="O252" s="17">
        <f t="shared" si="39"/>
        <v>313</v>
      </c>
      <c r="P252" s="17">
        <f t="shared" si="40"/>
        <v>313</v>
      </c>
      <c r="Q252" s="2">
        <v>18</v>
      </c>
    </row>
    <row r="253" spans="14:17" x14ac:dyDescent="0.15">
      <c r="N253" s="2" t="s">
        <v>15</v>
      </c>
      <c r="O253" s="17">
        <f t="shared" si="39"/>
        <v>331</v>
      </c>
      <c r="P253" s="17">
        <f t="shared" si="40"/>
        <v>331</v>
      </c>
      <c r="Q253" s="2">
        <v>19</v>
      </c>
    </row>
    <row r="254" spans="14:17" x14ac:dyDescent="0.15">
      <c r="N254" s="2" t="s">
        <v>16</v>
      </c>
      <c r="O254" s="17">
        <f t="shared" si="39"/>
        <v>383</v>
      </c>
      <c r="P254" s="17">
        <f t="shared" si="40"/>
        <v>383</v>
      </c>
      <c r="Q254" s="2">
        <v>20</v>
      </c>
    </row>
    <row r="255" spans="14:17" x14ac:dyDescent="0.15">
      <c r="N255" s="2" t="s">
        <v>17</v>
      </c>
      <c r="O255" s="17">
        <f t="shared" si="39"/>
        <v>310</v>
      </c>
      <c r="P255" s="17">
        <f t="shared" si="40"/>
        <v>310</v>
      </c>
      <c r="Q255" s="2">
        <v>21</v>
      </c>
    </row>
    <row r="256" spans="14:17" x14ac:dyDescent="0.15">
      <c r="N256" s="2" t="s">
        <v>18</v>
      </c>
      <c r="O256" s="17">
        <f t="shared" si="39"/>
        <v>138</v>
      </c>
      <c r="P256" s="17">
        <f t="shared" si="40"/>
        <v>138</v>
      </c>
      <c r="Q256" s="2">
        <v>22</v>
      </c>
    </row>
    <row r="257" spans="14:17" x14ac:dyDescent="0.15">
      <c r="N257" s="2" t="s">
        <v>19</v>
      </c>
      <c r="O257" s="17">
        <f t="shared" si="39"/>
        <v>33</v>
      </c>
      <c r="P257" s="17">
        <f t="shared" si="40"/>
        <v>33</v>
      </c>
      <c r="Q257" s="2">
        <v>23</v>
      </c>
    </row>
    <row r="258" spans="14:17" x14ac:dyDescent="0.15">
      <c r="N258" s="2" t="s">
        <v>20</v>
      </c>
      <c r="O258" s="17">
        <f>H161+I161</f>
        <v>8</v>
      </c>
      <c r="P258" s="17">
        <f>O161+P161</f>
        <v>8</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2019-03-15T10:45:55Z</cp:lastPrinted>
  <dcterms:created xsi:type="dcterms:W3CDTF">2018-08-17T00:57:13Z</dcterms:created>
  <dcterms:modified xsi:type="dcterms:W3CDTF">2023-03-06T08:56:10Z</dcterms:modified>
</cp:coreProperties>
</file>