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B6emW/nda/cnDZo0kGTyPB/f/FORlb+s23WIVjGrEcz6i6jZuk9ZNUma/EOMxa4yaOcuTmhxKeCRdwq6i9vfsw==" workbookSaltValue="4Hn0jSgwmoigOITvJp/Vh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A136" i="19" s="1"/>
  <c r="O139" i="18"/>
  <c r="G39" i="21"/>
  <c r="G36" i="21"/>
  <c r="O67" i="18"/>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P8" i="17" s="1"/>
  <c r="BO4" i="17" s="1"/>
  <c r="AR4" i="17"/>
  <c r="AY4" i="17"/>
  <c r="AM4" i="17"/>
  <c r="BE4" i="17"/>
  <c r="BA4" i="17"/>
  <c r="AW4" i="17"/>
  <c r="AS4" i="17"/>
  <c r="AO4" i="17"/>
  <c r="AV4" i="17"/>
  <c r="AV8" i="17" s="1"/>
  <c r="BU4" i="17" s="1"/>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BF8" i="17"/>
  <c r="CE4" i="17" s="1"/>
  <c r="DL4" i="17" s="1"/>
  <c r="AT8" i="17"/>
  <c r="BS4" i="17" s="1"/>
  <c r="CZ4" i="17" s="1"/>
  <c r="DA7" i="17" s="1"/>
  <c r="BB8" i="17"/>
  <c r="CA4" i="17" s="1"/>
  <c r="DH4" i="17" s="1"/>
  <c r="DI7"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DB4" i="17"/>
  <c r="O53" i="18"/>
  <c r="O43" i="18"/>
  <c r="O25" i="18"/>
  <c r="O64" i="18"/>
  <c r="O56" i="18"/>
  <c r="O20" i="18"/>
  <c r="A77" i="21" s="1"/>
  <c r="EP4" i="17"/>
  <c r="EQ4" i="17"/>
  <c r="CY3" i="17"/>
  <c r="CZ6" i="17" s="1"/>
  <c r="CV4" i="17"/>
  <c r="ED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ER4" i="17"/>
  <c r="DA4" i="17"/>
  <c r="DB7" i="17" s="1"/>
  <c r="EI4" i="17"/>
  <c r="CW3" i="17"/>
  <c r="CX6" i="17" s="1"/>
  <c r="O75" i="18"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U5"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CM3" i="17"/>
  <c r="DG3" i="17"/>
  <c r="CA6" i="17"/>
  <c r="CJ3" i="17"/>
  <c r="DF3" i="17"/>
  <c r="BZ6" i="17"/>
  <c r="DE3" i="17"/>
  <c r="BY6" i="17"/>
  <c r="CI3" i="17"/>
  <c r="DH3" i="17"/>
  <c r="CB6" i="17"/>
  <c r="BN6" i="17"/>
  <c r="BO5" i="17"/>
  <c r="BS5" i="17"/>
  <c r="BV6" i="17"/>
  <c r="BU7" i="17"/>
  <c r="BX6" i="17"/>
  <c r="BP6" i="17"/>
  <c r="BT6" i="17"/>
  <c r="O42" i="18"/>
  <c r="O60" i="18"/>
  <c r="O52" i="18"/>
  <c r="O24" i="18"/>
  <c r="O34" i="18"/>
  <c r="O16" i="18"/>
  <c r="BT7" i="17" l="1"/>
  <c r="EH4" i="17"/>
  <c r="CA5" i="17"/>
  <c r="BQ5" i="17"/>
  <c r="CC5" i="17"/>
  <c r="DG4" i="17"/>
  <c r="DK4" i="17"/>
  <c r="DL7" i="17" s="1"/>
  <c r="DL8" i="17" s="1"/>
  <c r="BR7" i="17"/>
  <c r="BR8" i="17" s="1"/>
  <c r="CD7" i="17"/>
  <c r="CD8" i="17" s="1"/>
  <c r="BR5" i="17"/>
  <c r="O71" i="18"/>
  <c r="O76" i="18"/>
  <c r="E74" i="15"/>
  <c r="CE7" i="17"/>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R7" i="17"/>
  <c r="EQ21" i="17"/>
  <c r="EQ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DJ10" i="17"/>
  <c r="I86" i="18"/>
  <c r="I80" i="18"/>
  <c r="CE9" i="17"/>
  <c r="H137" i="18" s="1"/>
  <c r="H88" i="18"/>
  <c r="P87" i="18"/>
  <c r="DL5" i="17"/>
  <c r="DA9" i="17"/>
  <c r="DO3" i="17"/>
  <c r="DC6" i="17"/>
  <c r="DD5" i="17"/>
  <c r="DC10" i="17"/>
  <c r="EQ6" i="17"/>
  <c r="EQ23" i="17" s="1"/>
  <c r="EP5" i="17"/>
  <c r="EC7" i="17"/>
  <c r="ED5" i="17"/>
  <c r="EL5" i="17"/>
  <c r="EM6" i="17"/>
  <c r="EM23" i="17" s="1"/>
  <c r="EQ5" i="17"/>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CE8"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H7" i="17"/>
  <c r="P85" i="18" s="1"/>
  <c r="DJ6" i="17"/>
  <c r="O87" i="18" s="1"/>
  <c r="BX9" i="17"/>
  <c r="H130" i="18" s="1"/>
  <c r="BY9" i="17"/>
  <c r="H131" i="18" s="1"/>
  <c r="CI6" i="17"/>
  <c r="DF9" i="17"/>
  <c r="O131" i="18" s="1"/>
  <c r="DG6" i="17"/>
  <c r="DH6" i="17"/>
  <c r="O85" i="18" s="1"/>
  <c r="DQ3" i="17"/>
  <c r="DG5" i="17"/>
  <c r="BN9" i="17"/>
  <c r="H120" i="18" s="1"/>
  <c r="BM8" i="17"/>
  <c r="CH6" i="17"/>
  <c r="CV5" i="17"/>
  <c r="CM6" i="17"/>
  <c r="BP9" i="17"/>
  <c r="H122" i="18" s="1"/>
  <c r="BV9" i="17"/>
  <c r="BW12" i="17" s="1"/>
  <c r="H105" i="18" s="1"/>
  <c r="BU8" i="17"/>
  <c r="CJ5" i="17" l="1"/>
  <c r="CD10" i="17"/>
  <c r="CE13" i="17" s="1"/>
  <c r="CM5" i="17"/>
  <c r="I113" i="18"/>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E13" i="17"/>
  <c r="DF16" i="17" s="1"/>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I161" i="18"/>
  <c r="H161" i="18"/>
  <c r="I127" i="18"/>
  <c r="I145" i="18"/>
  <c r="K4" i="18"/>
  <c r="R4" i="18" s="1"/>
  <c r="I158" i="18"/>
  <c r="I124" i="18"/>
  <c r="H136" i="18"/>
  <c r="I133" i="18"/>
  <c r="I122" i="18"/>
  <c r="H128" i="18"/>
  <c r="H124" i="18"/>
  <c r="H153" i="18"/>
  <c r="I126" i="18"/>
  <c r="I128" i="18"/>
  <c r="I107" i="18"/>
  <c r="I131" i="18"/>
  <c r="I134" i="18"/>
  <c r="I129" i="18"/>
  <c r="H149" i="18"/>
  <c r="I146" i="18"/>
  <c r="I13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D11"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O247" i="18" s="1"/>
  <c r="BT11" i="17"/>
  <c r="BU12" i="17"/>
  <c r="H151" i="18" s="1"/>
  <c r="O248" i="18" s="1"/>
  <c r="CE14" i="17"/>
  <c r="BR12" i="17"/>
  <c r="H148" i="18" s="1"/>
  <c r="DE9" i="17"/>
  <c r="O130" i="18" s="1"/>
  <c r="DD8" i="17"/>
  <c r="DP7" i="17"/>
  <c r="BU11" i="17"/>
  <c r="BV12" i="17"/>
  <c r="H152" i="18" s="1"/>
  <c r="O249" i="18" s="1"/>
  <c r="EO8" i="17" l="1"/>
  <c r="BS11" i="17"/>
  <c r="I125" i="18"/>
  <c r="BU16" i="17"/>
  <c r="BV19" i="17" s="1"/>
  <c r="I200" i="18" s="1"/>
  <c r="DQ5" i="17"/>
  <c r="O257" i="18"/>
  <c r="I135" i="18"/>
  <c r="DP5" i="17"/>
  <c r="ET8" i="17"/>
  <c r="EY8" i="17" s="1"/>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CL4" i="17" s="1"/>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I175" i="18" l="1"/>
  <c r="I45" i="18"/>
  <c r="P45" i="18" s="1"/>
  <c r="EX8" i="17"/>
  <c r="P250" i="18"/>
  <c r="DB16" i="17"/>
  <c r="DC19" i="17" s="1"/>
  <c r="P200" i="18" s="1"/>
  <c r="P226" i="18"/>
  <c r="P249" i="18"/>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P175" i="18" l="1"/>
  <c r="EP14" i="17"/>
  <c r="CJ19" i="17"/>
  <c r="H142" i="18"/>
  <c r="O215" i="18"/>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O239" i="18" l="1"/>
  <c r="DW8" i="17"/>
  <c r="DW10" i="17"/>
  <c r="DW16" i="17" s="1"/>
  <c r="DW9" i="17"/>
  <c r="CF12" i="17"/>
  <c r="CK12" i="17" s="1"/>
  <c r="DN8" i="17"/>
  <c r="Q18" i="18" s="1"/>
  <c r="CL8" i="17"/>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6" i="17" l="1"/>
  <c r="EE9" i="17"/>
  <c r="DX18" i="17"/>
  <c r="EE4" i="17"/>
  <c r="EF4" i="17"/>
  <c r="EF21" i="17" s="1"/>
  <c r="EE3" i="17"/>
  <c r="EE13" i="17"/>
  <c r="EE7" i="17"/>
  <c r="C37" i="21"/>
  <c r="EG4" i="17"/>
  <c r="EE10" i="17"/>
  <c r="EE12" i="17"/>
  <c r="EG3" i="17"/>
  <c r="EF3" i="17"/>
  <c r="EF9" i="17"/>
  <c r="EF7" i="17"/>
  <c r="EG7" i="17"/>
  <c r="EF12"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E29" i="17"/>
  <c r="EE14" i="17"/>
  <c r="EF13" i="17"/>
  <c r="EF30" i="17" s="1"/>
  <c r="EE27" i="17"/>
  <c r="D38" i="21"/>
  <c r="C38" i="21"/>
  <c r="C39" i="21"/>
  <c r="D37" i="21"/>
  <c r="D39" i="21"/>
  <c r="EE24" i="17"/>
  <c r="FB7" i="17"/>
  <c r="EF29" i="17"/>
  <c r="EE30" i="17"/>
  <c r="EH10" i="17"/>
  <c r="EG24" i="17"/>
  <c r="EF6" i="17"/>
  <c r="EE5" i="17"/>
  <c r="EE20" i="17"/>
  <c r="EU3" i="17"/>
  <c r="FB3" i="17"/>
  <c r="EG10" i="17"/>
  <c r="EF24" i="17"/>
  <c r="EF10" i="17"/>
  <c r="EF11" i="17" s="1"/>
  <c r="EE21" i="17"/>
  <c r="EU4" i="17"/>
  <c r="FB4" i="17"/>
  <c r="EG21" i="17"/>
  <c r="EH7" i="17"/>
  <c r="EG12" i="17"/>
  <c r="EF26" i="17"/>
  <c r="EG6" i="17"/>
  <c r="EG8" i="17" s="1"/>
  <c r="EF5" i="17"/>
  <c r="EF20" i="17"/>
  <c r="EF22" i="17" s="1"/>
  <c r="EE26" i="17"/>
  <c r="EE11" i="17"/>
  <c r="EH6" i="17"/>
  <c r="EG5" i="17"/>
  <c r="EG20" i="17"/>
  <c r="EE23" i="17"/>
  <c r="EE8"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24" i="17" l="1"/>
  <c r="FB6" i="17"/>
  <c r="EG22" i="17"/>
  <c r="EE25" i="17"/>
  <c r="EZ3" i="17"/>
  <c r="FA3" i="17"/>
  <c r="EI10" i="17"/>
  <c r="EH24" i="17"/>
  <c r="EU5" i="17"/>
  <c r="FB5" i="17"/>
  <c r="DZ7" i="17"/>
  <c r="DZ6" i="17"/>
  <c r="EF23" i="17"/>
  <c r="EF25" i="17" s="1"/>
  <c r="EG9" i="17"/>
  <c r="EH23" i="17"/>
  <c r="EI9" i="17"/>
  <c r="EH8" i="17"/>
  <c r="EG29" i="17"/>
  <c r="FA4" i="17"/>
  <c r="EZ4" i="17"/>
  <c r="EH27" i="17"/>
  <c r="EI13" i="17"/>
  <c r="EI30" i="17" s="1"/>
  <c r="FB20" i="17"/>
  <c r="EU20" i="17"/>
  <c r="EE22" i="17"/>
  <c r="FB21" i="17"/>
  <c r="EU21" i="17"/>
  <c r="EE28" i="17"/>
  <c r="EG13" i="17"/>
  <c r="EF27" i="17"/>
  <c r="EF28" i="17" s="1"/>
  <c r="FB12" i="17"/>
  <c r="FB10" i="17"/>
  <c r="EH13" i="17"/>
  <c r="EH30" i="17" s="1"/>
  <c r="EG27" i="17"/>
  <c r="EF31" i="17"/>
  <c r="EG23" i="17"/>
  <c r="EH9" i="17"/>
  <c r="EF8" i="17"/>
  <c r="FB8" i="17" s="1"/>
  <c r="EF14" i="17"/>
  <c r="EE31" i="17"/>
  <c r="D11" i="19"/>
  <c r="CK18" i="17"/>
  <c r="DS20" i="17"/>
  <c r="DS18" i="17"/>
  <c r="CK19" i="17"/>
  <c r="CL19" i="17"/>
  <c r="CF20" i="17"/>
  <c r="FA20" i="17" l="1"/>
  <c r="EZ20" i="17"/>
  <c r="EG26" i="17"/>
  <c r="FB26" i="17" s="1"/>
  <c r="EH12" i="17"/>
  <c r="EG11" i="17"/>
  <c r="FB11" i="17" s="1"/>
  <c r="FB9" i="17"/>
  <c r="DZ23" i="17"/>
  <c r="DZ8" i="17"/>
  <c r="EU8" i="17" s="1"/>
  <c r="EU6" i="17"/>
  <c r="EA9" i="17"/>
  <c r="EU7" i="17"/>
  <c r="DZ24" i="17"/>
  <c r="EU24" i="17" s="1"/>
  <c r="EA10" i="17"/>
  <c r="EZ5" i="17"/>
  <c r="FA5" i="17"/>
  <c r="EG30" i="17"/>
  <c r="FB30" i="17" s="1"/>
  <c r="FB13" i="17"/>
  <c r="FB29" i="17"/>
  <c r="EH25" i="17"/>
  <c r="EG14" i="17"/>
  <c r="FB14" i="17" s="1"/>
  <c r="EJ13" i="17"/>
  <c r="EJ30" i="17" s="1"/>
  <c r="EI27" i="17"/>
  <c r="DZ10" i="17"/>
  <c r="DZ9" i="17"/>
  <c r="FB23" i="17"/>
  <c r="EG25" i="17"/>
  <c r="FB25" i="17" s="1"/>
  <c r="FB27" i="17"/>
  <c r="EZ21" i="17"/>
  <c r="FA21" i="17"/>
  <c r="FB22" i="17"/>
  <c r="EU22" i="17"/>
  <c r="EH26" i="17"/>
  <c r="EH28" i="17" s="1"/>
  <c r="EI12" i="17"/>
  <c r="EH11" i="17"/>
  <c r="EI11" i="17"/>
  <c r="EJ12" i="17"/>
  <c r="EI26" i="17"/>
  <c r="CK20" i="17"/>
  <c r="CL20" i="17"/>
  <c r="EG31" i="17" l="1"/>
  <c r="FB31" i="17" s="1"/>
  <c r="EG28" i="17"/>
  <c r="FB28" i="17" s="1"/>
  <c r="EI28" i="17"/>
  <c r="FA22" i="17"/>
  <c r="H36" i="21"/>
  <c r="EZ22" i="17"/>
  <c r="EZ6" i="17"/>
  <c r="FA6" i="17"/>
  <c r="EU23" i="17"/>
  <c r="DZ25" i="17"/>
  <c r="EU25" i="17" s="1"/>
  <c r="DZ13" i="17"/>
  <c r="DZ12" i="17"/>
  <c r="EJ29" i="17"/>
  <c r="EJ31" i="17" s="1"/>
  <c r="EJ14" i="17"/>
  <c r="EH29" i="17"/>
  <c r="EH31" i="17" s="1"/>
  <c r="EH14" i="17"/>
  <c r="EA12" i="17"/>
  <c r="DZ26" i="17"/>
  <c r="DZ11" i="17"/>
  <c r="FA8" i="17"/>
  <c r="EZ8" i="17"/>
  <c r="EA13" i="17"/>
  <c r="EA30" i="17" s="1"/>
  <c r="DZ27" i="17"/>
  <c r="EU10" i="17"/>
  <c r="EA27" i="17"/>
  <c r="EV27" i="17" s="1"/>
  <c r="EB13" i="17"/>
  <c r="EV10" i="17"/>
  <c r="EI29" i="17"/>
  <c r="EI31" i="17" s="1"/>
  <c r="EI14" i="17"/>
  <c r="FA24" i="17"/>
  <c r="EZ24" i="17"/>
  <c r="EU9" i="17"/>
  <c r="EV9" i="17"/>
  <c r="EA11" i="17"/>
  <c r="EV11" i="17" s="1"/>
  <c r="EB12" i="17"/>
  <c r="EA26" i="17"/>
  <c r="FA7" i="17"/>
  <c r="EZ7" i="17"/>
  <c r="EV13" i="17" l="1"/>
  <c r="EW13" i="17"/>
  <c r="EB30" i="17"/>
  <c r="EW30" i="17" s="1"/>
  <c r="EB29" i="17"/>
  <c r="EW12" i="17"/>
  <c r="EB14" i="17"/>
  <c r="EZ9" i="17"/>
  <c r="FA9" i="17"/>
  <c r="EU26" i="17"/>
  <c r="EA28" i="17"/>
  <c r="EV28" i="17" s="1"/>
  <c r="EV26" i="17"/>
  <c r="H37" i="21"/>
  <c r="FA25" i="17"/>
  <c r="EZ25" i="17"/>
  <c r="EU11" i="17"/>
  <c r="EZ10" i="17"/>
  <c r="FA10" i="17"/>
  <c r="DZ28" i="17"/>
  <c r="EU27" i="17"/>
  <c r="EA29" i="17"/>
  <c r="EA14" i="17"/>
  <c r="EV12" i="17"/>
  <c r="DZ29" i="17"/>
  <c r="DZ14" i="17"/>
  <c r="EU12" i="17"/>
  <c r="DZ30" i="17"/>
  <c r="EU13" i="17"/>
  <c r="FA23" i="17"/>
  <c r="EZ23" i="17"/>
  <c r="EU30" i="17" l="1"/>
  <c r="EV30" i="17"/>
  <c r="EA31" i="17"/>
  <c r="EV29" i="17"/>
  <c r="EV14" i="17"/>
  <c r="EW14" i="17"/>
  <c r="FA27" i="17"/>
  <c r="EZ27" i="17"/>
  <c r="FA11" i="17"/>
  <c r="EZ11" i="17"/>
  <c r="EB31" i="17"/>
  <c r="EW31" i="17" s="1"/>
  <c r="EW29" i="17"/>
  <c r="EZ26" i="17"/>
  <c r="FA26" i="17"/>
  <c r="EZ30" i="17"/>
  <c r="FA30" i="17"/>
  <c r="EZ12" i="17"/>
  <c r="FA12" i="17"/>
  <c r="DZ31" i="17"/>
  <c r="EU29" i="17"/>
  <c r="EU28" i="17"/>
  <c r="FA13" i="17"/>
  <c r="EZ13" i="17"/>
  <c r="EU14" i="17"/>
  <c r="EZ14" i="17" l="1"/>
  <c r="FA14" i="17"/>
  <c r="FA28" i="17"/>
  <c r="H38" i="21"/>
  <c r="EZ28" i="17"/>
  <c r="EZ29" i="17"/>
  <c r="FA29" i="17"/>
  <c r="EU31" i="17"/>
  <c r="EV31" i="17"/>
  <c r="FA31" i="17" l="1"/>
  <c r="H39" i="21"/>
  <c r="EZ31" i="17"/>
</calcChain>
</file>

<file path=xl/sharedStrings.xml><?xml version="1.0" encoding="utf-8"?>
<sst xmlns="http://schemas.openxmlformats.org/spreadsheetml/2006/main" count="1384" uniqueCount="461">
  <si>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</si>
  <si>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</si>
  <si>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</si>
  <si>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</si>
  <si>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</si>
  <si>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</si>
  <si>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</si>
  <si>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</si>
  <si>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</si>
  <si>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</si>
  <si>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</si>
  <si>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</si>
  <si>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</si>
  <si>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</si>
  <si>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</si>
  <si>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</si>
  <si>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</si>
  <si>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</si>
  <si>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</si>
  <si>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</si>
  <si>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</si>
  <si>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</si>
  <si>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</si>
  <si>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</si>
  <si>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</si>
  <si>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</si>
  <si>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</si>
  <si>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</si>
  <si>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</si>
  <si>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</si>
  <si>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</si>
  <si>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</si>
  <si>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</si>
  <si>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</si>
  <si>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</si>
  <si>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</si>
  <si>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</si>
  <si>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</si>
  <si>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</si>
  <si>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</si>
  <si>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</si>
  <si>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</si>
  <si>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</si>
  <si>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</si>
  <si>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</si>
  <si>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</si>
  <si>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</si>
  <si>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</si>
  <si>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</si>
  <si>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</si>
  <si>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</si>
  <si>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</si>
  <si>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</si>
  <si>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</si>
  <si>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</si>
  <si>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</si>
  <si>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</si>
  <si>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</si>
  <si>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</si>
  <si>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</si>
  <si>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</si>
  <si>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</si>
  <si>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</si>
  <si>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</si>
  <si>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</si>
  <si>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</si>
  <si>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</si>
  <si>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</si>
  <si>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</si>
  <si>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</si>
  <si>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</si>
  <si>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</si>
  <si>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</si>
  <si>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</si>
  <si>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</si>
  <si>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</si>
  <si>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</si>
  <si>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</si>
  <si>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</si>
  <si>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</si>
  <si>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</si>
  <si>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</si>
  <si>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</si>
  <si>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</si>
  <si>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</si>
  <si>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</si>
  <si>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</si>
  <si>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</si>
  <si>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</si>
  <si>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</si>
  <si>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</si>
  <si>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</si>
  <si>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</si>
  <si>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</si>
  <si>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</si>
  <si>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</si>
  <si>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</si>
  <si>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</si>
  <si>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</si>
  <si>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</si>
  <si>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</si>
  <si>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</si>
  <si>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</si>
  <si>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</si>
  <si>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</si>
  <si>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</si>
  <si>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</si>
  <si>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</si>
  <si>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</si>
  <si>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</si>
  <si>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</si>
  <si>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</si>
  <si>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</si>
  <si>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</si>
  <si>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</si>
  <si>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</si>
  <si>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</si>
  <si>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</si>
  <si>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</si>
  <si>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</si>
  <si>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</si>
  <si>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</si>
  <si>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</si>
  <si>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</si>
  <si>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</si>
  <si>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</si>
  <si>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</si>
  <si>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</si>
  <si>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</si>
  <si>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</si>
  <si>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</si>
  <si>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</si>
  <si>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</si>
  <si>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</si>
  <si>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</si>
  <si>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</si>
  <si>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</si>
  <si>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</si>
  <si>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</si>
  <si>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</si>
  <si>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</si>
  <si>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</si>
  <si>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</si>
  <si>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</si>
  <si>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</si>
  <si>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</si>
  <si>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</si>
  <si>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</si>
  <si>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</si>
  <si>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</si>
  <si>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</si>
  <si>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</si>
  <si>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</si>
  <si>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</si>
  <si>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</si>
  <si>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</si>
  <si>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</si>
  <si>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</si>
  <si>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</si>
  <si>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</si>
  <si>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</si>
  <si>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</si>
  <si>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</si>
  <si>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</si>
  <si>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</si>
  <si>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</si>
  <si>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</si>
  <si>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</si>
  <si>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</si>
  <si>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</si>
  <si>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</si>
  <si>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</si>
  <si>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</si>
  <si>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</si>
  <si>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</si>
  <si>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</si>
  <si>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</si>
  <si>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</si>
  <si>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</si>
  <si>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</si>
  <si>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</si>
  <si>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</si>
  <si>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</si>
  <si>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</si>
  <si>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</si>
  <si>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</si>
  <si>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</si>
  <si>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</si>
  <si>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</si>
  <si>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</si>
  <si>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</si>
  <si>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</si>
  <si>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</si>
  <si>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</si>
  <si>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</si>
  <si>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</si>
  <si>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</si>
  <si>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</si>
  <si>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</si>
  <si>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</si>
  <si>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</si>
  <si>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</si>
  <si>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</si>
  <si>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</si>
  <si>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</si>
  <si>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</si>
  <si>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</si>
  <si>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</si>
  <si>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</si>
  <si>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</si>
  <si>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</si>
  <si>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</si>
  <si>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</si>
  <si>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</si>
  <si>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</si>
  <si>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</si>
  <si>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</si>
  <si>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</si>
  <si>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</si>
  <si>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</si>
  <si>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</si>
  <si>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</si>
  <si>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</si>
  <si>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</si>
  <si>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</si>
  <si>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</si>
  <si>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</si>
  <si>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</si>
  <si>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</si>
  <si>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</si>
  <si>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</si>
  <si>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</si>
  <si>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</si>
  <si>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</si>
  <si>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</si>
  <si>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</si>
  <si>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</si>
  <si>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</si>
  <si>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</si>
  <si>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</si>
  <si>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</si>
  <si>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</si>
  <si>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</si>
  <si>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</si>
  <si>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</si>
  <si>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</si>
  <si>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</si>
  <si>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</si>
  <si>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</si>
  <si>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</si>
  <si>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</si>
  <si>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</si>
  <si>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</si>
  <si>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</si>
  <si>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</si>
  <si>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</si>
  <si>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</si>
  <si>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</si>
  <si>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</si>
  <si>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</si>
  <si>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</si>
  <si>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</si>
  <si>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</si>
  <si>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</si>
  <si>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</si>
  <si>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</si>
  <si>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</si>
  <si>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</si>
  <si>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</si>
  <si>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</si>
  <si>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</si>
  <si>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</si>
  <si>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</si>
  <si>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</si>
  <si>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</si>
  <si>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</si>
  <si>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</si>
  <si>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</si>
  <si>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</si>
  <si>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</si>
  <si>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</si>
  <si>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</si>
  <si>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</si>
  <si>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</si>
  <si>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</si>
  <si>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</si>
  <si>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</si>
  <si>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</si>
  <si>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</si>
  <si>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</si>
  <si>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</si>
  <si>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</si>
  <si>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</si>
  <si>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</si>
  <si>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</si>
  <si>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</si>
  <si>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</si>
  <si>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</si>
  <si>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</si>
  <si>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</si>
  <si>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</si>
  <si>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</si>
  <si>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</si>
  <si>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</si>
  <si>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</si>
  <si>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</si>
  <si>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</si>
  <si>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</si>
  <si>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</si>
  <si>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</si>
  <si>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</si>
  <si>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</si>
  <si>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</si>
  <si>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</si>
  <si>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</si>
  <si>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</si>
  <si>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</si>
  <si>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</si>
  <si>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</si>
  <si>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</si>
  <si>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</si>
  <si>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</si>
  <si>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</si>
  <si>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</si>
  <si>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</si>
  <si>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</si>
  <si>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</si>
  <si>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</si>
  <si>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</si>
  <si>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</si>
  <si>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</si>
  <si>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</si>
  <si>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</si>
  <si>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</si>
  <si>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</si>
  <si>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</si>
  <si>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</si>
  <si>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</si>
  <si>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</si>
  <si>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</si>
  <si>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</si>
  <si>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</si>
  <si>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</si>
  <si>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</si>
  <si>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</si>
  <si>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</si>
  <si>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</si>
  <si>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</si>
  <si>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</si>
  <si>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</si>
  <si>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</si>
  <si>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</si>
  <si>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</si>
  <si>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</si>
  <si>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</si>
  <si>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</si>
  <si>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</si>
  <si>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</si>
  <si>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</si>
  <si>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</si>
  <si>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</si>
  <si>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</si>
  <si>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</si>
  <si>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</si>
  <si>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</si>
  <si>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</si>
  <si>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</si>
  <si>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</si>
  <si>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</si>
  <si>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</si>
  <si>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</si>
  <si>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</si>
  <si>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</si>
  <si>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</si>
  <si>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</si>
  <si>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</si>
  <si>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</si>
  <si>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</si>
  <si>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</si>
  <si>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</si>
  <si>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</si>
  <si>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</si>
  <si>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</si>
  <si>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</si>
  <si>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</si>
  <si>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</si>
  <si>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</si>
  <si>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</si>
  <si>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</si>
  <si>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</si>
  <si>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</si>
  <si>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</si>
  <si>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</si>
  <si>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</si>
  <si>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</si>
  <si>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</si>
  <si>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</si>
  <si>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</si>
  <si>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</si>
  <si>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</si>
  <si>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</si>
  <si>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</si>
  <si>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</si>
  <si>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</si>
  <si>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</si>
  <si>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</si>
  <si>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</si>
  <si>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</si>
  <si>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</si>
  <si>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</si>
  <si>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</si>
  <si>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</si>
  <si>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</si>
  <si>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</si>
  <si>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</si>
  <si>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</si>
  <si>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</si>
  <si>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</si>
  <si>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</si>
  <si>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</si>
  <si>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</si>
  <si>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</si>
  <si>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</si>
  <si>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</si>
  <si>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</si>
  <si>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</si>
  <si>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45202_1</t>
  </si>
  <si>
    <t>都城市</t>
    <rPh sb="0" eb="2">
      <t>ミヤコノジョウ</t>
    </rPh>
    <rPh sb="2" eb="3">
      <t>シ</t>
    </rPh>
    <phoneticPr fontId="1"/>
  </si>
  <si>
    <t>姫城地区</t>
  </si>
  <si>
    <t>45202_2</t>
  </si>
  <si>
    <t>妻ケ丘地区</t>
  </si>
  <si>
    <t>45202_3</t>
  </si>
  <si>
    <t>小松原地区</t>
  </si>
  <si>
    <t>45202_4</t>
  </si>
  <si>
    <t>祝吉地区</t>
  </si>
  <si>
    <t>45202_5</t>
  </si>
  <si>
    <t>五十市地区</t>
  </si>
  <si>
    <t>45202_6</t>
  </si>
  <si>
    <t>横市地区</t>
  </si>
  <si>
    <t>45202_7</t>
  </si>
  <si>
    <t>沖水地区</t>
  </si>
  <si>
    <t>45202_8</t>
  </si>
  <si>
    <t>志和池地区</t>
  </si>
  <si>
    <t>45202_9</t>
  </si>
  <si>
    <t>庄内地区</t>
  </si>
  <si>
    <t>45202_10</t>
  </si>
  <si>
    <t>西岳地区</t>
  </si>
  <si>
    <t>45202_11</t>
  </si>
  <si>
    <t>中郷地区</t>
  </si>
  <si>
    <t>45202_12</t>
  </si>
  <si>
    <t>山之口地区</t>
  </si>
  <si>
    <t>45202_13</t>
  </si>
  <si>
    <t>高城地区</t>
  </si>
  <si>
    <t>45202_14</t>
  </si>
  <si>
    <t>山田地区</t>
  </si>
  <si>
    <t>45202_15</t>
  </si>
  <si>
    <t>高崎地区</t>
  </si>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</sst>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643</c:v>
                </c:pt>
                <c:pt idx="1">
                  <c:v>596</c:v>
                </c:pt>
                <c:pt idx="2">
                  <c:v>611</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39210728"/>
        <c:axId val="386583696"/>
      </c:barChart>
      <c:catAx>
        <c:axId val="339210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583696"/>
        <c:crosses val="autoZero"/>
        <c:auto val="1"/>
        <c:lblAlgn val="ctr"/>
        <c:lblOffset val="100"/>
        <c:noMultiLvlLbl val="0"/>
      </c:catAx>
      <c:valAx>
        <c:axId val="3865836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39210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335</c:v>
                </c:pt>
                <c:pt idx="1">
                  <c:v>296</c:v>
                </c:pt>
                <c:pt idx="2">
                  <c:v>300</c:v>
                </c:pt>
                <c:pt idx="3">
                  <c:v>295</c:v>
                </c:pt>
                <c:pt idx="4">
                  <c:v>281</c:v>
                </c:pt>
                <c:pt idx="5">
                  <c:v>249</c:v>
                </c:pt>
                <c:pt idx="6">
                  <c:v>225</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87661792"/>
        <c:axId val="387663752"/>
      </c:barChart>
      <c:catAx>
        <c:axId val="387661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663752"/>
        <c:crosses val="autoZero"/>
        <c:auto val="1"/>
        <c:lblAlgn val="ctr"/>
        <c:lblOffset val="100"/>
        <c:noMultiLvlLbl val="0"/>
      </c:catAx>
      <c:valAx>
        <c:axId val="3876637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6617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0.28999999999999998</c:v>
                </c:pt>
                <c:pt idx="1">
                  <c:v>0.32</c:v>
                </c:pt>
                <c:pt idx="2">
                  <c:v>0.34</c:v>
                </c:pt>
                <c:pt idx="3">
                  <c:v>0.34</c:v>
                </c:pt>
                <c:pt idx="4">
                  <c:v>0.34</c:v>
                </c:pt>
                <c:pt idx="5">
                  <c:v>0.34</c:v>
                </c:pt>
                <c:pt idx="6">
                  <c:v>0.35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87663360"/>
        <c:axId val="387664928"/>
      </c:barChart>
      <c:catAx>
        <c:axId val="387663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664928"/>
        <c:crosses val="autoZero"/>
        <c:auto val="1"/>
        <c:lblAlgn val="ctr"/>
        <c:lblOffset val="100"/>
        <c:noMultiLvlLbl val="0"/>
      </c:catAx>
      <c:valAx>
        <c:axId val="3876649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6633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0.16</c:v>
                </c:pt>
                <c:pt idx="1">
                  <c:v>0.17</c:v>
                </c:pt>
                <c:pt idx="2">
                  <c:v>0.18</c:v>
                </c:pt>
                <c:pt idx="3">
                  <c:v>0.2</c:v>
                </c:pt>
                <c:pt idx="4">
                  <c:v>0.21</c:v>
                </c:pt>
                <c:pt idx="5">
                  <c:v>0.21</c:v>
                </c:pt>
                <c:pt idx="6">
                  <c:v>0.2</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87665320"/>
        <c:axId val="387662184"/>
      </c:barChart>
      <c:catAx>
        <c:axId val="387665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662184"/>
        <c:crosses val="autoZero"/>
        <c:auto val="1"/>
        <c:lblAlgn val="ctr"/>
        <c:lblOffset val="100"/>
        <c:noMultiLvlLbl val="0"/>
      </c:catAx>
      <c:valAx>
        <c:axId val="3876621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6653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3.888051437157844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8E4-43A2-A6DB-6ACD611838C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196</c:v>
                </c:pt>
                <c:pt idx="1">
                  <c:v>207</c:v>
                </c:pt>
                <c:pt idx="2">
                  <c:v>247</c:v>
                </c:pt>
                <c:pt idx="3">
                  <c:v>214</c:v>
                </c:pt>
                <c:pt idx="4">
                  <c:v>153</c:v>
                </c:pt>
                <c:pt idx="5">
                  <c:v>216</c:v>
                </c:pt>
                <c:pt idx="6">
                  <c:v>227</c:v>
                </c:pt>
                <c:pt idx="7">
                  <c:v>264</c:v>
                </c:pt>
                <c:pt idx="8">
                  <c:v>281</c:v>
                </c:pt>
                <c:pt idx="9">
                  <c:v>311</c:v>
                </c:pt>
                <c:pt idx="10">
                  <c:v>340</c:v>
                </c:pt>
                <c:pt idx="11">
                  <c:v>410</c:v>
                </c:pt>
                <c:pt idx="12">
                  <c:v>332</c:v>
                </c:pt>
                <c:pt idx="13">
                  <c:v>297</c:v>
                </c:pt>
                <c:pt idx="14">
                  <c:v>310</c:v>
                </c:pt>
                <c:pt idx="15">
                  <c:v>295</c:v>
                </c:pt>
                <c:pt idx="16">
                  <c:v>317</c:v>
                </c:pt>
                <c:pt idx="17">
                  <c:v>149</c:v>
                </c:pt>
                <c:pt idx="18">
                  <c:v>88</c:v>
                </c:pt>
                <c:pt idx="19">
                  <c:v>18</c:v>
                </c:pt>
                <c:pt idx="20">
                  <c:v>4</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87662576"/>
        <c:axId val="38766296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191</c:v>
                </c:pt>
                <c:pt idx="1">
                  <c:v>199</c:v>
                </c:pt>
                <c:pt idx="2">
                  <c:v>227</c:v>
                </c:pt>
                <c:pt idx="3">
                  <c:v>241</c:v>
                </c:pt>
                <c:pt idx="4">
                  <c:v>216</c:v>
                </c:pt>
                <c:pt idx="5">
                  <c:v>209</c:v>
                </c:pt>
                <c:pt idx="6">
                  <c:v>212</c:v>
                </c:pt>
                <c:pt idx="7">
                  <c:v>232</c:v>
                </c:pt>
                <c:pt idx="8">
                  <c:v>272</c:v>
                </c:pt>
                <c:pt idx="9">
                  <c:v>373</c:v>
                </c:pt>
                <c:pt idx="10">
                  <c:v>346</c:v>
                </c:pt>
                <c:pt idx="11">
                  <c:v>401</c:v>
                </c:pt>
                <c:pt idx="12">
                  <c:v>366</c:v>
                </c:pt>
                <c:pt idx="13">
                  <c:v>351</c:v>
                </c:pt>
                <c:pt idx="14">
                  <c:v>389</c:v>
                </c:pt>
                <c:pt idx="15">
                  <c:v>414</c:v>
                </c:pt>
                <c:pt idx="16">
                  <c:v>411</c:v>
                </c:pt>
                <c:pt idx="17">
                  <c:v>265</c:v>
                </c:pt>
                <c:pt idx="18">
                  <c:v>150</c:v>
                </c:pt>
                <c:pt idx="19">
                  <c:v>58</c:v>
                </c:pt>
                <c:pt idx="20">
                  <c:v>12</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87666496"/>
        <c:axId val="387665712"/>
      </c:barChart>
      <c:catAx>
        <c:axId val="3876625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662968"/>
        <c:crosses val="autoZero"/>
        <c:auto val="1"/>
        <c:lblAlgn val="ctr"/>
        <c:lblOffset val="100"/>
        <c:noMultiLvlLbl val="0"/>
      </c:catAx>
      <c:valAx>
        <c:axId val="38766296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662576"/>
        <c:crosses val="autoZero"/>
        <c:crossBetween val="between"/>
        <c:majorUnit val="500"/>
      </c:valAx>
      <c:valAx>
        <c:axId val="38766571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666496"/>
        <c:crosses val="max"/>
        <c:crossBetween val="between"/>
        <c:majorUnit val="500"/>
      </c:valAx>
      <c:catAx>
        <c:axId val="387666496"/>
        <c:scaling>
          <c:orientation val="minMax"/>
        </c:scaling>
        <c:delete val="1"/>
        <c:axPos val="l"/>
        <c:numFmt formatCode="General" sourceLinked="1"/>
        <c:majorTickMark val="out"/>
        <c:minorTickMark val="none"/>
        <c:tickLblPos val="nextTo"/>
        <c:crossAx val="3876657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3.7840942110663203E-2"/>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9F1-4083-807C-EE9B0B06D6F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180</c:v>
                </c:pt>
                <c:pt idx="1">
                  <c:v>182</c:v>
                </c:pt>
                <c:pt idx="2">
                  <c:v>198</c:v>
                </c:pt>
                <c:pt idx="3">
                  <c:v>170</c:v>
                </c:pt>
                <c:pt idx="4">
                  <c:v>146</c:v>
                </c:pt>
                <c:pt idx="5">
                  <c:v>225</c:v>
                </c:pt>
                <c:pt idx="6">
                  <c:v>213</c:v>
                </c:pt>
                <c:pt idx="7">
                  <c:v>203</c:v>
                </c:pt>
                <c:pt idx="8">
                  <c:v>220</c:v>
                </c:pt>
                <c:pt idx="9">
                  <c:v>265</c:v>
                </c:pt>
                <c:pt idx="10">
                  <c:v>286</c:v>
                </c:pt>
                <c:pt idx="11">
                  <c:v>313</c:v>
                </c:pt>
                <c:pt idx="12">
                  <c:v>331</c:v>
                </c:pt>
                <c:pt idx="13">
                  <c:v>368</c:v>
                </c:pt>
                <c:pt idx="14">
                  <c:v>274</c:v>
                </c:pt>
                <c:pt idx="15">
                  <c:v>232</c:v>
                </c:pt>
                <c:pt idx="16">
                  <c:v>210</c:v>
                </c:pt>
                <c:pt idx="17">
                  <c:v>144</c:v>
                </c:pt>
                <c:pt idx="18">
                  <c:v>100</c:v>
                </c:pt>
                <c:pt idx="19">
                  <c:v>18</c:v>
                </c:pt>
                <c:pt idx="20">
                  <c:v>4</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87661008"/>
        <c:axId val="38765983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176</c:v>
                </c:pt>
                <c:pt idx="1">
                  <c:v>175</c:v>
                </c:pt>
                <c:pt idx="2">
                  <c:v>181</c:v>
                </c:pt>
                <c:pt idx="3">
                  <c:v>199</c:v>
                </c:pt>
                <c:pt idx="4">
                  <c:v>190</c:v>
                </c:pt>
                <c:pt idx="5">
                  <c:v>194</c:v>
                </c:pt>
                <c:pt idx="6">
                  <c:v>215</c:v>
                </c:pt>
                <c:pt idx="7">
                  <c:v>198</c:v>
                </c:pt>
                <c:pt idx="8">
                  <c:v>205</c:v>
                </c:pt>
                <c:pt idx="9">
                  <c:v>248</c:v>
                </c:pt>
                <c:pt idx="10">
                  <c:v>275</c:v>
                </c:pt>
                <c:pt idx="11">
                  <c:v>376</c:v>
                </c:pt>
                <c:pt idx="12">
                  <c:v>342</c:v>
                </c:pt>
                <c:pt idx="13">
                  <c:v>378</c:v>
                </c:pt>
                <c:pt idx="14">
                  <c:v>355</c:v>
                </c:pt>
                <c:pt idx="15">
                  <c:v>314</c:v>
                </c:pt>
                <c:pt idx="16">
                  <c:v>299</c:v>
                </c:pt>
                <c:pt idx="17">
                  <c:v>265</c:v>
                </c:pt>
                <c:pt idx="18">
                  <c:v>170</c:v>
                </c:pt>
                <c:pt idx="19">
                  <c:v>47</c:v>
                </c:pt>
                <c:pt idx="20">
                  <c:v>10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87660616"/>
        <c:axId val="387660224"/>
      </c:barChart>
      <c:catAx>
        <c:axId val="3876610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659832"/>
        <c:crosses val="autoZero"/>
        <c:auto val="1"/>
        <c:lblAlgn val="ctr"/>
        <c:lblOffset val="100"/>
        <c:noMultiLvlLbl val="0"/>
      </c:catAx>
      <c:valAx>
        <c:axId val="38765983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661008"/>
        <c:crosses val="autoZero"/>
        <c:crossBetween val="between"/>
        <c:majorUnit val="500"/>
      </c:valAx>
      <c:valAx>
        <c:axId val="38766022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660616"/>
        <c:crosses val="max"/>
        <c:crossBetween val="between"/>
        <c:majorUnit val="500"/>
      </c:valAx>
      <c:catAx>
        <c:axId val="387660616"/>
        <c:scaling>
          <c:orientation val="minMax"/>
        </c:scaling>
        <c:delete val="1"/>
        <c:axPos val="l"/>
        <c:numFmt formatCode="General" sourceLinked="1"/>
        <c:majorTickMark val="out"/>
        <c:minorTickMark val="none"/>
        <c:tickLblPos val="nextTo"/>
        <c:crossAx val="3876602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12769</c:v>
                </c:pt>
                <c:pt idx="1">
                  <c:v>12078</c:v>
                </c:pt>
                <c:pt idx="2">
                  <c:v>11794</c:v>
                </c:pt>
                <c:pt idx="3">
                  <c:v>11113</c:v>
                </c:pt>
                <c:pt idx="4">
                  <c:v>10411</c:v>
                </c:pt>
                <c:pt idx="5">
                  <c:v>9730</c:v>
                </c:pt>
                <c:pt idx="6">
                  <c:v>9094</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4F44-4662-8C65-16C3B3ED1806}"/>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4F44-4662-8C65-16C3B3ED1806}"/>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4F44-4662-8C65-16C3B3ED1806}"/>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4F44-4662-8C65-16C3B3ED180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11122</c:v>
                </c:pt>
                <c:pt idx="4" formatCode="#,##0_);[Red]\(#,##0\)">
                  <c:v>10431</c:v>
                </c:pt>
                <c:pt idx="5" formatCode="#,##0_);[Red]\(#,##0\)">
                  <c:v>9762</c:v>
                </c:pt>
                <c:pt idx="6" formatCode="#,##0_);[Red]\(#,##0\)">
                  <c:v>9133</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87422256"/>
        <c:axId val="387421080"/>
      </c:barChart>
      <c:catAx>
        <c:axId val="387422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421080"/>
        <c:crosses val="autoZero"/>
        <c:auto val="1"/>
        <c:lblAlgn val="ctr"/>
        <c:lblOffset val="100"/>
        <c:noMultiLvlLbl val="0"/>
      </c:catAx>
      <c:valAx>
        <c:axId val="3874210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42225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643</c:v>
                </c:pt>
                <c:pt idx="1">
                  <c:v>596</c:v>
                </c:pt>
                <c:pt idx="2">
                  <c:v>611</c:v>
                </c:pt>
                <c:pt idx="3">
                  <c:v>586</c:v>
                </c:pt>
                <c:pt idx="4">
                  <c:v>528</c:v>
                </c:pt>
                <c:pt idx="5">
                  <c:v>471</c:v>
                </c:pt>
                <c:pt idx="6">
                  <c:v>441</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587</c:v>
                </c:pt>
                <c:pt idx="4">
                  <c:v>530</c:v>
                </c:pt>
                <c:pt idx="5">
                  <c:v>476</c:v>
                </c:pt>
                <c:pt idx="6">
                  <c:v>448</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87418728"/>
        <c:axId val="387415984"/>
      </c:barChart>
      <c:catAx>
        <c:axId val="387418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415984"/>
        <c:crosses val="autoZero"/>
        <c:auto val="1"/>
        <c:lblAlgn val="ctr"/>
        <c:lblOffset val="100"/>
        <c:noMultiLvlLbl val="0"/>
      </c:catAx>
      <c:valAx>
        <c:axId val="3874159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418728"/>
        <c:crosses val="autoZero"/>
        <c:crossBetween val="between"/>
      </c:valAx>
      <c:spPr>
        <a:noFill/>
        <a:ln>
          <a:noFill/>
        </a:ln>
        <a:effectLst/>
      </c:spPr>
    </c:plotArea>
    <c:legend>
      <c:legendPos val="t"/>
      <c:layout>
        <c:manualLayout>
          <c:xMode val="edge"/>
          <c:yMode val="edge"/>
          <c:x val="5.7385836743297169E-2"/>
          <c:y val="0.1065425280408155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0.28999999999999998</c:v>
                </c:pt>
                <c:pt idx="1">
                  <c:v>0.32</c:v>
                </c:pt>
                <c:pt idx="2">
                  <c:v>0.34</c:v>
                </c:pt>
                <c:pt idx="3">
                  <c:v>0.34</c:v>
                </c:pt>
                <c:pt idx="4">
                  <c:v>0.34</c:v>
                </c:pt>
                <c:pt idx="5">
                  <c:v>0.34</c:v>
                </c:pt>
                <c:pt idx="6">
                  <c:v>0.35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68E-402E-99AE-0AB45CAAD0FB}"/>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868E-402E-99AE-0AB45CAAD0FB}"/>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868E-402E-99AE-0AB45CAAD0FB}"/>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868E-402E-99AE-0AB45CAAD0F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0.34</c:v>
                </c:pt>
                <c:pt idx="4" formatCode="0%">
                  <c:v>0.34</c:v>
                </c:pt>
                <c:pt idx="5" formatCode="0%">
                  <c:v>0.34</c:v>
                </c:pt>
                <c:pt idx="6" formatCode="0%">
                  <c:v>0.35</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87415592"/>
        <c:axId val="387421472"/>
      </c:barChart>
      <c:catAx>
        <c:axId val="387415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421472"/>
        <c:crosses val="autoZero"/>
        <c:auto val="1"/>
        <c:lblAlgn val="ctr"/>
        <c:lblOffset val="100"/>
        <c:noMultiLvlLbl val="0"/>
      </c:catAx>
      <c:valAx>
        <c:axId val="3874214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41559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0.16</c:v>
                </c:pt>
                <c:pt idx="1">
                  <c:v>0.17</c:v>
                </c:pt>
                <c:pt idx="2">
                  <c:v>0.18</c:v>
                </c:pt>
                <c:pt idx="3">
                  <c:v>0.2</c:v>
                </c:pt>
                <c:pt idx="4">
                  <c:v>0.21</c:v>
                </c:pt>
                <c:pt idx="5">
                  <c:v>0.21</c:v>
                </c:pt>
                <c:pt idx="6">
                  <c:v>0.2</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BB99-422E-AF95-D32C7BF415FD}"/>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BB99-422E-AF95-D32C7BF415FD}"/>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BB99-422E-AF95-D32C7BF415FD}"/>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BB99-422E-AF95-D32C7BF415F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c:v>
                </c:pt>
                <c:pt idx="4" formatCode="0%">
                  <c:v>0.21</c:v>
                </c:pt>
                <c:pt idx="5" formatCode="0%">
                  <c:v>0.21</c:v>
                </c:pt>
                <c:pt idx="6" formatCode="0%">
                  <c:v>0.2</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87421864"/>
        <c:axId val="387417552"/>
      </c:barChart>
      <c:catAx>
        <c:axId val="387421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417552"/>
        <c:crosses val="autoZero"/>
        <c:auto val="1"/>
        <c:lblAlgn val="ctr"/>
        <c:lblOffset val="100"/>
        <c:noMultiLvlLbl val="0"/>
      </c:catAx>
      <c:valAx>
        <c:axId val="3874175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42186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335</c:v>
                </c:pt>
                <c:pt idx="1">
                  <c:v>296</c:v>
                </c:pt>
                <c:pt idx="2">
                  <c:v>300</c:v>
                </c:pt>
                <c:pt idx="3">
                  <c:v>295</c:v>
                </c:pt>
                <c:pt idx="4">
                  <c:v>281</c:v>
                </c:pt>
                <c:pt idx="5">
                  <c:v>249</c:v>
                </c:pt>
                <c:pt idx="6">
                  <c:v>225</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296</c:v>
                </c:pt>
                <c:pt idx="4">
                  <c:v>282</c:v>
                </c:pt>
                <c:pt idx="5">
                  <c:v>250</c:v>
                </c:pt>
                <c:pt idx="6">
                  <c:v>228</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87416376"/>
        <c:axId val="387419904"/>
      </c:barChart>
      <c:catAx>
        <c:axId val="387416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419904"/>
        <c:crosses val="autoZero"/>
        <c:auto val="1"/>
        <c:lblAlgn val="ctr"/>
        <c:lblOffset val="100"/>
        <c:noMultiLvlLbl val="0"/>
      </c:catAx>
      <c:valAx>
        <c:axId val="3874199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416376"/>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335</c:v>
                </c:pt>
                <c:pt idx="1">
                  <c:v>296</c:v>
                </c:pt>
                <c:pt idx="2">
                  <c:v>300</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6580952"/>
        <c:axId val="386580560"/>
      </c:barChart>
      <c:catAx>
        <c:axId val="386580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580560"/>
        <c:crosses val="autoZero"/>
        <c:auto val="1"/>
        <c:lblAlgn val="ctr"/>
        <c:lblOffset val="100"/>
        <c:noMultiLvlLbl val="0"/>
      </c:catAx>
      <c:valAx>
        <c:axId val="3865805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5809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3.4046039826043754E-2"/>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0F6-48A2-926B-C86E5A94723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198</c:v>
                </c:pt>
                <c:pt idx="1">
                  <c:v>208</c:v>
                </c:pt>
                <c:pt idx="2">
                  <c:v>248</c:v>
                </c:pt>
                <c:pt idx="3">
                  <c:v>215</c:v>
                </c:pt>
                <c:pt idx="4">
                  <c:v>153</c:v>
                </c:pt>
                <c:pt idx="5">
                  <c:v>218</c:v>
                </c:pt>
                <c:pt idx="6">
                  <c:v>229</c:v>
                </c:pt>
                <c:pt idx="7">
                  <c:v>264</c:v>
                </c:pt>
                <c:pt idx="8">
                  <c:v>281</c:v>
                </c:pt>
                <c:pt idx="9">
                  <c:v>311</c:v>
                </c:pt>
                <c:pt idx="10">
                  <c:v>340</c:v>
                </c:pt>
                <c:pt idx="11">
                  <c:v>410</c:v>
                </c:pt>
                <c:pt idx="12">
                  <c:v>332</c:v>
                </c:pt>
                <c:pt idx="13">
                  <c:v>297</c:v>
                </c:pt>
                <c:pt idx="14">
                  <c:v>310</c:v>
                </c:pt>
                <c:pt idx="15">
                  <c:v>295</c:v>
                </c:pt>
                <c:pt idx="16">
                  <c:v>317</c:v>
                </c:pt>
                <c:pt idx="17">
                  <c:v>149</c:v>
                </c:pt>
                <c:pt idx="18">
                  <c:v>88</c:v>
                </c:pt>
                <c:pt idx="19">
                  <c:v>18</c:v>
                </c:pt>
                <c:pt idx="20">
                  <c:v>4</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87417944"/>
        <c:axId val="38741833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193</c:v>
                </c:pt>
                <c:pt idx="1">
                  <c:v>200</c:v>
                </c:pt>
                <c:pt idx="2">
                  <c:v>228</c:v>
                </c:pt>
                <c:pt idx="3">
                  <c:v>242</c:v>
                </c:pt>
                <c:pt idx="4">
                  <c:v>216</c:v>
                </c:pt>
                <c:pt idx="5">
                  <c:v>211</c:v>
                </c:pt>
                <c:pt idx="6">
                  <c:v>214</c:v>
                </c:pt>
                <c:pt idx="7">
                  <c:v>232</c:v>
                </c:pt>
                <c:pt idx="8">
                  <c:v>273</c:v>
                </c:pt>
                <c:pt idx="9">
                  <c:v>374</c:v>
                </c:pt>
                <c:pt idx="10">
                  <c:v>346</c:v>
                </c:pt>
                <c:pt idx="11">
                  <c:v>401</c:v>
                </c:pt>
                <c:pt idx="12">
                  <c:v>366</c:v>
                </c:pt>
                <c:pt idx="13">
                  <c:v>351</c:v>
                </c:pt>
                <c:pt idx="14">
                  <c:v>389</c:v>
                </c:pt>
                <c:pt idx="15">
                  <c:v>414</c:v>
                </c:pt>
                <c:pt idx="16">
                  <c:v>411</c:v>
                </c:pt>
                <c:pt idx="17">
                  <c:v>265</c:v>
                </c:pt>
                <c:pt idx="18">
                  <c:v>150</c:v>
                </c:pt>
                <c:pt idx="19">
                  <c:v>58</c:v>
                </c:pt>
                <c:pt idx="20">
                  <c:v>12</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87420688"/>
        <c:axId val="387419512"/>
      </c:barChart>
      <c:catAx>
        <c:axId val="3874179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418336"/>
        <c:crosses val="autoZero"/>
        <c:auto val="1"/>
        <c:lblAlgn val="ctr"/>
        <c:lblOffset val="100"/>
        <c:noMultiLvlLbl val="0"/>
      </c:catAx>
      <c:valAx>
        <c:axId val="38741833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417944"/>
        <c:crosses val="autoZero"/>
        <c:crossBetween val="between"/>
        <c:majorUnit val="500"/>
      </c:valAx>
      <c:valAx>
        <c:axId val="38741951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420688"/>
        <c:crosses val="max"/>
        <c:crossBetween val="between"/>
        <c:majorUnit val="500"/>
      </c:valAx>
      <c:catAx>
        <c:axId val="387420688"/>
        <c:scaling>
          <c:orientation val="minMax"/>
        </c:scaling>
        <c:delete val="1"/>
        <c:axPos val="l"/>
        <c:numFmt formatCode="General" sourceLinked="1"/>
        <c:majorTickMark val="out"/>
        <c:minorTickMark val="none"/>
        <c:tickLblPos val="nextTo"/>
        <c:crossAx val="3874195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4.3014676609142044E-2"/>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648-48E3-B288-4B7531159B1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183</c:v>
                </c:pt>
                <c:pt idx="1">
                  <c:v>185</c:v>
                </c:pt>
                <c:pt idx="2">
                  <c:v>200</c:v>
                </c:pt>
                <c:pt idx="3">
                  <c:v>171</c:v>
                </c:pt>
                <c:pt idx="4">
                  <c:v>147</c:v>
                </c:pt>
                <c:pt idx="5">
                  <c:v>227</c:v>
                </c:pt>
                <c:pt idx="6">
                  <c:v>214</c:v>
                </c:pt>
                <c:pt idx="7">
                  <c:v>205</c:v>
                </c:pt>
                <c:pt idx="8">
                  <c:v>222</c:v>
                </c:pt>
                <c:pt idx="9">
                  <c:v>265</c:v>
                </c:pt>
                <c:pt idx="10">
                  <c:v>286</c:v>
                </c:pt>
                <c:pt idx="11">
                  <c:v>313</c:v>
                </c:pt>
                <c:pt idx="12">
                  <c:v>331</c:v>
                </c:pt>
                <c:pt idx="13">
                  <c:v>368</c:v>
                </c:pt>
                <c:pt idx="14">
                  <c:v>274</c:v>
                </c:pt>
                <c:pt idx="15">
                  <c:v>232</c:v>
                </c:pt>
                <c:pt idx="16">
                  <c:v>210</c:v>
                </c:pt>
                <c:pt idx="17">
                  <c:v>144</c:v>
                </c:pt>
                <c:pt idx="18">
                  <c:v>100</c:v>
                </c:pt>
                <c:pt idx="19">
                  <c:v>18</c:v>
                </c:pt>
                <c:pt idx="20">
                  <c:v>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2248680"/>
        <c:axId val="45225103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178</c:v>
                </c:pt>
                <c:pt idx="1">
                  <c:v>177</c:v>
                </c:pt>
                <c:pt idx="2">
                  <c:v>184</c:v>
                </c:pt>
                <c:pt idx="3">
                  <c:v>201</c:v>
                </c:pt>
                <c:pt idx="4">
                  <c:v>191</c:v>
                </c:pt>
                <c:pt idx="5">
                  <c:v>196</c:v>
                </c:pt>
                <c:pt idx="6">
                  <c:v>217</c:v>
                </c:pt>
                <c:pt idx="7">
                  <c:v>200</c:v>
                </c:pt>
                <c:pt idx="8">
                  <c:v>208</c:v>
                </c:pt>
                <c:pt idx="9">
                  <c:v>249</c:v>
                </c:pt>
                <c:pt idx="10">
                  <c:v>276</c:v>
                </c:pt>
                <c:pt idx="11">
                  <c:v>377</c:v>
                </c:pt>
                <c:pt idx="12">
                  <c:v>342</c:v>
                </c:pt>
                <c:pt idx="13">
                  <c:v>378</c:v>
                </c:pt>
                <c:pt idx="14">
                  <c:v>355</c:v>
                </c:pt>
                <c:pt idx="15">
                  <c:v>314</c:v>
                </c:pt>
                <c:pt idx="16">
                  <c:v>299</c:v>
                </c:pt>
                <c:pt idx="17">
                  <c:v>265</c:v>
                </c:pt>
                <c:pt idx="18">
                  <c:v>170</c:v>
                </c:pt>
                <c:pt idx="19">
                  <c:v>47</c:v>
                </c:pt>
                <c:pt idx="20">
                  <c:v>10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2251424"/>
        <c:axId val="452249072"/>
      </c:barChart>
      <c:catAx>
        <c:axId val="4522486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51032"/>
        <c:crosses val="autoZero"/>
        <c:auto val="1"/>
        <c:lblAlgn val="ctr"/>
        <c:lblOffset val="100"/>
        <c:noMultiLvlLbl val="0"/>
      </c:catAx>
      <c:valAx>
        <c:axId val="45225103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48680"/>
        <c:crosses val="autoZero"/>
        <c:crossBetween val="between"/>
        <c:majorUnit val="500"/>
      </c:valAx>
      <c:valAx>
        <c:axId val="45224907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51424"/>
        <c:crosses val="max"/>
        <c:crossBetween val="between"/>
        <c:majorUnit val="500"/>
      </c:valAx>
      <c:catAx>
        <c:axId val="452251424"/>
        <c:scaling>
          <c:orientation val="minMax"/>
        </c:scaling>
        <c:delete val="1"/>
        <c:axPos val="l"/>
        <c:numFmt formatCode="General" sourceLinked="1"/>
        <c:majorTickMark val="out"/>
        <c:minorTickMark val="none"/>
        <c:tickLblPos val="nextTo"/>
        <c:crossAx val="4522490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387</c:v>
                </c:pt>
                <c:pt idx="1">
                  <c:v>406</c:v>
                </c:pt>
                <c:pt idx="2">
                  <c:v>474</c:v>
                </c:pt>
                <c:pt idx="3">
                  <c:v>455</c:v>
                </c:pt>
                <c:pt idx="4">
                  <c:v>369</c:v>
                </c:pt>
                <c:pt idx="5">
                  <c:v>425</c:v>
                </c:pt>
                <c:pt idx="6">
                  <c:v>439</c:v>
                </c:pt>
                <c:pt idx="7">
                  <c:v>496</c:v>
                </c:pt>
                <c:pt idx="8">
                  <c:v>553</c:v>
                </c:pt>
                <c:pt idx="9">
                  <c:v>684</c:v>
                </c:pt>
                <c:pt idx="10">
                  <c:v>686</c:v>
                </c:pt>
                <c:pt idx="11">
                  <c:v>811</c:v>
                </c:pt>
                <c:pt idx="12">
                  <c:v>698</c:v>
                </c:pt>
                <c:pt idx="13">
                  <c:v>648</c:v>
                </c:pt>
                <c:pt idx="14">
                  <c:v>699</c:v>
                </c:pt>
                <c:pt idx="15">
                  <c:v>709</c:v>
                </c:pt>
                <c:pt idx="16">
                  <c:v>728</c:v>
                </c:pt>
                <c:pt idx="17">
                  <c:v>414</c:v>
                </c:pt>
                <c:pt idx="18">
                  <c:v>238</c:v>
                </c:pt>
                <c:pt idx="19">
                  <c:v>76</c:v>
                </c:pt>
                <c:pt idx="20">
                  <c:v>16</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2250640"/>
        <c:axId val="45224946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391</c:v>
                </c:pt>
                <c:pt idx="1">
                  <c:v>408</c:v>
                </c:pt>
                <c:pt idx="2">
                  <c:v>476</c:v>
                </c:pt>
                <c:pt idx="3">
                  <c:v>457</c:v>
                </c:pt>
                <c:pt idx="4">
                  <c:v>369</c:v>
                </c:pt>
                <c:pt idx="5">
                  <c:v>429</c:v>
                </c:pt>
                <c:pt idx="6">
                  <c:v>443</c:v>
                </c:pt>
                <c:pt idx="7">
                  <c:v>496</c:v>
                </c:pt>
                <c:pt idx="8">
                  <c:v>554</c:v>
                </c:pt>
                <c:pt idx="9">
                  <c:v>685</c:v>
                </c:pt>
                <c:pt idx="10">
                  <c:v>686</c:v>
                </c:pt>
                <c:pt idx="11">
                  <c:v>811</c:v>
                </c:pt>
                <c:pt idx="12">
                  <c:v>698</c:v>
                </c:pt>
                <c:pt idx="13">
                  <c:v>648</c:v>
                </c:pt>
                <c:pt idx="14">
                  <c:v>699</c:v>
                </c:pt>
                <c:pt idx="15">
                  <c:v>709</c:v>
                </c:pt>
                <c:pt idx="16">
                  <c:v>728</c:v>
                </c:pt>
                <c:pt idx="17">
                  <c:v>414</c:v>
                </c:pt>
                <c:pt idx="18">
                  <c:v>238</c:v>
                </c:pt>
                <c:pt idx="19">
                  <c:v>76</c:v>
                </c:pt>
                <c:pt idx="20">
                  <c:v>16</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2250248"/>
        <c:axId val="452248288"/>
      </c:barChart>
      <c:catAx>
        <c:axId val="4522506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49464"/>
        <c:crosses val="autoZero"/>
        <c:auto val="1"/>
        <c:lblAlgn val="ctr"/>
        <c:lblOffset val="100"/>
        <c:noMultiLvlLbl val="0"/>
      </c:catAx>
      <c:valAx>
        <c:axId val="45224946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50640"/>
        <c:crosses val="autoZero"/>
        <c:crossBetween val="between"/>
        <c:majorUnit val="500"/>
      </c:valAx>
      <c:valAx>
        <c:axId val="45224828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250248"/>
        <c:crosses val="max"/>
        <c:crossBetween val="between"/>
        <c:majorUnit val="500"/>
      </c:valAx>
      <c:catAx>
        <c:axId val="452250248"/>
        <c:scaling>
          <c:orientation val="minMax"/>
        </c:scaling>
        <c:delete val="1"/>
        <c:axPos val="l"/>
        <c:numFmt formatCode="General" sourceLinked="1"/>
        <c:majorTickMark val="out"/>
        <c:minorTickMark val="none"/>
        <c:tickLblPos val="nextTo"/>
        <c:crossAx val="452248288"/>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356</c:v>
                </c:pt>
                <c:pt idx="1">
                  <c:v>357</c:v>
                </c:pt>
                <c:pt idx="2">
                  <c:v>379</c:v>
                </c:pt>
                <c:pt idx="3">
                  <c:v>369</c:v>
                </c:pt>
                <c:pt idx="4">
                  <c:v>336</c:v>
                </c:pt>
                <c:pt idx="5">
                  <c:v>419</c:v>
                </c:pt>
                <c:pt idx="6">
                  <c:v>428</c:v>
                </c:pt>
                <c:pt idx="7">
                  <c:v>401</c:v>
                </c:pt>
                <c:pt idx="8">
                  <c:v>425</c:v>
                </c:pt>
                <c:pt idx="9">
                  <c:v>513</c:v>
                </c:pt>
                <c:pt idx="10">
                  <c:v>561</c:v>
                </c:pt>
                <c:pt idx="11">
                  <c:v>689</c:v>
                </c:pt>
                <c:pt idx="12">
                  <c:v>673</c:v>
                </c:pt>
                <c:pt idx="13">
                  <c:v>746</c:v>
                </c:pt>
                <c:pt idx="14">
                  <c:v>629</c:v>
                </c:pt>
                <c:pt idx="15">
                  <c:v>546</c:v>
                </c:pt>
                <c:pt idx="16">
                  <c:v>509</c:v>
                </c:pt>
                <c:pt idx="17">
                  <c:v>409</c:v>
                </c:pt>
                <c:pt idx="18">
                  <c:v>270</c:v>
                </c:pt>
                <c:pt idx="19">
                  <c:v>65</c:v>
                </c:pt>
                <c:pt idx="20">
                  <c:v>14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113536"/>
        <c:axId val="45311628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361</c:v>
                </c:pt>
                <c:pt idx="1">
                  <c:v>362</c:v>
                </c:pt>
                <c:pt idx="2">
                  <c:v>384</c:v>
                </c:pt>
                <c:pt idx="3">
                  <c:v>372</c:v>
                </c:pt>
                <c:pt idx="4">
                  <c:v>338</c:v>
                </c:pt>
                <c:pt idx="5">
                  <c:v>423</c:v>
                </c:pt>
                <c:pt idx="6">
                  <c:v>431</c:v>
                </c:pt>
                <c:pt idx="7">
                  <c:v>405</c:v>
                </c:pt>
                <c:pt idx="8">
                  <c:v>430</c:v>
                </c:pt>
                <c:pt idx="9">
                  <c:v>514</c:v>
                </c:pt>
                <c:pt idx="10">
                  <c:v>562</c:v>
                </c:pt>
                <c:pt idx="11">
                  <c:v>690</c:v>
                </c:pt>
                <c:pt idx="12">
                  <c:v>673</c:v>
                </c:pt>
                <c:pt idx="13">
                  <c:v>746</c:v>
                </c:pt>
                <c:pt idx="14">
                  <c:v>629</c:v>
                </c:pt>
                <c:pt idx="15">
                  <c:v>546</c:v>
                </c:pt>
                <c:pt idx="16">
                  <c:v>509</c:v>
                </c:pt>
                <c:pt idx="17">
                  <c:v>409</c:v>
                </c:pt>
                <c:pt idx="18">
                  <c:v>270</c:v>
                </c:pt>
                <c:pt idx="19">
                  <c:v>65</c:v>
                </c:pt>
                <c:pt idx="20">
                  <c:v>14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116672"/>
        <c:axId val="453117456"/>
      </c:barChart>
      <c:catAx>
        <c:axId val="4531135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116280"/>
        <c:crosses val="autoZero"/>
        <c:auto val="1"/>
        <c:lblAlgn val="ctr"/>
        <c:lblOffset val="100"/>
        <c:noMultiLvlLbl val="0"/>
      </c:catAx>
      <c:valAx>
        <c:axId val="45311628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113536"/>
        <c:crosses val="autoZero"/>
        <c:crossBetween val="between"/>
        <c:majorUnit val="500"/>
      </c:valAx>
      <c:valAx>
        <c:axId val="45311745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116672"/>
        <c:crosses val="max"/>
        <c:crossBetween val="between"/>
        <c:majorUnit val="500"/>
      </c:valAx>
      <c:catAx>
        <c:axId val="453116672"/>
        <c:scaling>
          <c:orientation val="minMax"/>
        </c:scaling>
        <c:delete val="1"/>
        <c:axPos val="l"/>
        <c:numFmt formatCode="General" sourceLinked="1"/>
        <c:majorTickMark val="out"/>
        <c:minorTickMark val="none"/>
        <c:tickLblPos val="nextTo"/>
        <c:crossAx val="45311745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姫城地区</c:v>
                </c:pt>
              </c:strCache>
            </c:strRef>
          </c:cat>
          <c:val>
            <c:numRef>
              <c:f>管理者用地域特徴シート!$H$3:$H$5</c:f>
              <c:numCache>
                <c:formatCode>0.0%</c:formatCode>
                <c:ptCount val="3"/>
                <c:pt idx="0">
                  <c:v>0.46108733927332846</c:v>
                </c:pt>
                <c:pt idx="1">
                  <c:v>0.45304826418289584</c:v>
                </c:pt>
                <c:pt idx="2">
                  <c:v>0.45046040515653774</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3119024"/>
        <c:axId val="453114320"/>
      </c:barChart>
      <c:catAx>
        <c:axId val="4531190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114320"/>
        <c:crosses val="autoZero"/>
        <c:auto val="1"/>
        <c:lblAlgn val="ctr"/>
        <c:lblOffset val="100"/>
        <c:noMultiLvlLbl val="0"/>
      </c:catAx>
      <c:valAx>
        <c:axId val="4531143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1190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姫城地区</c:v>
                </c:pt>
              </c:strCache>
            </c:strRef>
          </c:cat>
          <c:val>
            <c:numRef>
              <c:f>管理者用地域特徴シート!$J$3:$J$5</c:f>
              <c:numCache>
                <c:formatCode>0.0%</c:formatCode>
                <c:ptCount val="3"/>
                <c:pt idx="0">
                  <c:v>0.15075281438403673</c:v>
                </c:pt>
                <c:pt idx="1">
                  <c:v>0.1614451030200395</c:v>
                </c:pt>
                <c:pt idx="2">
                  <c:v>0.17311233885819521</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3115496"/>
        <c:axId val="453117848"/>
      </c:barChart>
      <c:catAx>
        <c:axId val="4531154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117848"/>
        <c:crosses val="autoZero"/>
        <c:auto val="1"/>
        <c:lblAlgn val="ctr"/>
        <c:lblOffset val="100"/>
        <c:noMultiLvlLbl val="0"/>
      </c:catAx>
      <c:valAx>
        <c:axId val="4531178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1154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姫城地区</c:v>
                </c:pt>
              </c:strCache>
            </c:strRef>
          </c:cat>
          <c:val>
            <c:numRef>
              <c:f>管理者用地域特徴シート!$P$3:$P$5</c:f>
              <c:numCache>
                <c:formatCode>0.0%</c:formatCode>
                <c:ptCount val="3"/>
                <c:pt idx="0">
                  <c:v>0.34758352842621743</c:v>
                </c:pt>
                <c:pt idx="1">
                  <c:v>0.35933142430278886</c:v>
                </c:pt>
                <c:pt idx="2">
                  <c:v>0.39332033567856234</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3118632"/>
        <c:axId val="453111576"/>
      </c:barChart>
      <c:catAx>
        <c:axId val="4531186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111576"/>
        <c:crosses val="autoZero"/>
        <c:auto val="1"/>
        <c:lblAlgn val="ctr"/>
        <c:lblOffset val="100"/>
        <c:noMultiLvlLbl val="0"/>
      </c:catAx>
      <c:valAx>
        <c:axId val="4531115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1186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姫城地区</c:v>
                </c:pt>
              </c:strCache>
            </c:strRef>
          </c:cat>
          <c:val>
            <c:numRef>
              <c:f>管理者用地域特徴シート!$AO$3:$AO$5</c:f>
              <c:numCache>
                <c:formatCode>0.0%</c:formatCode>
                <c:ptCount val="3"/>
                <c:pt idx="0">
                  <c:v>0.5259093009439566</c:v>
                </c:pt>
                <c:pt idx="1">
                  <c:v>0.53180387374868843</c:v>
                </c:pt>
                <c:pt idx="2">
                  <c:v>0.51472650771388495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3112360"/>
        <c:axId val="453112752"/>
      </c:barChart>
      <c:catAx>
        <c:axId val="4531123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112752"/>
        <c:crosses val="autoZero"/>
        <c:auto val="1"/>
        <c:lblAlgn val="ctr"/>
        <c:lblOffset val="100"/>
        <c:noMultiLvlLbl val="0"/>
      </c:catAx>
      <c:valAx>
        <c:axId val="4531127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1123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姫城地区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3.290092122579432E-2</c:v>
                </c:pt>
                <c:pt idx="1">
                  <c:v>1.8800526414739614E-4</c:v>
                </c:pt>
                <c:pt idx="2">
                  <c:v>0</c:v>
                </c:pt>
                <c:pt idx="3">
                  <c:v>6.5237826659146458E-2</c:v>
                </c:pt>
                <c:pt idx="4">
                  <c:v>0.12051137431848091</c:v>
                </c:pt>
                <c:pt idx="5">
                  <c:v>3.948110547095319E-3</c:v>
                </c:pt>
                <c:pt idx="6">
                  <c:v>1.1844331641285956E-2</c:v>
                </c:pt>
                <c:pt idx="7">
                  <c:v>3.553299492385787E-2</c:v>
                </c:pt>
                <c:pt idx="8">
                  <c:v>0.17785297988343673</c:v>
                </c:pt>
                <c:pt idx="9">
                  <c:v>3.064485805602557E-2</c:v>
                </c:pt>
                <c:pt idx="10">
                  <c:v>1.7672494829855237E-2</c:v>
                </c:pt>
                <c:pt idx="11">
                  <c:v>2.331265275427712E-2</c:v>
                </c:pt>
                <c:pt idx="12">
                  <c:v>5.4897537131039668E-2</c:v>
                </c:pt>
                <c:pt idx="13">
                  <c:v>4.1737168640721939E-2</c:v>
                </c:pt>
                <c:pt idx="14">
                  <c:v>5.9973679263019365E-2</c:v>
                </c:pt>
                <c:pt idx="15">
                  <c:v>0.1842451588644482</c:v>
                </c:pt>
                <c:pt idx="16">
                  <c:v>1.2784357962022937E-2</c:v>
                </c:pt>
                <c:pt idx="17">
                  <c:v>5.640157924421884E-2</c:v>
                </c:pt>
                <c:pt idx="18">
                  <c:v>5.0385410791502161E-2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都城市平均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8.4017267107226609E-2</c:v>
                </c:pt>
                <c:pt idx="1">
                  <c:v>1.7320400767426987E-4</c:v>
                </c:pt>
                <c:pt idx="2">
                  <c:v>3.1976124493711362E-4</c:v>
                </c:pt>
                <c:pt idx="3">
                  <c:v>8.3484331698998077E-2</c:v>
                </c:pt>
                <c:pt idx="4">
                  <c:v>0.14970155617139203</c:v>
                </c:pt>
                <c:pt idx="5">
                  <c:v>3.5706672351311021E-3</c:v>
                </c:pt>
                <c:pt idx="6">
                  <c:v>7.9673843530164139E-3</c:v>
                </c:pt>
                <c:pt idx="7">
                  <c:v>4.6125559582178642E-2</c:v>
                </c:pt>
                <c:pt idx="8">
                  <c:v>0.15623001492219143</c:v>
                </c:pt>
                <c:pt idx="9">
                  <c:v>1.5801534853975698E-2</c:v>
                </c:pt>
                <c:pt idx="10">
                  <c:v>1.0525474312513324E-2</c:v>
                </c:pt>
                <c:pt idx="11">
                  <c:v>2.1170859091878064E-2</c:v>
                </c:pt>
                <c:pt idx="12">
                  <c:v>4.442016627584737E-2</c:v>
                </c:pt>
                <c:pt idx="13">
                  <c:v>3.5080473246642506E-2</c:v>
                </c:pt>
                <c:pt idx="14">
                  <c:v>4.851044553400128E-2</c:v>
                </c:pt>
                <c:pt idx="15">
                  <c:v>0.16800788744404177</c:v>
                </c:pt>
                <c:pt idx="16">
                  <c:v>1.1991046685141761E-2</c:v>
                </c:pt>
                <c:pt idx="17">
                  <c:v>5.0655510552121086E-2</c:v>
                </c:pt>
                <c:pt idx="18">
                  <c:v>4.3287678533361754E-2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3115888"/>
        <c:axId val="453113144"/>
      </c:barChart>
      <c:catAx>
        <c:axId val="453115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113144"/>
        <c:crosses val="autoZero"/>
        <c:auto val="1"/>
        <c:lblAlgn val="ctr"/>
        <c:lblOffset val="100"/>
        <c:noMultiLvlLbl val="0"/>
      </c:catAx>
      <c:valAx>
        <c:axId val="45311314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115888"/>
        <c:crosses val="autoZero"/>
        <c:crossBetween val="between"/>
      </c:valAx>
      <c:spPr>
        <a:noFill/>
        <a:ln>
          <a:noFill/>
        </a:ln>
        <a:effectLst/>
      </c:spPr>
    </c:plotArea>
    <c:legend>
      <c:legendPos val="b"/>
      <c:layout>
        <c:manualLayout>
          <c:xMode val="edge"/>
          <c:yMode val="edge"/>
          <c:x val="0.5814922923366973"/>
          <c:y val="7.631051175084337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都城市平均</c:v>
                </c:pt>
                <c:pt idx="2">
                  <c:v>姫城地区</c:v>
                </c:pt>
              </c:strCache>
            </c:strRef>
          </c:cat>
          <c:val>
            <c:numRef>
              <c:f>管理者用地域特徴シート!$CK$3:$CK$5</c:f>
              <c:numCache>
                <c:formatCode>0.0%</c:formatCode>
                <c:ptCount val="3"/>
                <c:pt idx="0">
                  <c:v>0.82747216160708559</c:v>
                </c:pt>
                <c:pt idx="1">
                  <c:v>0.87388083564272012</c:v>
                </c:pt>
                <c:pt idx="2">
                  <c:v>0.86990035721000192</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3976568"/>
        <c:axId val="453976176"/>
      </c:barChart>
      <c:catAx>
        <c:axId val="4539765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76176"/>
        <c:crosses val="autoZero"/>
        <c:auto val="1"/>
        <c:lblAlgn val="ctr"/>
        <c:lblOffset val="100"/>
        <c:noMultiLvlLbl val="0"/>
      </c:catAx>
      <c:valAx>
        <c:axId val="4539761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9765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0.28999999999999998</c:v>
                </c:pt>
                <c:pt idx="1">
                  <c:v>0.32</c:v>
                </c:pt>
                <c:pt idx="2">
                  <c:v>0.34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6581344"/>
        <c:axId val="386582520"/>
      </c:barChart>
      <c:catAx>
        <c:axId val="386581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582520"/>
        <c:crosses val="autoZero"/>
        <c:auto val="1"/>
        <c:lblAlgn val="ctr"/>
        <c:lblOffset val="100"/>
        <c:noMultiLvlLbl val="0"/>
      </c:catAx>
      <c:valAx>
        <c:axId val="3865825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5813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0.16</c:v>
                </c:pt>
                <c:pt idx="1">
                  <c:v>0.17</c:v>
                </c:pt>
                <c:pt idx="2">
                  <c:v>0.18</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86581736"/>
        <c:axId val="386584088"/>
      </c:barChart>
      <c:catAx>
        <c:axId val="386581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584088"/>
        <c:crosses val="autoZero"/>
        <c:auto val="1"/>
        <c:lblAlgn val="ctr"/>
        <c:lblOffset val="100"/>
        <c:noMultiLvlLbl val="0"/>
      </c:catAx>
      <c:valAx>
        <c:axId val="3865840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5817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4.0233740884454347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F48-4642-AC89-B238BB5DE71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271</c:v>
                </c:pt>
                <c:pt idx="1">
                  <c:v>260</c:v>
                </c:pt>
                <c:pt idx="2">
                  <c:v>283</c:v>
                </c:pt>
                <c:pt idx="3">
                  <c:v>258</c:v>
                </c:pt>
                <c:pt idx="4">
                  <c:v>221</c:v>
                </c:pt>
                <c:pt idx="5">
                  <c:v>326</c:v>
                </c:pt>
                <c:pt idx="6">
                  <c:v>349</c:v>
                </c:pt>
                <c:pt idx="7">
                  <c:v>403</c:v>
                </c:pt>
                <c:pt idx="8">
                  <c:v>330</c:v>
                </c:pt>
                <c:pt idx="9">
                  <c:v>315</c:v>
                </c:pt>
                <c:pt idx="10">
                  <c:v>404</c:v>
                </c:pt>
                <c:pt idx="11">
                  <c:v>428</c:v>
                </c:pt>
                <c:pt idx="12">
                  <c:v>546</c:v>
                </c:pt>
                <c:pt idx="13">
                  <c:v>390</c:v>
                </c:pt>
                <c:pt idx="14">
                  <c:v>387</c:v>
                </c:pt>
                <c:pt idx="15">
                  <c:v>321</c:v>
                </c:pt>
                <c:pt idx="16">
                  <c:v>232</c:v>
                </c:pt>
                <c:pt idx="17">
                  <c:v>98</c:v>
                </c:pt>
                <c:pt idx="18">
                  <c:v>36</c:v>
                </c:pt>
                <c:pt idx="19">
                  <c:v>5</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6585264"/>
        <c:axId val="38658565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254</c:v>
                </c:pt>
                <c:pt idx="1">
                  <c:v>255</c:v>
                </c:pt>
                <c:pt idx="2">
                  <c:v>274</c:v>
                </c:pt>
                <c:pt idx="3">
                  <c:v>301</c:v>
                </c:pt>
                <c:pt idx="4">
                  <c:v>274</c:v>
                </c:pt>
                <c:pt idx="5">
                  <c:v>370</c:v>
                </c:pt>
                <c:pt idx="6">
                  <c:v>351</c:v>
                </c:pt>
                <c:pt idx="7">
                  <c:v>378</c:v>
                </c:pt>
                <c:pt idx="8">
                  <c:v>370</c:v>
                </c:pt>
                <c:pt idx="9">
                  <c:v>377</c:v>
                </c:pt>
                <c:pt idx="10">
                  <c:v>400</c:v>
                </c:pt>
                <c:pt idx="11">
                  <c:v>480</c:v>
                </c:pt>
                <c:pt idx="12">
                  <c:v>542</c:v>
                </c:pt>
                <c:pt idx="13">
                  <c:v>468</c:v>
                </c:pt>
                <c:pt idx="14">
                  <c:v>468</c:v>
                </c:pt>
                <c:pt idx="15">
                  <c:v>502</c:v>
                </c:pt>
                <c:pt idx="16">
                  <c:v>416</c:v>
                </c:pt>
                <c:pt idx="17">
                  <c:v>265</c:v>
                </c:pt>
                <c:pt idx="18">
                  <c:v>123</c:v>
                </c:pt>
                <c:pt idx="19">
                  <c:v>35</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6586048"/>
        <c:axId val="386578600"/>
      </c:barChart>
      <c:catAx>
        <c:axId val="3865852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585656"/>
        <c:crosses val="autoZero"/>
        <c:auto val="1"/>
        <c:lblAlgn val="ctr"/>
        <c:lblOffset val="100"/>
        <c:noMultiLvlLbl val="0"/>
      </c:catAx>
      <c:valAx>
        <c:axId val="38658565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585264"/>
        <c:crosses val="autoZero"/>
        <c:crossBetween val="between"/>
        <c:majorUnit val="500"/>
      </c:valAx>
      <c:valAx>
        <c:axId val="38657860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586048"/>
        <c:crosses val="max"/>
        <c:crossBetween val="between"/>
        <c:majorUnit val="500"/>
      </c:valAx>
      <c:catAx>
        <c:axId val="386586048"/>
        <c:scaling>
          <c:orientation val="minMax"/>
        </c:scaling>
        <c:delete val="1"/>
        <c:axPos val="l"/>
        <c:numFmt formatCode="General" sourceLinked="1"/>
        <c:majorTickMark val="out"/>
        <c:minorTickMark val="none"/>
        <c:tickLblPos val="nextTo"/>
        <c:crossAx val="3865786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5863</c:v>
                </c:pt>
                <c:pt idx="1">
                  <c:v>5596</c:v>
                </c:pt>
                <c:pt idx="2">
                  <c:v>5476</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6906</c:v>
                </c:pt>
                <c:pt idx="1">
                  <c:v>6482</c:v>
                </c:pt>
                <c:pt idx="2">
                  <c:v>6318</c:v>
                </c:pt>
              </c:numCache>
            </c:numRef>
          </c:val>
          <c:extLst xmlns:c16r2="http://schemas.microsoft.com/office/drawing/2015/06/chart">
            <c:ext xmlns:c16="http://schemas.microsoft.com/office/drawing/2014/chart" uri="{C3380CC4-5D6E-409C-BE32-E72D297353CC}">
              <c16:uniqueId val="{00000000-DBDD-444A-B734-8C2BAD110ED9}"/>
            </c:ext>
          </c:extLst>
        </c:ser>
        <c:dLbls>
          <c:showLegendKey val="0"/>
          <c:showVal val="0"/>
          <c:showCatName val="0"/>
          <c:showSerName val="0"/>
          <c:showPercent val="0"/>
          <c:showBubbleSize val="0"/>
        </c:dLbls>
        <c:gapWidth val="219"/>
        <c:overlap val="100"/>
        <c:axId val="388008328"/>
        <c:axId val="38800872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BDD-444A-B734-8C2BAD110ED9}"/>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12769</c:v>
                </c:pt>
                <c:pt idx="1">
                  <c:v>12078</c:v>
                </c:pt>
                <c:pt idx="2">
                  <c:v>11794</c:v>
                </c:pt>
              </c:numCache>
            </c:numRef>
          </c:val>
          <c:smooth val="0"/>
          <c:extLst xmlns:c16r2="http://schemas.microsoft.com/office/drawing/2015/06/chart">
            <c:ext xmlns:c16="http://schemas.microsoft.com/office/drawing/2014/chart" uri="{C3380CC4-5D6E-409C-BE32-E72D297353CC}">
              <c16:uniqueId val="{00000002-DBDD-444A-B734-8C2BAD110ED9}"/>
            </c:ext>
          </c:extLst>
        </c:ser>
        <c:dLbls>
          <c:showLegendKey val="0"/>
          <c:showVal val="0"/>
          <c:showCatName val="0"/>
          <c:showSerName val="0"/>
          <c:showPercent val="0"/>
          <c:showBubbleSize val="0"/>
        </c:dLbls>
        <c:marker val="1"/>
        <c:smooth val="0"/>
        <c:axId val="388008328"/>
        <c:axId val="388008720"/>
      </c:lineChart>
      <c:catAx>
        <c:axId val="388008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008720"/>
        <c:crosses val="autoZero"/>
        <c:auto val="1"/>
        <c:lblAlgn val="ctr"/>
        <c:lblOffset val="100"/>
        <c:noMultiLvlLbl val="0"/>
      </c:catAx>
      <c:valAx>
        <c:axId val="3880087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008328"/>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1.1355565205592791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E4B-4976-8039-16CB6E15AF7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246</c:v>
                </c:pt>
                <c:pt idx="1">
                  <c:v>262</c:v>
                </c:pt>
                <c:pt idx="2">
                  <c:v>259</c:v>
                </c:pt>
                <c:pt idx="3">
                  <c:v>206</c:v>
                </c:pt>
                <c:pt idx="4">
                  <c:v>164</c:v>
                </c:pt>
                <c:pt idx="5">
                  <c:v>281</c:v>
                </c:pt>
                <c:pt idx="6">
                  <c:v>290</c:v>
                </c:pt>
                <c:pt idx="7">
                  <c:v>311</c:v>
                </c:pt>
                <c:pt idx="8">
                  <c:v>334</c:v>
                </c:pt>
                <c:pt idx="9">
                  <c:v>407</c:v>
                </c:pt>
                <c:pt idx="10">
                  <c:v>342</c:v>
                </c:pt>
                <c:pt idx="11">
                  <c:v>330</c:v>
                </c:pt>
                <c:pt idx="12">
                  <c:v>376</c:v>
                </c:pt>
                <c:pt idx="13">
                  <c:v>377</c:v>
                </c:pt>
                <c:pt idx="14">
                  <c:v>467</c:v>
                </c:pt>
                <c:pt idx="15">
                  <c:v>306</c:v>
                </c:pt>
                <c:pt idx="16">
                  <c:v>278</c:v>
                </c:pt>
                <c:pt idx="17">
                  <c:v>152</c:v>
                </c:pt>
                <c:pt idx="18">
                  <c:v>76</c:v>
                </c:pt>
                <c:pt idx="19">
                  <c:v>10</c:v>
                </c:pt>
                <c:pt idx="20">
                  <c:v>2</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8006760"/>
        <c:axId val="38800950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240</c:v>
                </c:pt>
                <c:pt idx="1">
                  <c:v>241</c:v>
                </c:pt>
                <c:pt idx="2">
                  <c:v>257</c:v>
                </c:pt>
                <c:pt idx="3">
                  <c:v>260</c:v>
                </c:pt>
                <c:pt idx="4">
                  <c:v>213</c:v>
                </c:pt>
                <c:pt idx="5">
                  <c:v>244</c:v>
                </c:pt>
                <c:pt idx="6">
                  <c:v>281</c:v>
                </c:pt>
                <c:pt idx="7">
                  <c:v>349</c:v>
                </c:pt>
                <c:pt idx="8">
                  <c:v>342</c:v>
                </c:pt>
                <c:pt idx="9">
                  <c:v>398</c:v>
                </c:pt>
                <c:pt idx="10">
                  <c:v>370</c:v>
                </c:pt>
                <c:pt idx="11">
                  <c:v>373</c:v>
                </c:pt>
                <c:pt idx="12">
                  <c:v>401</c:v>
                </c:pt>
                <c:pt idx="13">
                  <c:v>464</c:v>
                </c:pt>
                <c:pt idx="14">
                  <c:v>535</c:v>
                </c:pt>
                <c:pt idx="15">
                  <c:v>415</c:v>
                </c:pt>
                <c:pt idx="16">
                  <c:v>362</c:v>
                </c:pt>
                <c:pt idx="17">
                  <c:v>325</c:v>
                </c:pt>
                <c:pt idx="18">
                  <c:v>185</c:v>
                </c:pt>
                <c:pt idx="19">
                  <c:v>57</c:v>
                </c:pt>
                <c:pt idx="20">
                  <c:v>6</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8005976"/>
        <c:axId val="388007936"/>
      </c:barChart>
      <c:catAx>
        <c:axId val="3880067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009504"/>
        <c:crosses val="autoZero"/>
        <c:auto val="1"/>
        <c:lblAlgn val="ctr"/>
        <c:lblOffset val="100"/>
        <c:noMultiLvlLbl val="0"/>
      </c:catAx>
      <c:valAx>
        <c:axId val="388009504"/>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006760"/>
        <c:crosses val="autoZero"/>
        <c:crossBetween val="between"/>
        <c:majorUnit val="500"/>
      </c:valAx>
      <c:valAx>
        <c:axId val="38800793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005976"/>
        <c:crosses val="max"/>
        <c:crossBetween val="between"/>
        <c:majorUnit val="500"/>
      </c:valAx>
      <c:catAx>
        <c:axId val="388005976"/>
        <c:scaling>
          <c:orientation val="minMax"/>
        </c:scaling>
        <c:delete val="1"/>
        <c:axPos val="l"/>
        <c:numFmt formatCode="General" sourceLinked="1"/>
        <c:majorTickMark val="out"/>
        <c:minorTickMark val="none"/>
        <c:tickLblPos val="nextTo"/>
        <c:crossAx val="3880079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0BB4-43C9-94AC-87CBFBC62BEA}"/>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0BB4-43C9-94AC-87CBFBC62BEA}"/>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0BB4-43C9-94AC-87CBFBC62BEA}"/>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BB4-43C9-94AC-87CBFBC62BEA}"/>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BB4-43C9-94AC-87CBFBC62BEA}"/>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5863</c:v>
                </c:pt>
                <c:pt idx="1">
                  <c:v>5596</c:v>
                </c:pt>
                <c:pt idx="2">
                  <c:v>5476</c:v>
                </c:pt>
                <c:pt idx="3">
                  <c:v>5188</c:v>
                </c:pt>
                <c:pt idx="4">
                  <c:v>4876</c:v>
                </c:pt>
                <c:pt idx="5">
                  <c:v>4564</c:v>
                </c:pt>
                <c:pt idx="6">
                  <c:v>4282</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0BB4-43C9-94AC-87CBFBC62BEA}"/>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0BB4-43C9-94AC-87CBFBC62BEA}"/>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0BB4-43C9-94AC-87CBFBC62BE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6906</c:v>
                </c:pt>
                <c:pt idx="1">
                  <c:v>6482</c:v>
                </c:pt>
                <c:pt idx="2">
                  <c:v>6318</c:v>
                </c:pt>
                <c:pt idx="3">
                  <c:v>5925</c:v>
                </c:pt>
                <c:pt idx="4">
                  <c:v>5535</c:v>
                </c:pt>
                <c:pt idx="5">
                  <c:v>5166</c:v>
                </c:pt>
                <c:pt idx="6">
                  <c:v>4812</c:v>
                </c:pt>
              </c:numCache>
            </c:numRef>
          </c:val>
          <c:extLst xmlns:c16r2="http://schemas.microsoft.com/office/drawing/2015/06/chart">
            <c:ext xmlns:c16="http://schemas.microsoft.com/office/drawing/2014/chart" uri="{C3380CC4-5D6E-409C-BE32-E72D297353CC}">
              <c16:uniqueId val="{00000010-0BB4-43C9-94AC-87CBFBC62BEA}"/>
            </c:ext>
          </c:extLst>
        </c:ser>
        <c:dLbls>
          <c:showLegendKey val="0"/>
          <c:showVal val="0"/>
          <c:showCatName val="0"/>
          <c:showSerName val="0"/>
          <c:showPercent val="0"/>
          <c:showBubbleSize val="0"/>
        </c:dLbls>
        <c:gapWidth val="219"/>
        <c:overlap val="100"/>
        <c:axId val="386579384"/>
        <c:axId val="38658016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12769</c:v>
                </c:pt>
                <c:pt idx="1">
                  <c:v>12078</c:v>
                </c:pt>
                <c:pt idx="2">
                  <c:v>11794</c:v>
                </c:pt>
                <c:pt idx="3">
                  <c:v>11113</c:v>
                </c:pt>
                <c:pt idx="4">
                  <c:v>10411</c:v>
                </c:pt>
                <c:pt idx="5">
                  <c:v>9730</c:v>
                </c:pt>
                <c:pt idx="6">
                  <c:v>9094</c:v>
                </c:pt>
              </c:numCache>
            </c:numRef>
          </c:val>
          <c:smooth val="0"/>
          <c:extLst xmlns:c16r2="http://schemas.microsoft.com/office/drawing/2015/06/chart">
            <c:ext xmlns:c16="http://schemas.microsoft.com/office/drawing/2014/chart" uri="{C3380CC4-5D6E-409C-BE32-E72D297353CC}">
              <c16:uniqueId val="{00000011-0BB4-43C9-94AC-87CBFBC62BEA}"/>
            </c:ext>
          </c:extLst>
        </c:ser>
        <c:dLbls>
          <c:showLegendKey val="0"/>
          <c:showVal val="0"/>
          <c:showCatName val="0"/>
          <c:showSerName val="0"/>
          <c:showPercent val="0"/>
          <c:showBubbleSize val="0"/>
        </c:dLbls>
        <c:marker val="1"/>
        <c:smooth val="0"/>
        <c:axId val="386579384"/>
        <c:axId val="386580168"/>
      </c:lineChart>
      <c:catAx>
        <c:axId val="386579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580168"/>
        <c:crosses val="autoZero"/>
        <c:auto val="1"/>
        <c:lblAlgn val="ctr"/>
        <c:lblOffset val="100"/>
        <c:noMultiLvlLbl val="0"/>
      </c:catAx>
      <c:valAx>
        <c:axId val="3865801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57938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643</c:v>
                </c:pt>
                <c:pt idx="1">
                  <c:v>596</c:v>
                </c:pt>
                <c:pt idx="2">
                  <c:v>611</c:v>
                </c:pt>
                <c:pt idx="3">
                  <c:v>586</c:v>
                </c:pt>
                <c:pt idx="4">
                  <c:v>528</c:v>
                </c:pt>
                <c:pt idx="5">
                  <c:v>471</c:v>
                </c:pt>
                <c:pt idx="6">
                  <c:v>441</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86582128"/>
        <c:axId val="386584872"/>
      </c:barChart>
      <c:catAx>
        <c:axId val="3865821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584872"/>
        <c:crosses val="autoZero"/>
        <c:auto val="1"/>
        <c:lblAlgn val="ctr"/>
        <c:lblOffset val="100"/>
        <c:noMultiLvlLbl val="0"/>
      </c:catAx>
      <c:valAx>
        <c:axId val="3865848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65821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姫城地区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1"/>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都城市平均</v>
      </c>
      <c r="C4" s="88" t="str">
        <f>B4</f>
        <v>都城市平均</v>
      </c>
      <c r="D4" s="185">
        <f>SUM(D7:D70)</f>
        <v>70860</v>
      </c>
      <c r="E4" s="186">
        <f>SUM(E7:E70)</f>
        <v>32103</v>
      </c>
      <c r="F4" s="186">
        <f>SUM(F7:F70)</f>
        <v>11269</v>
      </c>
      <c r="G4" s="187">
        <f>SUM(G7:G70)</f>
        <v>11440</v>
      </c>
      <c r="H4" s="148">
        <f>E4/D4</f>
        <v>0.45304826418289584</v>
      </c>
      <c r="I4" s="149">
        <f>F4/D4</f>
        <v>0.15903189387524697</v>
      </c>
      <c r="J4" s="150">
        <f>G4/D4</f>
        <v>0.1614451030200395</v>
      </c>
      <c r="K4" s="185">
        <f>SUM(K7:K70)</f>
        <v>160640</v>
      </c>
      <c r="L4" s="186">
        <f>SUM(L7:L70)</f>
        <v>16084</v>
      </c>
      <c r="M4" s="186">
        <f>SUM(M7:M70)</f>
        <v>57723</v>
      </c>
      <c r="N4" s="187">
        <f>SUM(N7:N70)</f>
        <v>77000</v>
      </c>
      <c r="O4" s="148">
        <f>L4/K4</f>
        <v>0.10012450199203188</v>
      </c>
      <c r="P4" s="149">
        <f>M4/K4</f>
        <v>0.35933142430278886</v>
      </c>
      <c r="Q4" s="150">
        <f>N4/K4</f>
        <v>0.47933266932270918</v>
      </c>
      <c r="R4" s="185">
        <f>SUM(R7:R70)</f>
        <v>160640</v>
      </c>
      <c r="S4" s="145">
        <f>SUM(S7:S70)</f>
        <v>21161</v>
      </c>
      <c r="T4" s="145">
        <f>SUM(T7:T70)</f>
        <v>5259</v>
      </c>
      <c r="U4" s="144">
        <f>SUM(U7:U70)</f>
        <v>7825</v>
      </c>
      <c r="V4" s="144">
        <f>SUM(V7:V70)</f>
        <v>1018</v>
      </c>
      <c r="W4" s="146">
        <f>S4+T4+U4+V4</f>
        <v>35263</v>
      </c>
      <c r="X4" s="143">
        <f>SUM(X7:X70)</f>
        <v>75308</v>
      </c>
      <c r="Y4" s="144">
        <f>SUM(Y7:Y70)</f>
        <v>9437</v>
      </c>
      <c r="Z4" s="144">
        <f>SUM(Z7:Z70)</f>
        <v>2581</v>
      </c>
      <c r="AA4" s="144">
        <f>SUM(AA7:AA70)</f>
        <v>4183</v>
      </c>
      <c r="AB4" s="144">
        <f>SUM(AB7:AB70)</f>
        <v>309</v>
      </c>
      <c r="AC4" s="146">
        <f>Y4+Z4+AA4+AB4</f>
        <v>16510</v>
      </c>
      <c r="AD4" s="143">
        <f>SUM(AD7:AD70)</f>
        <v>85332</v>
      </c>
      <c r="AE4" s="143">
        <f t="shared" ref="AE4:AH4" si="0">SUM(AE7:AE70)</f>
        <v>11724</v>
      </c>
      <c r="AF4" s="143">
        <f t="shared" si="0"/>
        <v>2678</v>
      </c>
      <c r="AG4" s="143">
        <f t="shared" si="0"/>
        <v>3642</v>
      </c>
      <c r="AH4" s="143">
        <f t="shared" si="0"/>
        <v>709</v>
      </c>
      <c r="AI4" s="146">
        <f>AE4+AF4+AG4+AH4</f>
        <v>18753</v>
      </c>
      <c r="AJ4" s="148">
        <f>W4/R4</f>
        <v>0.21951568725099602</v>
      </c>
      <c r="AK4" s="149">
        <f>T4/W4</f>
        <v>0.14913648867084481</v>
      </c>
      <c r="AL4" s="149">
        <f>U4/W4</f>
        <v>0.22190397867453138</v>
      </c>
      <c r="AM4" s="149">
        <f>V4/W4</f>
        <v>2.8868785979638715E-2</v>
      </c>
      <c r="AN4" s="147">
        <f>AC4/W4</f>
        <v>0.46819612625131157</v>
      </c>
      <c r="AO4" s="150">
        <f>AI4/W4</f>
        <v>0.53180387374868843</v>
      </c>
      <c r="AP4" s="143">
        <f>SUM(AP7:AP70)</f>
        <v>75056</v>
      </c>
      <c r="AQ4" s="144">
        <f t="shared" ref="AQ4:BI4" si="1">SUM(AQ7:AQ70)</f>
        <v>6306</v>
      </c>
      <c r="AR4" s="144">
        <f t="shared" si="1"/>
        <v>13</v>
      </c>
      <c r="AS4" s="144">
        <f t="shared" si="1"/>
        <v>24</v>
      </c>
      <c r="AT4" s="144">
        <f t="shared" si="1"/>
        <v>6266</v>
      </c>
      <c r="AU4" s="144">
        <f t="shared" si="1"/>
        <v>11236</v>
      </c>
      <c r="AV4" s="144">
        <f t="shared" si="1"/>
        <v>268</v>
      </c>
      <c r="AW4" s="144">
        <f t="shared" si="1"/>
        <v>598</v>
      </c>
      <c r="AX4" s="144">
        <f t="shared" si="1"/>
        <v>3462</v>
      </c>
      <c r="AY4" s="144">
        <f t="shared" si="1"/>
        <v>11726</v>
      </c>
      <c r="AZ4" s="144">
        <f t="shared" si="1"/>
        <v>1186</v>
      </c>
      <c r="BA4" s="144">
        <f t="shared" si="1"/>
        <v>790</v>
      </c>
      <c r="BB4" s="144">
        <f t="shared" si="1"/>
        <v>1589</v>
      </c>
      <c r="BC4" s="144">
        <f t="shared" si="1"/>
        <v>3334</v>
      </c>
      <c r="BD4" s="144">
        <f t="shared" si="1"/>
        <v>2633</v>
      </c>
      <c r="BE4" s="144">
        <f t="shared" si="1"/>
        <v>3641</v>
      </c>
      <c r="BF4" s="144">
        <f t="shared" si="1"/>
        <v>12610</v>
      </c>
      <c r="BG4" s="144">
        <f t="shared" si="1"/>
        <v>900</v>
      </c>
      <c r="BH4" s="144">
        <f t="shared" si="1"/>
        <v>3802</v>
      </c>
      <c r="BI4" s="146">
        <f t="shared" si="1"/>
        <v>3249</v>
      </c>
      <c r="BJ4" s="147">
        <f>IF($AP4=0,0,AQ4/$AP4)</f>
        <v>8.4017267107226609E-2</v>
      </c>
      <c r="BK4" s="149">
        <f t="shared" ref="BK4:CB4" si="2">IF($AP4=0,0,AR4/$AP4)</f>
        <v>1.7320400767426987E-4</v>
      </c>
      <c r="BL4" s="149">
        <f t="shared" si="2"/>
        <v>3.1976124493711362E-4</v>
      </c>
      <c r="BM4" s="149">
        <f t="shared" si="2"/>
        <v>8.3484331698998077E-2</v>
      </c>
      <c r="BN4" s="149">
        <f t="shared" si="2"/>
        <v>0.14970155617139203</v>
      </c>
      <c r="BO4" s="149">
        <f t="shared" si="2"/>
        <v>3.5706672351311021E-3</v>
      </c>
      <c r="BP4" s="149">
        <f t="shared" si="2"/>
        <v>7.9673843530164139E-3</v>
      </c>
      <c r="BQ4" s="149">
        <f t="shared" si="2"/>
        <v>4.6125559582178642E-2</v>
      </c>
      <c r="BR4" s="149">
        <f t="shared" si="2"/>
        <v>0.15623001492219143</v>
      </c>
      <c r="BS4" s="149">
        <f t="shared" si="2"/>
        <v>1.5801534853975698E-2</v>
      </c>
      <c r="BT4" s="149">
        <f t="shared" si="2"/>
        <v>1.0525474312513324E-2</v>
      </c>
      <c r="BU4" s="149">
        <f t="shared" si="2"/>
        <v>2.1170859091878064E-2</v>
      </c>
      <c r="BV4" s="149">
        <f t="shared" si="2"/>
        <v>4.442016627584737E-2</v>
      </c>
      <c r="BW4" s="149">
        <f t="shared" si="2"/>
        <v>3.5080473246642506E-2</v>
      </c>
      <c r="BX4" s="149">
        <f t="shared" si="2"/>
        <v>4.851044553400128E-2</v>
      </c>
      <c r="BY4" s="149">
        <f t="shared" si="2"/>
        <v>0.16800788744404177</v>
      </c>
      <c r="BZ4" s="149">
        <f t="shared" si="2"/>
        <v>1.1991046685141761E-2</v>
      </c>
      <c r="CA4" s="149">
        <f t="shared" si="2"/>
        <v>5.0655510552121086E-2</v>
      </c>
      <c r="CB4" s="150">
        <f t="shared" si="2"/>
        <v>4.3287678533361754E-2</v>
      </c>
      <c r="CC4" s="143">
        <f>SUM(CC7:CC70)</f>
        <v>75056</v>
      </c>
      <c r="CD4" s="144">
        <f t="shared" ref="CD4:CI4" si="3">SUM(CD7:CD70)</f>
        <v>65590</v>
      </c>
      <c r="CE4" s="144">
        <f t="shared" si="3"/>
        <v>5290</v>
      </c>
      <c r="CF4" s="144">
        <f t="shared" si="3"/>
        <v>3171</v>
      </c>
      <c r="CG4" s="143">
        <f t="shared" si="3"/>
        <v>6327</v>
      </c>
      <c r="CH4" s="144">
        <f t="shared" si="3"/>
        <v>4996</v>
      </c>
      <c r="CI4" s="144">
        <f t="shared" si="3"/>
        <v>975</v>
      </c>
      <c r="CJ4" s="144">
        <f>SUM(CJ7:CJ70)</f>
        <v>205</v>
      </c>
      <c r="CK4" s="148">
        <f t="shared" ref="CK4:CM4" si="4">IF($CC4=0,0,CD4/$CC4)</f>
        <v>0.87388083564272012</v>
      </c>
      <c r="CL4" s="149">
        <f t="shared" si="4"/>
        <v>7.0480707738222126E-2</v>
      </c>
      <c r="CM4" s="150">
        <f t="shared" si="4"/>
        <v>4.2248454487316137E-2</v>
      </c>
      <c r="CN4" s="148">
        <f t="shared" ref="CN4:CP4" si="5">IF($CG4=0,0,CH4/$CG4)</f>
        <v>0.7896317370001581</v>
      </c>
      <c r="CO4" s="149">
        <f t="shared" si="5"/>
        <v>0.15410146989094359</v>
      </c>
      <c r="CP4" s="150">
        <f t="shared" si="5"/>
        <v>3.2400821874506082E-2</v>
      </c>
    </row>
    <row r="5" spans="1:94" s="181" customFormat="1" x14ac:dyDescent="0.15">
      <c r="A5" s="183" t="str">
        <f>管理者入力シート!B2</f>
        <v>45202_1</v>
      </c>
      <c r="B5" s="201" t="str">
        <f>VLOOKUP($A$5,$A$7:$CP$50,2,FALSE)</f>
        <v>都城市</v>
      </c>
      <c r="C5" s="201" t="str">
        <f>VLOOKUP($A$5,$A$7:$CP$50,3,FALSE)</f>
        <v>姫城地区</v>
      </c>
      <c r="D5" s="188">
        <f>VLOOKUP($A$5,$A$7:$CP$70,4,FALSE)</f>
        <v>5430</v>
      </c>
      <c r="E5" s="189">
        <f>VLOOKUP($A$5,$A$7:$CP$70,5,FALSE)</f>
        <v>2446</v>
      </c>
      <c r="F5" s="189">
        <f>VLOOKUP($A$5,$A$7:$CP$70,6,FALSE)</f>
        <v>813</v>
      </c>
      <c r="G5" s="190">
        <f>VLOOKUP($A$5,$A$7:$CP$70,7,FALSE)</f>
        <v>940</v>
      </c>
      <c r="H5" s="178">
        <f>VLOOKUP($A$5,$A$7:$CP$70,8,FALSE)</f>
        <v>0.45046040515653774</v>
      </c>
      <c r="I5" s="179">
        <f>VLOOKUP($A$5,$A$7:$CP$70,9,FALSE)</f>
        <v>0.14972375690607734</v>
      </c>
      <c r="J5" s="180">
        <f>VLOOKUP($A$5,$A$7:$CP$70,10,FALSE)</f>
        <v>0.17311233885819521</v>
      </c>
      <c r="K5" s="188">
        <f>VLOOKUP($A$5,$A$7:$CP$70,11,FALSE)</f>
        <v>11797</v>
      </c>
      <c r="L5" s="189">
        <f>VLOOKUP($A$5,$A$7:$CP$70,12,FALSE)</f>
        <v>954</v>
      </c>
      <c r="M5" s="189">
        <f>VLOOKUP($A$5,$A$7:$CP$70,13,FALSE)</f>
        <v>4640</v>
      </c>
      <c r="N5" s="190">
        <f>VLOOKUP($A$5,$A$7:$CP$70,14,FALSE)</f>
        <v>5522</v>
      </c>
      <c r="O5" s="178">
        <f>VLOOKUP($A$5,$A$7:$CP$70,15,FALSE)</f>
        <v>8.0868017292531999E-2</v>
      </c>
      <c r="P5" s="179">
        <f>VLOOKUP($A$5,$A$7:$CP$70,16,FALSE)</f>
        <v>0.39332033567856234</v>
      </c>
      <c r="Q5" s="180">
        <f>VLOOKUP($A$5,$A$7:$CP$70,17,FALSE)</f>
        <v>0.46808510638297873</v>
      </c>
      <c r="R5" s="188">
        <f>VLOOKUP($A$5,$A$7:$CP$70,18,FALSE)</f>
        <v>11797</v>
      </c>
      <c r="S5" s="189">
        <f>VLOOKUP($A$5,$A$7:$CP$70,19,FALSE)</f>
        <v>1592</v>
      </c>
      <c r="T5" s="189">
        <f>VLOOKUP($A$5,$A$7:$CP$70,20,FALSE)</f>
        <v>435</v>
      </c>
      <c r="U5" s="189">
        <f>VLOOKUP($A$5,$A$7:$CP$70,21,FALSE)</f>
        <v>765</v>
      </c>
      <c r="V5" s="189">
        <f>VLOOKUP($A$5,$A$7:$CP$70,22,FALSE)</f>
        <v>60</v>
      </c>
      <c r="W5" s="190">
        <f>VLOOKUP($A$5,$A$7:$CP$70,23,FALSE)</f>
        <v>2852</v>
      </c>
      <c r="X5" s="188">
        <f>VLOOKUP($A$5,$A$7:$CP$70,24,FALSE)</f>
        <v>5478</v>
      </c>
      <c r="Y5" s="189">
        <f>VLOOKUP($A$5,$A$7:$CP$70,25,FALSE)</f>
        <v>761</v>
      </c>
      <c r="Z5" s="189">
        <f>VLOOKUP($A$5,$A$7:$CP$70,26,FALSE)</f>
        <v>200</v>
      </c>
      <c r="AA5" s="189">
        <f>VLOOKUP($A$5,$A$7:$CP$70,27,FALSE)</f>
        <v>401</v>
      </c>
      <c r="AB5" s="189">
        <f>VLOOKUP($A$5,$A$7:$CP$70,28,FALSE)</f>
        <v>22</v>
      </c>
      <c r="AC5" s="191">
        <f>VLOOKUP($A$5,$A$7:$CP$70,29,FALSE)</f>
        <v>1384</v>
      </c>
      <c r="AD5" s="188">
        <f>VLOOKUP($A$5,$A$7:$CP$70,30,FALSE)</f>
        <v>6319</v>
      </c>
      <c r="AE5" s="189">
        <f>VLOOKUP($A$5,$A$7:$CP$70,31,FALSE)</f>
        <v>831</v>
      </c>
      <c r="AF5" s="189">
        <f>VLOOKUP($A$5,$A$7:$CP$70,32,FALSE)</f>
        <v>235</v>
      </c>
      <c r="AG5" s="189">
        <f>VLOOKUP($A$5,$A$7:$CP$70,33,FALSE)</f>
        <v>364</v>
      </c>
      <c r="AH5" s="189">
        <f>VLOOKUP($A$5,$A$7:$CP$70,34,FALSE)</f>
        <v>38</v>
      </c>
      <c r="AI5" s="191">
        <f>VLOOKUP($A$5,$A$7:$CP$70,35,FALSE)</f>
        <v>1468</v>
      </c>
      <c r="AJ5" s="178">
        <f>VLOOKUP($A$5,$A$7:$CP$70,36,FALSE)</f>
        <v>0.24175637874035771</v>
      </c>
      <c r="AK5" s="179">
        <f>VLOOKUP($A$5,$A$7:$CP$70,37,FALSE)</f>
        <v>0.15252454417952313</v>
      </c>
      <c r="AL5" s="179">
        <f>VLOOKUP($A$5,$A$7:$CP$70,38,FALSE)</f>
        <v>0.26823281907433383</v>
      </c>
      <c r="AM5" s="179">
        <f>VLOOKUP($A$5,$A$7:$CP$70,39,FALSE)</f>
        <v>2.1037868162692847E-2</v>
      </c>
      <c r="AN5" s="182">
        <f>VLOOKUP($A$5,$A$7:$CP$70,40,FALSE)</f>
        <v>0.48527349228611499</v>
      </c>
      <c r="AO5" s="180">
        <f>VLOOKUP($A$5,$A$7:$CP$70,41,FALSE)</f>
        <v>0.51472650771388495</v>
      </c>
      <c r="AP5" s="192">
        <f>VLOOKUP($A$5,$A$7:$CP$70,42,FALSE)</f>
        <v>5319</v>
      </c>
      <c r="AQ5" s="189">
        <f>VLOOKUP($A$5,$A$7:$CP$70,43,FALSE)</f>
        <v>175</v>
      </c>
      <c r="AR5" s="189">
        <f>VLOOKUP($A$5,$A$7:$CP$70,44,FALSE)</f>
        <v>1</v>
      </c>
      <c r="AS5" s="189">
        <f>VLOOKUP($A$5,$A$7:$CP$70,45,FALSE)</f>
        <v>0</v>
      </c>
      <c r="AT5" s="189">
        <f>VLOOKUP($A$5,$A$7:$CP$70,46,FALSE)</f>
        <v>347</v>
      </c>
      <c r="AU5" s="189">
        <f>VLOOKUP($A$5,$A$7:$CP$70,47,FALSE)</f>
        <v>641</v>
      </c>
      <c r="AV5" s="189">
        <f>VLOOKUP($A$5,$A$7:$CP$70,48,FALSE)</f>
        <v>21</v>
      </c>
      <c r="AW5" s="189">
        <f>VLOOKUP($A$5,$A$7:$CP$70,49,FALSE)</f>
        <v>63</v>
      </c>
      <c r="AX5" s="189">
        <f>VLOOKUP($A$5,$A$7:$CP$70,50,FALSE)</f>
        <v>189</v>
      </c>
      <c r="AY5" s="189">
        <f>VLOOKUP($A$5,$A$7:$CP$70,51,FALSE)</f>
        <v>946</v>
      </c>
      <c r="AZ5" s="189">
        <f>VLOOKUP($A$5,$A$7:$CP$70,52,FALSE)</f>
        <v>163</v>
      </c>
      <c r="BA5" s="189">
        <f>VLOOKUP($A$5,$A$7:$CP$70,53,FALSE)</f>
        <v>94</v>
      </c>
      <c r="BB5" s="189">
        <f>VLOOKUP($A$5,$A$7:$CP$70,54,FALSE)</f>
        <v>124</v>
      </c>
      <c r="BC5" s="189">
        <f>VLOOKUP($A$5,$A$7:$CP$70,55,FALSE)</f>
        <v>292</v>
      </c>
      <c r="BD5" s="189">
        <f>VLOOKUP($A$5,$A$7:$CP$70,56,FALSE)</f>
        <v>222</v>
      </c>
      <c r="BE5" s="189">
        <f>VLOOKUP($A$5,$A$7:$CP$70,57,FALSE)</f>
        <v>319</v>
      </c>
      <c r="BF5" s="189">
        <f>VLOOKUP($A$5,$A$7:$CP$70,58,FALSE)</f>
        <v>980</v>
      </c>
      <c r="BG5" s="189">
        <f>VLOOKUP($A$5,$A$7:$CP$70,59,FALSE)</f>
        <v>68</v>
      </c>
      <c r="BH5" s="189">
        <f>VLOOKUP($A$5,$A$7:$CP$70,60,FALSE)</f>
        <v>300</v>
      </c>
      <c r="BI5" s="189">
        <f>VLOOKUP($A$5,$A$7:$CP$70,61,FALSE)</f>
        <v>268</v>
      </c>
      <c r="BJ5" s="178">
        <f>VLOOKUP($A$5,$A$7:$CP$70,62,FALSE)</f>
        <v>3.290092122579432E-2</v>
      </c>
      <c r="BK5" s="179">
        <f>VLOOKUP($A$5,$A$7:$CP$70,63,FALSE)</f>
        <v>1.8800526414739614E-4</v>
      </c>
      <c r="BL5" s="179">
        <f>VLOOKUP($A$5,$A$7:$CP$70,64,FALSE)</f>
        <v>0</v>
      </c>
      <c r="BM5" s="179">
        <f>VLOOKUP($A$5,$A$7:$CP$70,65,FALSE)</f>
        <v>6.5237826659146458E-2</v>
      </c>
      <c r="BN5" s="179">
        <f>VLOOKUP($A$5,$A$7:$CP$70,66,FALSE)</f>
        <v>0.12051137431848091</v>
      </c>
      <c r="BO5" s="179">
        <f>VLOOKUP($A$5,$A$7:$CP$70,67,FALSE)</f>
        <v>3.948110547095319E-3</v>
      </c>
      <c r="BP5" s="179">
        <f>VLOOKUP($A$5,$A$7:$CP$70,68,FALSE)</f>
        <v>1.1844331641285956E-2</v>
      </c>
      <c r="BQ5" s="179">
        <f>VLOOKUP($A$5,$A$7:$CP$70,69,FALSE)</f>
        <v>3.553299492385787E-2</v>
      </c>
      <c r="BR5" s="179">
        <f>VLOOKUP($A$5,$A$7:$CP$70,70,FALSE)</f>
        <v>0.17785297988343673</v>
      </c>
      <c r="BS5" s="179">
        <f>VLOOKUP($A$5,$A$7:$CP$70,71,FALSE)</f>
        <v>3.064485805602557E-2</v>
      </c>
      <c r="BT5" s="179">
        <f>VLOOKUP($A$5,$A$7:$CP$70,72,FALSE)</f>
        <v>1.7672494829855237E-2</v>
      </c>
      <c r="BU5" s="179">
        <f>VLOOKUP($A$5,$A$7:$CP$70,73,FALSE)</f>
        <v>2.331265275427712E-2</v>
      </c>
      <c r="BV5" s="179">
        <f>VLOOKUP($A$5,$A$7:$CP$70,74,FALSE)</f>
        <v>5.4897537131039668E-2</v>
      </c>
      <c r="BW5" s="179">
        <f>VLOOKUP($A$5,$A$7:$CP$70,75,FALSE)</f>
        <v>4.1737168640721939E-2</v>
      </c>
      <c r="BX5" s="179">
        <f>VLOOKUP($A$5,$A$7:$CP$70,76,FALSE)</f>
        <v>5.9973679263019365E-2</v>
      </c>
      <c r="BY5" s="179">
        <f>VLOOKUP($A$5,$A$7:$CP$70,77,FALSE)</f>
        <v>0.1842451588644482</v>
      </c>
      <c r="BZ5" s="179">
        <f>VLOOKUP($A$5,$A$7:$CP$70,78,FALSE)</f>
        <v>1.2784357962022937E-2</v>
      </c>
      <c r="CA5" s="179">
        <f>VLOOKUP($A$5,$A$7:$CP$70,79,FALSE)</f>
        <v>5.640157924421884E-2</v>
      </c>
      <c r="CB5" s="180">
        <f>VLOOKUP($A$5,$A$7:$CP$70,80,FALSE)</f>
        <v>5.0385410791502161E-2</v>
      </c>
      <c r="CC5" s="188">
        <f>VLOOKUP($A$5,$A$7:$CP$70,81,FALSE)</f>
        <v>5319</v>
      </c>
      <c r="CD5" s="190">
        <f>VLOOKUP($A$5,$A$7:$CP$70,82,FALSE)</f>
        <v>4627</v>
      </c>
      <c r="CE5" s="189">
        <f>VLOOKUP($A$5,$A$7:$CP$70,83,FALSE)</f>
        <v>275</v>
      </c>
      <c r="CF5" s="191">
        <f>VLOOKUP($A$5,$A$7:$CP$70,84,FALSE)</f>
        <v>325</v>
      </c>
      <c r="CG5" s="188">
        <f>VLOOKUP($A$5,$A$7:$CP$70,85,FALSE)</f>
        <v>420</v>
      </c>
      <c r="CH5" s="189">
        <f>VLOOKUP($A$5,$A$7:$CP$70,86,FALSE)</f>
        <v>304</v>
      </c>
      <c r="CI5" s="189">
        <f>VLOOKUP($A$5,$A$7:$CP$70,87,FALSE)</f>
        <v>84</v>
      </c>
      <c r="CJ5" s="191">
        <f>VLOOKUP($A$5,$A$7:$CP$70,88,FALSE)</f>
        <v>16</v>
      </c>
      <c r="CK5" s="178">
        <f>VLOOKUP($A$5,$A$7:$CP$70,89,FALSE)</f>
        <v>0.86990035721000192</v>
      </c>
      <c r="CL5" s="179">
        <f>VLOOKUP($A$5,$A$7:$CP$70,90,FALSE)</f>
        <v>5.1701447640533936E-2</v>
      </c>
      <c r="CM5" s="180">
        <f>VLOOKUP($A$5,$A$7:$CP$70,91,FALSE)</f>
        <v>6.1101710847903744E-2</v>
      </c>
      <c r="CN5" s="178">
        <f>VLOOKUP($A$5,$A$7:$CP$70,92,FALSE)</f>
        <v>0.72380952380952379</v>
      </c>
      <c r="CO5" s="179">
        <f>VLOOKUP($A$5,$A$7:$CP$70,93,FALSE)</f>
        <v>0.2</v>
      </c>
      <c r="CP5" s="180">
        <f>VLOOKUP($A$5,$A$7:$CP$70,94,FALSE)</f>
        <v>3.8095238095238099E-2</v>
      </c>
    </row>
    <row r="6" spans="1:94" s="242" customFormat="1" x14ac:dyDescent="0.15"/>
    <row r="7" spans="1:94" x14ac:dyDescent="0.15">
      <c r="A7" t="s">
        <v>426</v>
      </c>
      <c r="B7" t="s">
        <v>427</v>
      </c>
      <c r="C7" t="s">
        <v>428</v>
      </c>
      <c r="D7">
        <v>5430</v>
      </c>
      <c r="E7">
        <v>2446</v>
      </c>
      <c r="F7">
        <v>813</v>
      </c>
      <c r="G7">
        <v>940</v>
      </c>
      <c r="H7">
        <v>0.45046040515653774</v>
      </c>
      <c r="I7">
        <v>0.14972375690607734</v>
      </c>
      <c r="J7">
        <v>0.17311233885819521</v>
      </c>
      <c r="K7">
        <v>11797</v>
      </c>
      <c r="L7">
        <v>954</v>
      </c>
      <c r="M7">
        <v>4640</v>
      </c>
      <c r="N7">
        <v>5522</v>
      </c>
      <c r="O7">
        <v>8.0868017292531999E-2</v>
      </c>
      <c r="P7">
        <v>0.39332033567856234</v>
      </c>
      <c r="Q7">
        <v>0.46808510638297873</v>
      </c>
      <c r="R7">
        <v>11797</v>
      </c>
      <c r="S7">
        <v>1592</v>
      </c>
      <c r="T7">
        <v>435</v>
      </c>
      <c r="U7">
        <v>765</v>
      </c>
      <c r="V7">
        <v>60</v>
      </c>
      <c r="W7">
        <v>2852</v>
      </c>
      <c r="X7">
        <v>5478</v>
      </c>
      <c r="Y7">
        <v>761</v>
      </c>
      <c r="Z7">
        <v>200</v>
      </c>
      <c r="AA7">
        <v>401</v>
      </c>
      <c r="AB7">
        <v>22</v>
      </c>
      <c r="AC7">
        <v>1384</v>
      </c>
      <c r="AD7">
        <v>6319</v>
      </c>
      <c r="AE7">
        <v>831</v>
      </c>
      <c r="AF7">
        <v>235</v>
      </c>
      <c r="AG7">
        <v>364</v>
      </c>
      <c r="AH7">
        <v>38</v>
      </c>
      <c r="AI7">
        <v>1468</v>
      </c>
      <c r="AJ7">
        <v>0.24175637874035771</v>
      </c>
      <c r="AK7">
        <v>0.15252454417952313</v>
      </c>
      <c r="AL7">
        <v>0.26823281907433383</v>
      </c>
      <c r="AM7">
        <v>2.1037868162692847E-2</v>
      </c>
      <c r="AN7">
        <v>0.48527349228611499</v>
      </c>
      <c r="AO7">
        <v>0.51472650771388495</v>
      </c>
      <c r="AP7">
        <v>5319</v>
      </c>
      <c r="AQ7">
        <v>175</v>
      </c>
      <c r="AR7">
        <v>1</v>
      </c>
      <c r="AS7">
        <v>0</v>
      </c>
      <c r="AT7">
        <v>347</v>
      </c>
      <c r="AU7">
        <v>641</v>
      </c>
      <c r="AV7">
        <v>21</v>
      </c>
      <c r="AW7">
        <v>63</v>
      </c>
      <c r="AX7">
        <v>189</v>
      </c>
      <c r="AY7">
        <v>946</v>
      </c>
      <c r="AZ7">
        <v>163</v>
      </c>
      <c r="BA7">
        <v>94</v>
      </c>
      <c r="BB7">
        <v>124</v>
      </c>
      <c r="BC7">
        <v>292</v>
      </c>
      <c r="BD7">
        <v>222</v>
      </c>
      <c r="BE7">
        <v>319</v>
      </c>
      <c r="BF7">
        <v>980</v>
      </c>
      <c r="BG7">
        <v>68</v>
      </c>
      <c r="BH7">
        <v>300</v>
      </c>
      <c r="BI7">
        <v>268</v>
      </c>
      <c r="BJ7">
        <v>3.290092122579432E-2</v>
      </c>
      <c r="BK7">
        <v>1.8800526414739614E-4</v>
      </c>
      <c r="BL7">
        <v>0</v>
      </c>
      <c r="BM7">
        <v>6.5237826659146458E-2</v>
      </c>
      <c r="BN7">
        <v>0.12051137431848091</v>
      </c>
      <c r="BO7">
        <v>3.948110547095319E-3</v>
      </c>
      <c r="BP7">
        <v>1.1844331641285956E-2</v>
      </c>
      <c r="BQ7">
        <v>3.553299492385787E-2</v>
      </c>
      <c r="BR7">
        <v>0.17785297988343673</v>
      </c>
      <c r="BS7">
        <v>3.064485805602557E-2</v>
      </c>
      <c r="BT7">
        <v>1.7672494829855237E-2</v>
      </c>
      <c r="BU7">
        <v>2.331265275427712E-2</v>
      </c>
      <c r="BV7">
        <v>5.4897537131039668E-2</v>
      </c>
      <c r="BW7">
        <v>4.1737168640721939E-2</v>
      </c>
      <c r="BX7">
        <v>5.9973679263019365E-2</v>
      </c>
      <c r="BY7">
        <v>0.1842451588644482</v>
      </c>
      <c r="BZ7">
        <v>1.2784357962022937E-2</v>
      </c>
      <c r="CA7">
        <v>5.640157924421884E-2</v>
      </c>
      <c r="CB7">
        <v>5.0385410791502161E-2</v>
      </c>
      <c r="CC7">
        <v>5319</v>
      </c>
      <c r="CD7">
        <v>4627</v>
      </c>
      <c r="CE7">
        <v>275</v>
      </c>
      <c r="CF7">
        <v>325</v>
      </c>
      <c r="CG7">
        <v>420</v>
      </c>
      <c r="CH7">
        <v>304</v>
      </c>
      <c r="CI7">
        <v>84</v>
      </c>
      <c r="CJ7">
        <v>16</v>
      </c>
      <c r="CK7">
        <v>0.86990035721000192</v>
      </c>
      <c r="CL7">
        <v>5.1701447640533936E-2</v>
      </c>
      <c r="CM7">
        <v>6.1101710847903744E-2</v>
      </c>
      <c r="CN7">
        <v>0.72380952380952379</v>
      </c>
      <c r="CO7">
        <v>0.2</v>
      </c>
      <c r="CP7">
        <v>3.8095238095238099E-2</v>
      </c>
    </row>
    <row r="8" spans="1:94" x14ac:dyDescent="0.15">
      <c r="A8" t="s">
        <v>429</v>
      </c>
      <c r="B8" t="s">
        <v>427</v>
      </c>
      <c r="C8" t="s">
        <v>430</v>
      </c>
      <c r="D8">
        <v>8936</v>
      </c>
      <c r="E8">
        <v>3457</v>
      </c>
      <c r="F8">
        <v>1233</v>
      </c>
      <c r="G8">
        <v>1266</v>
      </c>
      <c r="H8">
        <v>0.38686213070725156</v>
      </c>
      <c r="I8">
        <v>0.13798119964189795</v>
      </c>
      <c r="J8">
        <v>0.14167412712623098</v>
      </c>
      <c r="K8">
        <v>19220</v>
      </c>
      <c r="L8">
        <v>1447</v>
      </c>
      <c r="M8">
        <v>7601</v>
      </c>
      <c r="N8">
        <v>8629</v>
      </c>
      <c r="O8">
        <v>7.5286160249739859E-2</v>
      </c>
      <c r="P8">
        <v>0.39547346514047865</v>
      </c>
      <c r="Q8">
        <v>0.44895941727367328</v>
      </c>
      <c r="R8">
        <v>19220</v>
      </c>
      <c r="S8">
        <v>2681</v>
      </c>
      <c r="T8">
        <v>819</v>
      </c>
      <c r="U8">
        <v>1151</v>
      </c>
      <c r="V8">
        <v>81</v>
      </c>
      <c r="W8">
        <v>4732</v>
      </c>
      <c r="X8">
        <v>8836</v>
      </c>
      <c r="Y8">
        <v>1158</v>
      </c>
      <c r="Z8">
        <v>396</v>
      </c>
      <c r="AA8">
        <v>607</v>
      </c>
      <c r="AB8">
        <v>37</v>
      </c>
      <c r="AC8">
        <v>2198</v>
      </c>
      <c r="AD8">
        <v>10384</v>
      </c>
      <c r="AE8">
        <v>1523</v>
      </c>
      <c r="AF8">
        <v>423</v>
      </c>
      <c r="AG8">
        <v>544</v>
      </c>
      <c r="AH8">
        <v>44</v>
      </c>
      <c r="AI8">
        <v>2534</v>
      </c>
      <c r="AJ8">
        <v>0.24620187304890739</v>
      </c>
      <c r="AK8">
        <v>0.17307692307692307</v>
      </c>
      <c r="AL8">
        <v>0.24323753169907017</v>
      </c>
      <c r="AM8">
        <v>1.7117497886728655E-2</v>
      </c>
      <c r="AN8">
        <v>0.46449704142011833</v>
      </c>
      <c r="AO8">
        <v>0.53550295857988162</v>
      </c>
      <c r="AP8">
        <v>8934</v>
      </c>
      <c r="AQ8">
        <v>245</v>
      </c>
      <c r="AR8">
        <v>2</v>
      </c>
      <c r="AS8">
        <v>0</v>
      </c>
      <c r="AT8">
        <v>708</v>
      </c>
      <c r="AU8">
        <v>1073</v>
      </c>
      <c r="AV8">
        <v>26</v>
      </c>
      <c r="AW8">
        <v>113</v>
      </c>
      <c r="AX8">
        <v>364</v>
      </c>
      <c r="AY8">
        <v>1607</v>
      </c>
      <c r="AZ8">
        <v>207</v>
      </c>
      <c r="BA8">
        <v>127</v>
      </c>
      <c r="BB8">
        <v>254</v>
      </c>
      <c r="BC8">
        <v>474</v>
      </c>
      <c r="BD8">
        <v>339</v>
      </c>
      <c r="BE8">
        <v>570</v>
      </c>
      <c r="BF8">
        <v>1643</v>
      </c>
      <c r="BG8">
        <v>106</v>
      </c>
      <c r="BH8">
        <v>476</v>
      </c>
      <c r="BI8">
        <v>451</v>
      </c>
      <c r="BJ8">
        <v>2.7423326617416612E-2</v>
      </c>
      <c r="BK8">
        <v>2.2386389075442132E-4</v>
      </c>
      <c r="BL8">
        <v>0</v>
      </c>
      <c r="BM8">
        <v>7.9247817327065151E-2</v>
      </c>
      <c r="BN8">
        <v>0.12010297738974704</v>
      </c>
      <c r="BO8">
        <v>2.910230579807477E-3</v>
      </c>
      <c r="BP8">
        <v>1.2648309827624804E-2</v>
      </c>
      <c r="BQ8">
        <v>4.0743228117304679E-2</v>
      </c>
      <c r="BR8">
        <v>0.17987463622117753</v>
      </c>
      <c r="BS8">
        <v>2.3169912693082606E-2</v>
      </c>
      <c r="BT8">
        <v>1.4215357062905753E-2</v>
      </c>
      <c r="BU8">
        <v>2.8430714125811506E-2</v>
      </c>
      <c r="BV8">
        <v>5.3055742108797849E-2</v>
      </c>
      <c r="BW8">
        <v>3.7944929482874409E-2</v>
      </c>
      <c r="BX8">
        <v>6.3801208865010076E-2</v>
      </c>
      <c r="BY8">
        <v>0.1839041862547571</v>
      </c>
      <c r="BZ8">
        <v>1.1864786209984329E-2</v>
      </c>
      <c r="CA8">
        <v>5.3279605999552275E-2</v>
      </c>
      <c r="CB8">
        <v>5.0481307365122005E-2</v>
      </c>
      <c r="CC8">
        <v>8934</v>
      </c>
      <c r="CD8">
        <v>7692</v>
      </c>
      <c r="CE8">
        <v>786</v>
      </c>
      <c r="CF8">
        <v>362</v>
      </c>
      <c r="CG8">
        <v>838</v>
      </c>
      <c r="CH8">
        <v>631</v>
      </c>
      <c r="CI8">
        <v>169</v>
      </c>
      <c r="CJ8">
        <v>19</v>
      </c>
      <c r="CK8">
        <v>0.86098052384150436</v>
      </c>
      <c r="CL8">
        <v>8.7978509066487576E-2</v>
      </c>
      <c r="CM8">
        <v>4.051936422655026E-2</v>
      </c>
      <c r="CN8">
        <v>0.75298329355608595</v>
      </c>
      <c r="CO8">
        <v>0.20167064439140811</v>
      </c>
      <c r="CP8">
        <v>2.2673031026252982E-2</v>
      </c>
    </row>
    <row r="9" spans="1:94" x14ac:dyDescent="0.15">
      <c r="A9" t="s">
        <v>431</v>
      </c>
      <c r="B9" t="s">
        <v>427</v>
      </c>
      <c r="C9" t="s">
        <v>432</v>
      </c>
      <c r="D9">
        <v>5176</v>
      </c>
      <c r="E9">
        <v>1968</v>
      </c>
      <c r="F9">
        <v>600</v>
      </c>
      <c r="G9">
        <v>787</v>
      </c>
      <c r="H9">
        <v>0.3802163833075734</v>
      </c>
      <c r="I9">
        <v>0.11591962905718702</v>
      </c>
      <c r="J9">
        <v>0.15204791344667698</v>
      </c>
      <c r="K9">
        <v>11036</v>
      </c>
      <c r="L9">
        <v>872</v>
      </c>
      <c r="M9">
        <v>4405</v>
      </c>
      <c r="N9">
        <v>4692</v>
      </c>
      <c r="O9">
        <v>7.9014135556360998E-2</v>
      </c>
      <c r="P9">
        <v>0.39914824211670896</v>
      </c>
      <c r="Q9">
        <v>0.42515404131931861</v>
      </c>
      <c r="R9">
        <v>11036</v>
      </c>
      <c r="S9">
        <v>1741</v>
      </c>
      <c r="T9">
        <v>394</v>
      </c>
      <c r="U9">
        <v>608</v>
      </c>
      <c r="V9">
        <v>100</v>
      </c>
      <c r="W9">
        <v>2843</v>
      </c>
      <c r="X9">
        <v>5086</v>
      </c>
      <c r="Y9">
        <v>746</v>
      </c>
      <c r="Z9">
        <v>200</v>
      </c>
      <c r="AA9">
        <v>311</v>
      </c>
      <c r="AB9">
        <v>16</v>
      </c>
      <c r="AC9">
        <v>1273</v>
      </c>
      <c r="AD9">
        <v>5950</v>
      </c>
      <c r="AE9">
        <v>995</v>
      </c>
      <c r="AF9">
        <v>194</v>
      </c>
      <c r="AG9">
        <v>297</v>
      </c>
      <c r="AH9">
        <v>84</v>
      </c>
      <c r="AI9">
        <v>1570</v>
      </c>
      <c r="AJ9">
        <v>0.25761145342515407</v>
      </c>
      <c r="AK9">
        <v>0.13858600070348223</v>
      </c>
      <c r="AL9">
        <v>0.21385860007034824</v>
      </c>
      <c r="AM9">
        <v>3.5174111853675694E-2</v>
      </c>
      <c r="AN9">
        <v>0.44776644389729159</v>
      </c>
      <c r="AO9">
        <v>0.55223355610270841</v>
      </c>
      <c r="AP9">
        <v>4967</v>
      </c>
      <c r="AQ9">
        <v>174</v>
      </c>
      <c r="AR9">
        <v>0</v>
      </c>
      <c r="AS9">
        <v>0</v>
      </c>
      <c r="AT9">
        <v>393</v>
      </c>
      <c r="AU9">
        <v>700</v>
      </c>
      <c r="AV9">
        <v>19</v>
      </c>
      <c r="AW9">
        <v>40</v>
      </c>
      <c r="AX9">
        <v>212</v>
      </c>
      <c r="AY9">
        <v>940</v>
      </c>
      <c r="AZ9">
        <v>91</v>
      </c>
      <c r="BA9">
        <v>73</v>
      </c>
      <c r="BB9">
        <v>109</v>
      </c>
      <c r="BC9">
        <v>322</v>
      </c>
      <c r="BD9">
        <v>216</v>
      </c>
      <c r="BE9">
        <v>218</v>
      </c>
      <c r="BF9">
        <v>858</v>
      </c>
      <c r="BG9">
        <v>54</v>
      </c>
      <c r="BH9">
        <v>260</v>
      </c>
      <c r="BI9">
        <v>185</v>
      </c>
      <c r="BJ9">
        <v>3.5031205959331589E-2</v>
      </c>
      <c r="BK9">
        <v>0</v>
      </c>
      <c r="BL9">
        <v>0</v>
      </c>
      <c r="BM9">
        <v>7.9122206563317893E-2</v>
      </c>
      <c r="BN9">
        <v>0.14093013891685122</v>
      </c>
      <c r="BO9">
        <v>3.8252466277431045E-3</v>
      </c>
      <c r="BP9">
        <v>8.0531507952486415E-3</v>
      </c>
      <c r="BQ9">
        <v>4.2681699214817799E-2</v>
      </c>
      <c r="BR9">
        <v>0.18924904368834305</v>
      </c>
      <c r="BS9">
        <v>1.8320918059190658E-2</v>
      </c>
      <c r="BT9">
        <v>1.469700020132877E-2</v>
      </c>
      <c r="BU9">
        <v>2.1944835917052548E-2</v>
      </c>
      <c r="BV9">
        <v>6.4827863901751562E-2</v>
      </c>
      <c r="BW9">
        <v>4.3487014294342659E-2</v>
      </c>
      <c r="BX9">
        <v>4.3889671834105096E-2</v>
      </c>
      <c r="BY9">
        <v>0.17274008455808335</v>
      </c>
      <c r="BZ9">
        <v>1.0871753573585665E-2</v>
      </c>
      <c r="CA9">
        <v>5.2345480169116165E-2</v>
      </c>
      <c r="CB9">
        <v>3.7245822428024968E-2</v>
      </c>
      <c r="CC9">
        <v>4967</v>
      </c>
      <c r="CD9">
        <v>4439</v>
      </c>
      <c r="CE9">
        <v>257</v>
      </c>
      <c r="CF9">
        <v>203</v>
      </c>
      <c r="CG9">
        <v>363</v>
      </c>
      <c r="CH9">
        <v>303</v>
      </c>
      <c r="CI9">
        <v>45</v>
      </c>
      <c r="CJ9">
        <v>9</v>
      </c>
      <c r="CK9">
        <v>0.89369840950271795</v>
      </c>
      <c r="CL9">
        <v>5.174149385947252E-2</v>
      </c>
      <c r="CM9">
        <v>4.0869740285886851E-2</v>
      </c>
      <c r="CN9">
        <v>0.83471074380165289</v>
      </c>
      <c r="CO9">
        <v>0.12396694214876033</v>
      </c>
      <c r="CP9">
        <v>2.4793388429752067E-2</v>
      </c>
    </row>
    <row r="10" spans="1:94" x14ac:dyDescent="0.15">
      <c r="A10" t="s">
        <v>433</v>
      </c>
      <c r="B10" t="s">
        <v>427</v>
      </c>
      <c r="C10" t="s">
        <v>434</v>
      </c>
      <c r="D10">
        <v>9143</v>
      </c>
      <c r="E10">
        <v>2960</v>
      </c>
      <c r="F10">
        <v>1080</v>
      </c>
      <c r="G10">
        <v>1045</v>
      </c>
      <c r="H10">
        <v>0.32374494148528932</v>
      </c>
      <c r="I10">
        <v>0.11812315432571366</v>
      </c>
      <c r="J10">
        <v>0.1142950891392322</v>
      </c>
      <c r="K10">
        <v>18949</v>
      </c>
      <c r="L10">
        <v>1464</v>
      </c>
      <c r="M10">
        <v>7942</v>
      </c>
      <c r="N10">
        <v>7832</v>
      </c>
      <c r="O10">
        <v>7.7260013721040688E-2</v>
      </c>
      <c r="P10">
        <v>0.41912501978996253</v>
      </c>
      <c r="Q10">
        <v>0.4133199641142013</v>
      </c>
      <c r="R10">
        <v>18949</v>
      </c>
      <c r="S10">
        <v>2689</v>
      </c>
      <c r="T10">
        <v>1015</v>
      </c>
      <c r="U10">
        <v>1284</v>
      </c>
      <c r="V10">
        <v>104</v>
      </c>
      <c r="W10">
        <v>5092</v>
      </c>
      <c r="X10">
        <v>8921</v>
      </c>
      <c r="Y10">
        <v>1243</v>
      </c>
      <c r="Z10">
        <v>429</v>
      </c>
      <c r="AA10">
        <v>696</v>
      </c>
      <c r="AB10">
        <v>28</v>
      </c>
      <c r="AC10">
        <v>2396</v>
      </c>
      <c r="AD10">
        <v>10028</v>
      </c>
      <c r="AE10">
        <v>1446</v>
      </c>
      <c r="AF10">
        <v>586</v>
      </c>
      <c r="AG10">
        <v>588</v>
      </c>
      <c r="AH10">
        <v>76</v>
      </c>
      <c r="AI10">
        <v>2696</v>
      </c>
      <c r="AJ10">
        <v>0.26872130455433002</v>
      </c>
      <c r="AK10">
        <v>0.19933228593872743</v>
      </c>
      <c r="AL10">
        <v>0.25216025137470544</v>
      </c>
      <c r="AM10">
        <v>2.0424194815396701E-2</v>
      </c>
      <c r="AN10">
        <v>0.47054202670856243</v>
      </c>
      <c r="AO10">
        <v>0.52945797329143751</v>
      </c>
      <c r="AP10">
        <v>9148</v>
      </c>
      <c r="AQ10">
        <v>270</v>
      </c>
      <c r="AR10">
        <v>3</v>
      </c>
      <c r="AS10">
        <v>1</v>
      </c>
      <c r="AT10">
        <v>628</v>
      </c>
      <c r="AU10">
        <v>1338</v>
      </c>
      <c r="AV10">
        <v>54</v>
      </c>
      <c r="AW10">
        <v>97</v>
      </c>
      <c r="AX10">
        <v>453</v>
      </c>
      <c r="AY10">
        <v>1623</v>
      </c>
      <c r="AZ10">
        <v>151</v>
      </c>
      <c r="BA10">
        <v>119</v>
      </c>
      <c r="BB10">
        <v>227</v>
      </c>
      <c r="BC10">
        <v>497</v>
      </c>
      <c r="BD10">
        <v>317</v>
      </c>
      <c r="BE10">
        <v>628</v>
      </c>
      <c r="BF10">
        <v>1598</v>
      </c>
      <c r="BG10">
        <v>132</v>
      </c>
      <c r="BH10">
        <v>490</v>
      </c>
      <c r="BI10">
        <v>414</v>
      </c>
      <c r="BJ10">
        <v>2.9514648010494096E-2</v>
      </c>
      <c r="BK10">
        <v>3.2794053344993443E-4</v>
      </c>
      <c r="BL10">
        <v>1.0931351114997814E-4</v>
      </c>
      <c r="BM10">
        <v>6.8648885002186272E-2</v>
      </c>
      <c r="BN10">
        <v>0.14626147791867075</v>
      </c>
      <c r="BO10">
        <v>5.9029296020988191E-3</v>
      </c>
      <c r="BP10">
        <v>1.060341058154788E-2</v>
      </c>
      <c r="BQ10">
        <v>4.9519020550940096E-2</v>
      </c>
      <c r="BR10">
        <v>0.17741582859641453</v>
      </c>
      <c r="BS10">
        <v>1.65063401836467E-2</v>
      </c>
      <c r="BT10">
        <v>1.3008307826847398E-2</v>
      </c>
      <c r="BU10">
        <v>2.4814167031045036E-2</v>
      </c>
      <c r="BV10">
        <v>5.4328815041539136E-2</v>
      </c>
      <c r="BW10">
        <v>3.4652383034543072E-2</v>
      </c>
      <c r="BX10">
        <v>6.8648885002186272E-2</v>
      </c>
      <c r="BY10">
        <v>0.17468299081766506</v>
      </c>
      <c r="BZ10">
        <v>1.4429383471797114E-2</v>
      </c>
      <c r="CA10">
        <v>5.3563620463489288E-2</v>
      </c>
      <c r="CB10">
        <v>4.5255793616090952E-2</v>
      </c>
      <c r="CC10">
        <v>9148</v>
      </c>
      <c r="CD10">
        <v>7970</v>
      </c>
      <c r="CE10">
        <v>821</v>
      </c>
      <c r="CF10">
        <v>274</v>
      </c>
      <c r="CG10">
        <v>790</v>
      </c>
      <c r="CH10">
        <v>623</v>
      </c>
      <c r="CI10">
        <v>117</v>
      </c>
      <c r="CJ10">
        <v>27</v>
      </c>
      <c r="CK10">
        <v>0.8712286838653257</v>
      </c>
      <c r="CL10">
        <v>8.9746392654132048E-2</v>
      </c>
      <c r="CM10">
        <v>2.9951902055094008E-2</v>
      </c>
      <c r="CN10">
        <v>0.78860759493670884</v>
      </c>
      <c r="CO10">
        <v>0.14810126582278482</v>
      </c>
      <c r="CP10">
        <v>3.4177215189873419E-2</v>
      </c>
    </row>
    <row r="11" spans="1:94" x14ac:dyDescent="0.15">
      <c r="A11" t="s">
        <v>435</v>
      </c>
      <c r="B11" t="s">
        <v>427</v>
      </c>
      <c r="C11" t="s">
        <v>436</v>
      </c>
      <c r="D11">
        <v>7327</v>
      </c>
      <c r="E11">
        <v>3391</v>
      </c>
      <c r="F11">
        <v>1126</v>
      </c>
      <c r="G11">
        <v>1361</v>
      </c>
      <c r="H11">
        <v>0.46280878940903508</v>
      </c>
      <c r="I11">
        <v>0.15367817660706976</v>
      </c>
      <c r="J11">
        <v>0.18575133069469088</v>
      </c>
      <c r="K11">
        <v>16973</v>
      </c>
      <c r="L11">
        <v>1449</v>
      </c>
      <c r="M11">
        <v>6643</v>
      </c>
      <c r="N11">
        <v>7797</v>
      </c>
      <c r="O11">
        <v>8.5370883167383491E-2</v>
      </c>
      <c r="P11">
        <v>0.39138631944853591</v>
      </c>
      <c r="Q11">
        <v>0.45937665704353975</v>
      </c>
      <c r="R11">
        <v>16973</v>
      </c>
      <c r="S11">
        <v>2296</v>
      </c>
      <c r="T11">
        <v>485</v>
      </c>
      <c r="U11">
        <v>1134</v>
      </c>
      <c r="V11">
        <v>77</v>
      </c>
      <c r="W11">
        <v>3992</v>
      </c>
      <c r="X11">
        <v>8002</v>
      </c>
      <c r="Y11">
        <v>1052</v>
      </c>
      <c r="Z11">
        <v>272</v>
      </c>
      <c r="AA11">
        <v>626</v>
      </c>
      <c r="AB11">
        <v>8</v>
      </c>
      <c r="AC11">
        <v>1958</v>
      </c>
      <c r="AD11">
        <v>8971</v>
      </c>
      <c r="AE11">
        <v>1244</v>
      </c>
      <c r="AF11">
        <v>213</v>
      </c>
      <c r="AG11">
        <v>508</v>
      </c>
      <c r="AH11">
        <v>69</v>
      </c>
      <c r="AI11">
        <v>2034</v>
      </c>
      <c r="AJ11">
        <v>0.23519707771165971</v>
      </c>
      <c r="AK11">
        <v>0.12149298597194388</v>
      </c>
      <c r="AL11">
        <v>0.28406813627254507</v>
      </c>
      <c r="AM11">
        <v>1.9288577154308616E-2</v>
      </c>
      <c r="AN11">
        <v>0.49048096192384771</v>
      </c>
      <c r="AO11">
        <v>0.50951903807615229</v>
      </c>
      <c r="AP11">
        <v>7797</v>
      </c>
      <c r="AQ11">
        <v>353</v>
      </c>
      <c r="AR11">
        <v>3</v>
      </c>
      <c r="AS11">
        <v>2</v>
      </c>
      <c r="AT11">
        <v>649</v>
      </c>
      <c r="AU11">
        <v>1050</v>
      </c>
      <c r="AV11">
        <v>58</v>
      </c>
      <c r="AW11">
        <v>53</v>
      </c>
      <c r="AX11">
        <v>342</v>
      </c>
      <c r="AY11">
        <v>1251</v>
      </c>
      <c r="AZ11">
        <v>126</v>
      </c>
      <c r="BA11">
        <v>73</v>
      </c>
      <c r="BB11">
        <v>163</v>
      </c>
      <c r="BC11">
        <v>329</v>
      </c>
      <c r="BD11">
        <v>277</v>
      </c>
      <c r="BE11">
        <v>346</v>
      </c>
      <c r="BF11">
        <v>1417</v>
      </c>
      <c r="BG11">
        <v>61</v>
      </c>
      <c r="BH11">
        <v>391</v>
      </c>
      <c r="BI11">
        <v>748</v>
      </c>
      <c r="BJ11">
        <v>4.5273823265358469E-2</v>
      </c>
      <c r="BK11">
        <v>3.8476337052712584E-4</v>
      </c>
      <c r="BL11">
        <v>2.5650891368475054E-4</v>
      </c>
      <c r="BM11">
        <v>8.3237142490701549E-2</v>
      </c>
      <c r="BN11">
        <v>0.13466717968449404</v>
      </c>
      <c r="BO11">
        <v>7.438758496857766E-3</v>
      </c>
      <c r="BP11">
        <v>6.7974862126458898E-3</v>
      </c>
      <c r="BQ11">
        <v>4.3863024240092342E-2</v>
      </c>
      <c r="BR11">
        <v>0.16044632550981147</v>
      </c>
      <c r="BS11">
        <v>1.6160061562139283E-2</v>
      </c>
      <c r="BT11">
        <v>9.3625753494933957E-3</v>
      </c>
      <c r="BU11">
        <v>2.090547646530717E-2</v>
      </c>
      <c r="BV11">
        <v>4.2195716301141467E-2</v>
      </c>
      <c r="BW11">
        <v>3.5526484545337952E-2</v>
      </c>
      <c r="BX11">
        <v>4.4376042067461846E-2</v>
      </c>
      <c r="BY11">
        <v>0.18173656534564575</v>
      </c>
      <c r="BZ11">
        <v>7.8235218673848913E-3</v>
      </c>
      <c r="CA11">
        <v>5.0147492625368731E-2</v>
      </c>
      <c r="CB11">
        <v>9.5934333718096704E-2</v>
      </c>
      <c r="CC11">
        <v>7797</v>
      </c>
      <c r="CD11">
        <v>6679</v>
      </c>
      <c r="CE11">
        <v>355</v>
      </c>
      <c r="CF11">
        <v>696</v>
      </c>
      <c r="CG11">
        <v>577</v>
      </c>
      <c r="CH11">
        <v>445</v>
      </c>
      <c r="CI11">
        <v>77</v>
      </c>
      <c r="CJ11">
        <v>41</v>
      </c>
      <c r="CK11">
        <v>0.85661151725022444</v>
      </c>
      <c r="CL11">
        <v>4.5530332179043224E-2</v>
      </c>
      <c r="CM11">
        <v>8.9265101962293189E-2</v>
      </c>
      <c r="CN11">
        <v>0.77123050259965342</v>
      </c>
      <c r="CO11">
        <v>0.13344887348353554</v>
      </c>
      <c r="CP11">
        <v>7.1057192374350084E-2</v>
      </c>
    </row>
    <row r="12" spans="1:94" x14ac:dyDescent="0.15">
      <c r="A12" t="s">
        <v>437</v>
      </c>
      <c r="B12" t="s">
        <v>427</v>
      </c>
      <c r="C12" t="s">
        <v>438</v>
      </c>
      <c r="D12">
        <v>5637</v>
      </c>
      <c r="E12">
        <v>2224</v>
      </c>
      <c r="F12">
        <v>811</v>
      </c>
      <c r="G12">
        <v>762</v>
      </c>
      <c r="H12">
        <v>0.39453610076281709</v>
      </c>
      <c r="I12">
        <v>0.14387085329075749</v>
      </c>
      <c r="J12">
        <v>0.13517828632251197</v>
      </c>
      <c r="K12">
        <v>14277</v>
      </c>
      <c r="L12">
        <v>1202</v>
      </c>
      <c r="M12">
        <v>5777</v>
      </c>
      <c r="N12">
        <v>6467</v>
      </c>
      <c r="O12">
        <v>8.4191356727603833E-2</v>
      </c>
      <c r="P12">
        <v>0.40463682846536386</v>
      </c>
      <c r="Q12">
        <v>0.45296630944876376</v>
      </c>
      <c r="R12">
        <v>14277</v>
      </c>
      <c r="S12">
        <v>2201</v>
      </c>
      <c r="T12">
        <v>341</v>
      </c>
      <c r="U12">
        <v>810</v>
      </c>
      <c r="V12">
        <v>55</v>
      </c>
      <c r="W12">
        <v>3407</v>
      </c>
      <c r="X12">
        <v>6778</v>
      </c>
      <c r="Y12">
        <v>1009</v>
      </c>
      <c r="Z12">
        <v>183</v>
      </c>
      <c r="AA12">
        <v>434</v>
      </c>
      <c r="AB12">
        <v>17</v>
      </c>
      <c r="AC12">
        <v>1643</v>
      </c>
      <c r="AD12">
        <v>7499</v>
      </c>
      <c r="AE12">
        <v>1192</v>
      </c>
      <c r="AF12">
        <v>158</v>
      </c>
      <c r="AG12">
        <v>376</v>
      </c>
      <c r="AH12">
        <v>38</v>
      </c>
      <c r="AI12">
        <v>1764</v>
      </c>
      <c r="AJ12">
        <v>0.23863556769629474</v>
      </c>
      <c r="AK12">
        <v>0.10008805400645729</v>
      </c>
      <c r="AL12">
        <v>0.23774581743469328</v>
      </c>
      <c r="AM12">
        <v>1.6143234517170531E-2</v>
      </c>
      <c r="AN12">
        <v>0.48224244203111244</v>
      </c>
      <c r="AO12">
        <v>0.51775755796888756</v>
      </c>
      <c r="AP12">
        <v>6541</v>
      </c>
      <c r="AQ12">
        <v>318</v>
      </c>
      <c r="AR12">
        <v>0</v>
      </c>
      <c r="AS12">
        <v>0</v>
      </c>
      <c r="AT12">
        <v>523</v>
      </c>
      <c r="AU12">
        <v>878</v>
      </c>
      <c r="AV12">
        <v>21</v>
      </c>
      <c r="AW12">
        <v>57</v>
      </c>
      <c r="AX12">
        <v>266</v>
      </c>
      <c r="AY12">
        <v>1114</v>
      </c>
      <c r="AZ12">
        <v>116</v>
      </c>
      <c r="BA12">
        <v>77</v>
      </c>
      <c r="BB12">
        <v>180</v>
      </c>
      <c r="BC12">
        <v>300</v>
      </c>
      <c r="BD12">
        <v>215</v>
      </c>
      <c r="BE12">
        <v>362</v>
      </c>
      <c r="BF12">
        <v>1238</v>
      </c>
      <c r="BG12">
        <v>69</v>
      </c>
      <c r="BH12">
        <v>310</v>
      </c>
      <c r="BI12">
        <v>397</v>
      </c>
      <c r="BJ12">
        <v>4.8616419507720533E-2</v>
      </c>
      <c r="BK12">
        <v>0</v>
      </c>
      <c r="BL12">
        <v>0</v>
      </c>
      <c r="BM12">
        <v>7.9957193089741627E-2</v>
      </c>
      <c r="BN12">
        <v>0.1342302400244611</v>
      </c>
      <c r="BO12">
        <v>3.2105182693777708E-3</v>
      </c>
      <c r="BP12">
        <v>8.714263874025378E-3</v>
      </c>
      <c r="BQ12">
        <v>4.0666564745451765E-2</v>
      </c>
      <c r="BR12">
        <v>0.17031035009937318</v>
      </c>
      <c r="BS12">
        <v>1.7734291392753402E-2</v>
      </c>
      <c r="BT12">
        <v>1.1771900321051828E-2</v>
      </c>
      <c r="BU12">
        <v>2.7518728023238036E-2</v>
      </c>
      <c r="BV12">
        <v>4.5864546705396726E-2</v>
      </c>
      <c r="BW12">
        <v>3.2869591805534323E-2</v>
      </c>
      <c r="BX12">
        <v>5.5343219691178717E-2</v>
      </c>
      <c r="BY12">
        <v>0.18926769607093716</v>
      </c>
      <c r="BZ12">
        <v>1.0548845742241247E-2</v>
      </c>
      <c r="CA12">
        <v>4.7393364928909949E-2</v>
      </c>
      <c r="CB12">
        <v>6.0694083473475005E-2</v>
      </c>
      <c r="CC12">
        <v>6541</v>
      </c>
      <c r="CD12">
        <v>5681</v>
      </c>
      <c r="CE12">
        <v>314</v>
      </c>
      <c r="CF12">
        <v>464</v>
      </c>
      <c r="CG12">
        <v>761</v>
      </c>
      <c r="CH12">
        <v>639</v>
      </c>
      <c r="CI12">
        <v>90</v>
      </c>
      <c r="CJ12">
        <v>18</v>
      </c>
      <c r="CK12">
        <v>0.86852163277786276</v>
      </c>
      <c r="CL12">
        <v>4.8004892218315241E-2</v>
      </c>
      <c r="CM12">
        <v>7.0937165571013608E-2</v>
      </c>
      <c r="CN12">
        <v>0.83968462549277267</v>
      </c>
      <c r="CO12">
        <v>0.11826544021024968</v>
      </c>
      <c r="CP12">
        <v>2.3653088042049936E-2</v>
      </c>
    </row>
    <row r="13" spans="1:94" x14ac:dyDescent="0.15">
      <c r="A13" t="s">
        <v>439</v>
      </c>
      <c r="B13" t="s">
        <v>427</v>
      </c>
      <c r="C13" t="s">
        <v>440</v>
      </c>
      <c r="D13">
        <v>6580</v>
      </c>
      <c r="E13">
        <v>2192</v>
      </c>
      <c r="F13">
        <v>845</v>
      </c>
      <c r="G13">
        <v>709</v>
      </c>
      <c r="H13">
        <v>0.33313069908814591</v>
      </c>
      <c r="I13">
        <v>0.128419452887538</v>
      </c>
      <c r="J13">
        <v>0.10775075987841945</v>
      </c>
      <c r="K13">
        <v>14894</v>
      </c>
      <c r="L13">
        <v>1494</v>
      </c>
      <c r="M13">
        <v>6256</v>
      </c>
      <c r="N13">
        <v>6073</v>
      </c>
      <c r="O13">
        <v>0.10030884920102054</v>
      </c>
      <c r="P13">
        <v>0.42003491338794147</v>
      </c>
      <c r="Q13">
        <v>0.40774808647777627</v>
      </c>
      <c r="R13">
        <v>14894</v>
      </c>
      <c r="S13">
        <v>2315</v>
      </c>
      <c r="T13">
        <v>855</v>
      </c>
      <c r="U13">
        <v>811</v>
      </c>
      <c r="V13">
        <v>163</v>
      </c>
      <c r="W13">
        <v>4144</v>
      </c>
      <c r="X13">
        <v>7195</v>
      </c>
      <c r="Y13">
        <v>1062</v>
      </c>
      <c r="Z13">
        <v>478</v>
      </c>
      <c r="AA13">
        <v>464</v>
      </c>
      <c r="AB13">
        <v>23</v>
      </c>
      <c r="AC13">
        <v>2027</v>
      </c>
      <c r="AD13">
        <v>7699</v>
      </c>
      <c r="AE13">
        <v>1253</v>
      </c>
      <c r="AF13">
        <v>377</v>
      </c>
      <c r="AG13">
        <v>347</v>
      </c>
      <c r="AH13">
        <v>140</v>
      </c>
      <c r="AI13">
        <v>2117</v>
      </c>
      <c r="AJ13">
        <v>0.2782328454411172</v>
      </c>
      <c r="AK13">
        <v>0.20632239382239381</v>
      </c>
      <c r="AL13">
        <v>0.19570463320463322</v>
      </c>
      <c r="AM13">
        <v>3.9333976833976832E-2</v>
      </c>
      <c r="AN13">
        <v>0.48914092664092662</v>
      </c>
      <c r="AO13">
        <v>0.51085907335907332</v>
      </c>
      <c r="AP13">
        <v>7373</v>
      </c>
      <c r="AQ13">
        <v>474</v>
      </c>
      <c r="AR13">
        <v>1</v>
      </c>
      <c r="AS13">
        <v>1</v>
      </c>
      <c r="AT13">
        <v>534</v>
      </c>
      <c r="AU13">
        <v>1476</v>
      </c>
      <c r="AV13">
        <v>11</v>
      </c>
      <c r="AW13">
        <v>51</v>
      </c>
      <c r="AX13">
        <v>408</v>
      </c>
      <c r="AY13">
        <v>1126</v>
      </c>
      <c r="AZ13">
        <v>84</v>
      </c>
      <c r="BA13">
        <v>74</v>
      </c>
      <c r="BB13">
        <v>145</v>
      </c>
      <c r="BC13">
        <v>304</v>
      </c>
      <c r="BD13">
        <v>267</v>
      </c>
      <c r="BE13">
        <v>472</v>
      </c>
      <c r="BF13">
        <v>1150</v>
      </c>
      <c r="BG13">
        <v>93</v>
      </c>
      <c r="BH13">
        <v>386</v>
      </c>
      <c r="BI13">
        <v>209</v>
      </c>
      <c r="BJ13">
        <v>6.4288620642886207E-2</v>
      </c>
      <c r="BK13">
        <v>1.356300013563E-4</v>
      </c>
      <c r="BL13">
        <v>1.356300013563E-4</v>
      </c>
      <c r="BM13">
        <v>7.2426420724264209E-2</v>
      </c>
      <c r="BN13">
        <v>0.20018988200189883</v>
      </c>
      <c r="BO13">
        <v>1.4919300149193002E-3</v>
      </c>
      <c r="BP13">
        <v>6.9171300691713003E-3</v>
      </c>
      <c r="BQ13">
        <v>5.5337040553370402E-2</v>
      </c>
      <c r="BR13">
        <v>0.1527193815271938</v>
      </c>
      <c r="BS13">
        <v>1.1392920113929202E-2</v>
      </c>
      <c r="BT13">
        <v>1.0036620100366201E-2</v>
      </c>
      <c r="BU13">
        <v>1.9666350196663501E-2</v>
      </c>
      <c r="BV13">
        <v>4.1231520412315203E-2</v>
      </c>
      <c r="BW13">
        <v>3.6213210362132105E-2</v>
      </c>
      <c r="BX13">
        <v>6.4017360640173604E-2</v>
      </c>
      <c r="BY13">
        <v>0.15597450155974502</v>
      </c>
      <c r="BZ13">
        <v>1.2613590126135901E-2</v>
      </c>
      <c r="CA13">
        <v>5.2353180523531807E-2</v>
      </c>
      <c r="CB13">
        <v>2.8346670283466702E-2</v>
      </c>
      <c r="CC13">
        <v>7373</v>
      </c>
      <c r="CD13">
        <v>6522</v>
      </c>
      <c r="CE13">
        <v>623</v>
      </c>
      <c r="CF13">
        <v>149</v>
      </c>
      <c r="CG13">
        <v>805</v>
      </c>
      <c r="CH13">
        <v>711</v>
      </c>
      <c r="CI13">
        <v>68</v>
      </c>
      <c r="CJ13">
        <v>16</v>
      </c>
      <c r="CK13">
        <v>0.88457886884578873</v>
      </c>
      <c r="CL13">
        <v>8.4497490844974904E-2</v>
      </c>
      <c r="CM13">
        <v>2.0208870202088704E-2</v>
      </c>
      <c r="CN13">
        <v>0.8832298136645963</v>
      </c>
      <c r="CO13">
        <v>8.4472049689440998E-2</v>
      </c>
      <c r="CP13">
        <v>1.9875776397515529E-2</v>
      </c>
    </row>
    <row r="14" spans="1:94" x14ac:dyDescent="0.15">
      <c r="A14" t="s">
        <v>441</v>
      </c>
      <c r="B14" t="s">
        <v>427</v>
      </c>
      <c r="C14" t="s">
        <v>442</v>
      </c>
      <c r="D14">
        <v>2617</v>
      </c>
      <c r="E14">
        <v>1513</v>
      </c>
      <c r="F14">
        <v>553</v>
      </c>
      <c r="G14">
        <v>463</v>
      </c>
      <c r="H14">
        <v>0.57814291173098964</v>
      </c>
      <c r="I14">
        <v>0.21131066106228505</v>
      </c>
      <c r="J14">
        <v>0.17692013756209399</v>
      </c>
      <c r="K14">
        <v>6295</v>
      </c>
      <c r="L14">
        <v>967</v>
      </c>
      <c r="M14">
        <v>1623</v>
      </c>
      <c r="N14">
        <v>3473</v>
      </c>
      <c r="O14">
        <v>0.15361397934868942</v>
      </c>
      <c r="P14">
        <v>0.25782366957903097</v>
      </c>
      <c r="Q14">
        <v>0.5517077045274027</v>
      </c>
      <c r="R14">
        <v>6295</v>
      </c>
      <c r="S14">
        <v>537</v>
      </c>
      <c r="T14">
        <v>122</v>
      </c>
      <c r="U14">
        <v>115</v>
      </c>
      <c r="V14">
        <v>82</v>
      </c>
      <c r="W14">
        <v>856</v>
      </c>
      <c r="X14">
        <v>2993</v>
      </c>
      <c r="Y14">
        <v>232</v>
      </c>
      <c r="Z14">
        <v>58</v>
      </c>
      <c r="AA14">
        <v>62</v>
      </c>
      <c r="AB14">
        <v>50</v>
      </c>
      <c r="AC14">
        <v>402</v>
      </c>
      <c r="AD14">
        <v>3302</v>
      </c>
      <c r="AE14">
        <v>305</v>
      </c>
      <c r="AF14">
        <v>64</v>
      </c>
      <c r="AG14">
        <v>53</v>
      </c>
      <c r="AH14">
        <v>32</v>
      </c>
      <c r="AI14">
        <v>454</v>
      </c>
      <c r="AJ14">
        <v>0.13598093725178714</v>
      </c>
      <c r="AK14">
        <v>0.1425233644859813</v>
      </c>
      <c r="AL14">
        <v>0.13434579439252337</v>
      </c>
      <c r="AM14">
        <v>9.5794392523364483E-2</v>
      </c>
      <c r="AN14">
        <v>0.46962616822429909</v>
      </c>
      <c r="AO14">
        <v>0.53037383177570097</v>
      </c>
      <c r="AP14">
        <v>3054</v>
      </c>
      <c r="AQ14">
        <v>603</v>
      </c>
      <c r="AR14">
        <v>0</v>
      </c>
      <c r="AS14">
        <v>0</v>
      </c>
      <c r="AT14">
        <v>308</v>
      </c>
      <c r="AU14">
        <v>523</v>
      </c>
      <c r="AV14">
        <v>5</v>
      </c>
      <c r="AW14">
        <v>10</v>
      </c>
      <c r="AX14">
        <v>137</v>
      </c>
      <c r="AY14">
        <v>371</v>
      </c>
      <c r="AZ14">
        <v>32</v>
      </c>
      <c r="BA14">
        <v>14</v>
      </c>
      <c r="BB14">
        <v>48</v>
      </c>
      <c r="BC14">
        <v>91</v>
      </c>
      <c r="BD14">
        <v>92</v>
      </c>
      <c r="BE14">
        <v>89</v>
      </c>
      <c r="BF14">
        <v>439</v>
      </c>
      <c r="BG14">
        <v>45</v>
      </c>
      <c r="BH14">
        <v>140</v>
      </c>
      <c r="BI14">
        <v>63</v>
      </c>
      <c r="BJ14">
        <v>0.19744597249508841</v>
      </c>
      <c r="BK14">
        <v>0</v>
      </c>
      <c r="BL14">
        <v>0</v>
      </c>
      <c r="BM14">
        <v>0.1008513425016372</v>
      </c>
      <c r="BN14">
        <v>0.17125081859855926</v>
      </c>
      <c r="BO14">
        <v>1.6371971185330713E-3</v>
      </c>
      <c r="BP14">
        <v>3.2743942370661427E-3</v>
      </c>
      <c r="BQ14">
        <v>4.4859201047806156E-2</v>
      </c>
      <c r="BR14">
        <v>0.1214800261951539</v>
      </c>
      <c r="BS14">
        <v>1.0478061558611657E-2</v>
      </c>
      <c r="BT14">
        <v>4.5841519318926003E-3</v>
      </c>
      <c r="BU14">
        <v>1.5717092337917484E-2</v>
      </c>
      <c r="BV14">
        <v>2.97969875573019E-2</v>
      </c>
      <c r="BW14">
        <v>3.0124426981008513E-2</v>
      </c>
      <c r="BX14">
        <v>2.9142108709888672E-2</v>
      </c>
      <c r="BY14">
        <v>0.14374590700720366</v>
      </c>
      <c r="BZ14">
        <v>1.4734774066797643E-2</v>
      </c>
      <c r="CA14">
        <v>4.5841519318926001E-2</v>
      </c>
      <c r="CB14">
        <v>2.0628683693516701E-2</v>
      </c>
      <c r="CC14">
        <v>3054</v>
      </c>
      <c r="CD14">
        <v>2772</v>
      </c>
      <c r="CE14">
        <v>186</v>
      </c>
      <c r="CF14">
        <v>56</v>
      </c>
      <c r="CG14">
        <v>209</v>
      </c>
      <c r="CH14">
        <v>163</v>
      </c>
      <c r="CI14">
        <v>35</v>
      </c>
      <c r="CJ14">
        <v>5</v>
      </c>
      <c r="CK14">
        <v>0.90766208251473479</v>
      </c>
      <c r="CL14">
        <v>6.0903732809430254E-2</v>
      </c>
      <c r="CM14">
        <v>1.8336607727570401E-2</v>
      </c>
      <c r="CN14">
        <v>0.77990430622009566</v>
      </c>
      <c r="CO14">
        <v>0.1674641148325359</v>
      </c>
      <c r="CP14">
        <v>2.3923444976076555E-2</v>
      </c>
    </row>
    <row r="15" spans="1:94" x14ac:dyDescent="0.15">
      <c r="A15" t="s">
        <v>443</v>
      </c>
      <c r="B15" t="s">
        <v>427</v>
      </c>
      <c r="C15" t="s">
        <v>444</v>
      </c>
      <c r="D15" s="202">
        <v>2931</v>
      </c>
      <c r="E15" s="202">
        <v>1607</v>
      </c>
      <c r="F15" s="202">
        <v>536</v>
      </c>
      <c r="G15" s="202">
        <v>525</v>
      </c>
      <c r="H15" s="202">
        <v>0.54827703855339471</v>
      </c>
      <c r="I15" s="202">
        <v>0.18287273967929035</v>
      </c>
      <c r="J15" s="202">
        <v>0.17911975435005117</v>
      </c>
      <c r="K15" s="202">
        <v>7124</v>
      </c>
      <c r="L15" s="202">
        <v>927</v>
      </c>
      <c r="M15" s="202">
        <v>2102</v>
      </c>
      <c r="N15" s="202">
        <v>3804</v>
      </c>
      <c r="O15" s="202">
        <v>0.13012352610892758</v>
      </c>
      <c r="P15" s="202">
        <v>0.29505895564289725</v>
      </c>
      <c r="Q15" s="202">
        <v>0.53396967995508138</v>
      </c>
      <c r="R15" s="202">
        <v>7124</v>
      </c>
      <c r="S15" s="202">
        <v>854</v>
      </c>
      <c r="T15" s="202">
        <v>96</v>
      </c>
      <c r="U15" s="202">
        <v>143</v>
      </c>
      <c r="V15" s="202">
        <v>70</v>
      </c>
      <c r="W15" s="202">
        <v>1163</v>
      </c>
      <c r="X15" s="202">
        <v>3312</v>
      </c>
      <c r="Y15" s="202">
        <v>384</v>
      </c>
      <c r="Z15" s="202">
        <v>40</v>
      </c>
      <c r="AA15" s="202">
        <v>76</v>
      </c>
      <c r="AB15" s="202">
        <v>20</v>
      </c>
      <c r="AC15" s="202">
        <v>520</v>
      </c>
      <c r="AD15" s="202">
        <v>3812</v>
      </c>
      <c r="AE15" s="202">
        <v>470</v>
      </c>
      <c r="AF15" s="202">
        <v>56</v>
      </c>
      <c r="AG15" s="202">
        <v>67</v>
      </c>
      <c r="AH15" s="202">
        <v>50</v>
      </c>
      <c r="AI15" s="202">
        <v>643</v>
      </c>
      <c r="AJ15" s="202">
        <v>0.1632509825940483</v>
      </c>
      <c r="AK15" s="202">
        <v>8.2545141874462602E-2</v>
      </c>
      <c r="AL15" s="202">
        <v>0.12295786758383491</v>
      </c>
      <c r="AM15" s="202">
        <v>6.0189165950128978E-2</v>
      </c>
      <c r="AN15" s="202">
        <v>0.44711951848667242</v>
      </c>
      <c r="AO15" s="202">
        <v>0.55288048151332758</v>
      </c>
      <c r="AP15" s="202">
        <v>3323</v>
      </c>
      <c r="AQ15" s="202">
        <v>481</v>
      </c>
      <c r="AR15" s="202">
        <v>0</v>
      </c>
      <c r="AS15" s="202">
        <v>2</v>
      </c>
      <c r="AT15" s="202">
        <v>360</v>
      </c>
      <c r="AU15" s="202">
        <v>546</v>
      </c>
      <c r="AV15" s="202">
        <v>10</v>
      </c>
      <c r="AW15" s="202">
        <v>18</v>
      </c>
      <c r="AX15" s="202">
        <v>133</v>
      </c>
      <c r="AY15" s="202">
        <v>423</v>
      </c>
      <c r="AZ15" s="202">
        <v>35</v>
      </c>
      <c r="BA15" s="202">
        <v>25</v>
      </c>
      <c r="BB15" s="202">
        <v>72</v>
      </c>
      <c r="BC15" s="202">
        <v>122</v>
      </c>
      <c r="BD15" s="202">
        <v>100</v>
      </c>
      <c r="BE15" s="202">
        <v>116</v>
      </c>
      <c r="BF15" s="202">
        <v>476</v>
      </c>
      <c r="BG15" s="202">
        <v>52</v>
      </c>
      <c r="BH15" s="202">
        <v>155</v>
      </c>
      <c r="BI15" s="202">
        <v>78</v>
      </c>
      <c r="BJ15" s="202">
        <v>0.14474872103520914</v>
      </c>
      <c r="BK15" s="202">
        <v>0</v>
      </c>
      <c r="BL15" s="202">
        <v>6.0186578393018361E-4</v>
      </c>
      <c r="BM15" s="202">
        <v>0.10833584110743304</v>
      </c>
      <c r="BN15" s="202">
        <v>0.16430935901294011</v>
      </c>
      <c r="BO15" s="202">
        <v>3.0093289196509178E-3</v>
      </c>
      <c r="BP15" s="202">
        <v>5.4167920553716518E-3</v>
      </c>
      <c r="BQ15" s="202">
        <v>4.0024074631357209E-2</v>
      </c>
      <c r="BR15" s="202">
        <v>0.12729461330123382</v>
      </c>
      <c r="BS15" s="202">
        <v>1.0532651218778213E-2</v>
      </c>
      <c r="BT15" s="202">
        <v>7.5233222991272948E-3</v>
      </c>
      <c r="BU15" s="202">
        <v>2.1667168221486607E-2</v>
      </c>
      <c r="BV15" s="202">
        <v>3.6713812819741197E-2</v>
      </c>
      <c r="BW15" s="202">
        <v>3.0093289196509179E-2</v>
      </c>
      <c r="BX15" s="202">
        <v>3.490821546795065E-2</v>
      </c>
      <c r="BY15" s="202">
        <v>0.14324405657538369</v>
      </c>
      <c r="BZ15" s="202">
        <v>1.5648510382184774E-2</v>
      </c>
      <c r="CA15" s="202">
        <v>4.6644598254589227E-2</v>
      </c>
      <c r="CB15" s="202">
        <v>2.3472765573277158E-2</v>
      </c>
      <c r="CC15" s="202">
        <v>3323</v>
      </c>
      <c r="CD15" s="202">
        <v>2979</v>
      </c>
      <c r="CE15" s="202">
        <v>158</v>
      </c>
      <c r="CF15" s="202">
        <v>114</v>
      </c>
      <c r="CG15" s="202">
        <v>216</v>
      </c>
      <c r="CH15" s="202">
        <v>168</v>
      </c>
      <c r="CI15" s="202">
        <v>38</v>
      </c>
      <c r="CJ15" s="202">
        <v>6</v>
      </c>
      <c r="CK15" s="202">
        <v>0.89647908516400843</v>
      </c>
      <c r="CL15" s="202">
        <v>4.7547396930484501E-2</v>
      </c>
      <c r="CM15" s="202">
        <v>3.4306349684020465E-2</v>
      </c>
      <c r="CN15" s="202">
        <v>0.77777777777777779</v>
      </c>
      <c r="CO15" s="202">
        <v>0.17592592592592593</v>
      </c>
      <c r="CP15" s="202">
        <v>2.7777777777777776E-2</v>
      </c>
    </row>
    <row r="16" spans="1:94" x14ac:dyDescent="0.15">
      <c r="A16" t="s">
        <v>445</v>
      </c>
      <c r="B16" t="s">
        <v>427</v>
      </c>
      <c r="C16" t="s">
        <v>446</v>
      </c>
      <c r="D16">
        <v>796</v>
      </c>
      <c r="E16">
        <v>617</v>
      </c>
      <c r="F16">
        <v>235</v>
      </c>
      <c r="G16">
        <v>235</v>
      </c>
      <c r="H16">
        <v>0.77512562814070352</v>
      </c>
      <c r="I16">
        <v>0.29522613065326631</v>
      </c>
      <c r="J16">
        <v>0.29522613065326631</v>
      </c>
      <c r="K16">
        <v>1584</v>
      </c>
      <c r="L16">
        <v>265</v>
      </c>
      <c r="M16">
        <v>324</v>
      </c>
      <c r="N16">
        <v>993</v>
      </c>
      <c r="O16">
        <v>0.16729797979797981</v>
      </c>
      <c r="P16">
        <v>0.20454545454545456</v>
      </c>
      <c r="Q16">
        <v>0.62689393939393945</v>
      </c>
      <c r="R16">
        <v>1584</v>
      </c>
      <c r="S16">
        <v>115</v>
      </c>
      <c r="T16">
        <v>16</v>
      </c>
      <c r="U16">
        <v>62</v>
      </c>
      <c r="V16">
        <v>10</v>
      </c>
      <c r="W16">
        <v>203</v>
      </c>
      <c r="X16">
        <v>732</v>
      </c>
      <c r="Y16">
        <v>52</v>
      </c>
      <c r="Z16">
        <v>12</v>
      </c>
      <c r="AA16">
        <v>29</v>
      </c>
      <c r="AB16">
        <v>4</v>
      </c>
      <c r="AC16">
        <v>97</v>
      </c>
      <c r="AD16">
        <v>852</v>
      </c>
      <c r="AE16">
        <v>63</v>
      </c>
      <c r="AF16">
        <v>4</v>
      </c>
      <c r="AG16">
        <v>33</v>
      </c>
      <c r="AH16">
        <v>6</v>
      </c>
      <c r="AI16">
        <v>106</v>
      </c>
      <c r="AJ16">
        <v>0.12815656565656566</v>
      </c>
      <c r="AK16">
        <v>7.8817733990147784E-2</v>
      </c>
      <c r="AL16">
        <v>0.30541871921182268</v>
      </c>
      <c r="AM16">
        <v>4.9261083743842367E-2</v>
      </c>
      <c r="AN16">
        <v>0.47783251231527096</v>
      </c>
      <c r="AO16">
        <v>0.52216748768472909</v>
      </c>
      <c r="AP16">
        <v>636</v>
      </c>
      <c r="AQ16">
        <v>239</v>
      </c>
      <c r="AR16">
        <v>0</v>
      </c>
      <c r="AS16">
        <v>0</v>
      </c>
      <c r="AT16">
        <v>35</v>
      </c>
      <c r="AU16">
        <v>68</v>
      </c>
      <c r="AV16">
        <v>0</v>
      </c>
      <c r="AW16">
        <v>1</v>
      </c>
      <c r="AX16">
        <v>24</v>
      </c>
      <c r="AY16">
        <v>70</v>
      </c>
      <c r="AZ16">
        <v>1</v>
      </c>
      <c r="BA16">
        <v>3</v>
      </c>
      <c r="BB16">
        <v>2</v>
      </c>
      <c r="BC16">
        <v>35</v>
      </c>
      <c r="BD16">
        <v>20</v>
      </c>
      <c r="BE16">
        <v>18</v>
      </c>
      <c r="BF16">
        <v>65</v>
      </c>
      <c r="BG16">
        <v>5</v>
      </c>
      <c r="BH16">
        <v>22</v>
      </c>
      <c r="BI16">
        <v>7</v>
      </c>
      <c r="BJ16">
        <v>0.37578616352201261</v>
      </c>
      <c r="BK16">
        <v>0</v>
      </c>
      <c r="BL16">
        <v>0</v>
      </c>
      <c r="BM16">
        <v>5.5031446540880505E-2</v>
      </c>
      <c r="BN16">
        <v>0.1069182389937107</v>
      </c>
      <c r="BO16">
        <v>0</v>
      </c>
      <c r="BP16">
        <v>1.5723270440251573E-3</v>
      </c>
      <c r="BQ16">
        <v>3.7735849056603772E-2</v>
      </c>
      <c r="BR16">
        <v>0.11006289308176101</v>
      </c>
      <c r="BS16">
        <v>1.5723270440251573E-3</v>
      </c>
      <c r="BT16">
        <v>4.7169811320754715E-3</v>
      </c>
      <c r="BU16">
        <v>3.1446540880503146E-3</v>
      </c>
      <c r="BV16">
        <v>5.5031446540880505E-2</v>
      </c>
      <c r="BW16">
        <v>3.1446540880503145E-2</v>
      </c>
      <c r="BX16">
        <v>2.8301886792452831E-2</v>
      </c>
      <c r="BY16">
        <v>0.10220125786163523</v>
      </c>
      <c r="BZ16">
        <v>7.8616352201257862E-3</v>
      </c>
      <c r="CA16">
        <v>3.4591194968553458E-2</v>
      </c>
      <c r="CB16">
        <v>1.10062893081761E-2</v>
      </c>
      <c r="CC16">
        <v>636</v>
      </c>
      <c r="CD16">
        <v>567</v>
      </c>
      <c r="CE16">
        <v>15</v>
      </c>
      <c r="CF16">
        <v>43</v>
      </c>
      <c r="CG16">
        <v>27</v>
      </c>
      <c r="CH16">
        <v>21</v>
      </c>
      <c r="CI16">
        <v>4</v>
      </c>
      <c r="CJ16">
        <v>2</v>
      </c>
      <c r="CK16">
        <v>0.89150943396226412</v>
      </c>
      <c r="CL16">
        <v>2.358490566037736E-2</v>
      </c>
      <c r="CM16">
        <v>6.761006289308176E-2</v>
      </c>
      <c r="CN16">
        <v>0.77777777777777779</v>
      </c>
      <c r="CO16">
        <v>0.14814814814814814</v>
      </c>
      <c r="CP16">
        <v>7.407407407407407E-2</v>
      </c>
    </row>
    <row r="17" spans="1:94" x14ac:dyDescent="0.15">
      <c r="A17" t="s">
        <v>447</v>
      </c>
      <c r="B17" t="s">
        <v>427</v>
      </c>
      <c r="C17" t="s">
        <v>448</v>
      </c>
      <c r="D17">
        <v>3421</v>
      </c>
      <c r="E17">
        <v>1894</v>
      </c>
      <c r="F17">
        <v>710</v>
      </c>
      <c r="G17">
        <v>645</v>
      </c>
      <c r="H17">
        <v>0.5536392867582578</v>
      </c>
      <c r="I17">
        <v>0.20754165448699211</v>
      </c>
      <c r="J17">
        <v>0.18854136217480269</v>
      </c>
      <c r="K17">
        <v>8206</v>
      </c>
      <c r="L17">
        <v>909</v>
      </c>
      <c r="M17">
        <v>2411</v>
      </c>
      <c r="N17">
        <v>4510</v>
      </c>
      <c r="O17">
        <v>0.11077260541067512</v>
      </c>
      <c r="P17">
        <v>0.29380940775042652</v>
      </c>
      <c r="Q17">
        <v>0.54959785522788207</v>
      </c>
      <c r="R17">
        <v>8206</v>
      </c>
      <c r="S17">
        <v>950</v>
      </c>
      <c r="T17">
        <v>125</v>
      </c>
      <c r="U17">
        <v>269</v>
      </c>
      <c r="V17">
        <v>72</v>
      </c>
      <c r="W17">
        <v>1416</v>
      </c>
      <c r="X17">
        <v>3799</v>
      </c>
      <c r="Y17">
        <v>392</v>
      </c>
      <c r="Z17">
        <v>45</v>
      </c>
      <c r="AA17">
        <v>137</v>
      </c>
      <c r="AB17">
        <v>11</v>
      </c>
      <c r="AC17">
        <v>585</v>
      </c>
      <c r="AD17">
        <v>4407</v>
      </c>
      <c r="AE17">
        <v>558</v>
      </c>
      <c r="AF17">
        <v>80</v>
      </c>
      <c r="AG17">
        <v>132</v>
      </c>
      <c r="AH17">
        <v>61</v>
      </c>
      <c r="AI17">
        <v>831</v>
      </c>
      <c r="AJ17">
        <v>0.17255666585425297</v>
      </c>
      <c r="AK17">
        <v>8.8276836158192096E-2</v>
      </c>
      <c r="AL17">
        <v>0.18997175141242939</v>
      </c>
      <c r="AM17">
        <v>5.0847457627118647E-2</v>
      </c>
      <c r="AN17">
        <v>0.41313559322033899</v>
      </c>
      <c r="AO17">
        <v>0.58686440677966101</v>
      </c>
      <c r="AP17">
        <v>3662</v>
      </c>
      <c r="AQ17">
        <v>452</v>
      </c>
      <c r="AR17">
        <v>1</v>
      </c>
      <c r="AS17">
        <v>0</v>
      </c>
      <c r="AT17">
        <v>363</v>
      </c>
      <c r="AU17">
        <v>672</v>
      </c>
      <c r="AV17">
        <v>14</v>
      </c>
      <c r="AW17">
        <v>20</v>
      </c>
      <c r="AX17">
        <v>174</v>
      </c>
      <c r="AY17">
        <v>473</v>
      </c>
      <c r="AZ17">
        <v>54</v>
      </c>
      <c r="BA17">
        <v>24</v>
      </c>
      <c r="BB17">
        <v>52</v>
      </c>
      <c r="BC17">
        <v>120</v>
      </c>
      <c r="BD17">
        <v>91</v>
      </c>
      <c r="BE17">
        <v>100</v>
      </c>
      <c r="BF17">
        <v>662</v>
      </c>
      <c r="BG17">
        <v>39</v>
      </c>
      <c r="BH17">
        <v>179</v>
      </c>
      <c r="BI17">
        <v>87</v>
      </c>
      <c r="BJ17">
        <v>0.12342981977061715</v>
      </c>
      <c r="BK17">
        <v>2.7307482250136535E-4</v>
      </c>
      <c r="BL17">
        <v>0</v>
      </c>
      <c r="BM17">
        <v>9.9126160567995628E-2</v>
      </c>
      <c r="BN17">
        <v>0.18350628072091754</v>
      </c>
      <c r="BO17">
        <v>3.8230475150191155E-3</v>
      </c>
      <c r="BP17">
        <v>5.4614964500273077E-3</v>
      </c>
      <c r="BQ17">
        <v>4.7515019115237575E-2</v>
      </c>
      <c r="BR17">
        <v>0.12916439104314581</v>
      </c>
      <c r="BS17">
        <v>1.4746040415073731E-2</v>
      </c>
      <c r="BT17">
        <v>6.5537957400327689E-3</v>
      </c>
      <c r="BU17">
        <v>1.4199890770071E-2</v>
      </c>
      <c r="BV17">
        <v>3.2768978700163848E-2</v>
      </c>
      <c r="BW17">
        <v>2.484980884762425E-2</v>
      </c>
      <c r="BX17">
        <v>2.7307482250136537E-2</v>
      </c>
      <c r="BY17">
        <v>0.18077553249590389</v>
      </c>
      <c r="BZ17">
        <v>1.064991807755325E-2</v>
      </c>
      <c r="CA17">
        <v>4.8880393227744401E-2</v>
      </c>
      <c r="CB17">
        <v>2.3757509557618788E-2</v>
      </c>
      <c r="CC17">
        <v>3662</v>
      </c>
      <c r="CD17">
        <v>3139</v>
      </c>
      <c r="CE17">
        <v>198</v>
      </c>
      <c r="CF17">
        <v>286</v>
      </c>
      <c r="CG17">
        <v>254</v>
      </c>
      <c r="CH17">
        <v>190</v>
      </c>
      <c r="CI17">
        <v>33</v>
      </c>
      <c r="CJ17">
        <v>28</v>
      </c>
      <c r="CK17">
        <v>0.85718186783178596</v>
      </c>
      <c r="CL17">
        <v>5.4068814855270347E-2</v>
      </c>
      <c r="CM17">
        <v>7.8099399235390499E-2</v>
      </c>
      <c r="CN17">
        <v>0.74803149606299213</v>
      </c>
      <c r="CO17">
        <v>0.12992125984251968</v>
      </c>
      <c r="CP17">
        <v>0.11023622047244094</v>
      </c>
    </row>
    <row r="18" spans="1:94" x14ac:dyDescent="0.15">
      <c r="A18" t="s">
        <v>449</v>
      </c>
      <c r="B18" t="s">
        <v>427</v>
      </c>
      <c r="C18" t="s">
        <v>450</v>
      </c>
      <c r="D18">
        <v>2408</v>
      </c>
      <c r="E18">
        <v>1454</v>
      </c>
      <c r="F18">
        <v>497</v>
      </c>
      <c r="G18">
        <v>487</v>
      </c>
      <c r="H18">
        <v>0.60382059800664456</v>
      </c>
      <c r="I18">
        <v>0.20639534883720931</v>
      </c>
      <c r="J18">
        <v>0.20224252491694353</v>
      </c>
      <c r="K18">
        <v>5817</v>
      </c>
      <c r="L18">
        <v>661</v>
      </c>
      <c r="M18">
        <v>1672</v>
      </c>
      <c r="N18">
        <v>3304</v>
      </c>
      <c r="O18">
        <v>0.1136324565927454</v>
      </c>
      <c r="P18">
        <v>0.2874333849063091</v>
      </c>
      <c r="Q18">
        <v>0.56799037304452471</v>
      </c>
      <c r="R18">
        <v>5817</v>
      </c>
      <c r="S18">
        <v>612</v>
      </c>
      <c r="T18">
        <v>143</v>
      </c>
      <c r="U18">
        <v>130</v>
      </c>
      <c r="V18">
        <v>31</v>
      </c>
      <c r="W18">
        <v>916</v>
      </c>
      <c r="X18">
        <v>2729</v>
      </c>
      <c r="Y18">
        <v>261</v>
      </c>
      <c r="Z18">
        <v>72</v>
      </c>
      <c r="AA18">
        <v>70</v>
      </c>
      <c r="AB18">
        <v>20</v>
      </c>
      <c r="AC18">
        <v>423</v>
      </c>
      <c r="AD18">
        <v>3088</v>
      </c>
      <c r="AE18">
        <v>351</v>
      </c>
      <c r="AF18">
        <v>71</v>
      </c>
      <c r="AG18">
        <v>60</v>
      </c>
      <c r="AH18">
        <v>11</v>
      </c>
      <c r="AI18">
        <v>493</v>
      </c>
      <c r="AJ18">
        <v>0.15746948598934157</v>
      </c>
      <c r="AK18">
        <v>0.15611353711790393</v>
      </c>
      <c r="AL18">
        <v>0.14192139737991266</v>
      </c>
      <c r="AM18">
        <v>3.384279475982533E-2</v>
      </c>
      <c r="AN18">
        <v>0.46179039301310043</v>
      </c>
      <c r="AO18">
        <v>0.53820960698689957</v>
      </c>
      <c r="AP18">
        <v>2604</v>
      </c>
      <c r="AQ18">
        <v>326</v>
      </c>
      <c r="AR18">
        <v>0</v>
      </c>
      <c r="AS18">
        <v>0</v>
      </c>
      <c r="AT18">
        <v>270</v>
      </c>
      <c r="AU18">
        <v>417</v>
      </c>
      <c r="AV18">
        <v>4</v>
      </c>
      <c r="AW18">
        <v>14</v>
      </c>
      <c r="AX18">
        <v>177</v>
      </c>
      <c r="AY18">
        <v>392</v>
      </c>
      <c r="AZ18">
        <v>24</v>
      </c>
      <c r="BA18">
        <v>20</v>
      </c>
      <c r="BB18">
        <v>36</v>
      </c>
      <c r="BC18">
        <v>98</v>
      </c>
      <c r="BD18">
        <v>88</v>
      </c>
      <c r="BE18">
        <v>77</v>
      </c>
      <c r="BF18">
        <v>373</v>
      </c>
      <c r="BG18">
        <v>39</v>
      </c>
      <c r="BH18">
        <v>139</v>
      </c>
      <c r="BI18">
        <v>69</v>
      </c>
      <c r="BJ18">
        <v>0.12519201228878649</v>
      </c>
      <c r="BK18">
        <v>0</v>
      </c>
      <c r="BL18">
        <v>0</v>
      </c>
      <c r="BM18">
        <v>0.10368663594470046</v>
      </c>
      <c r="BN18">
        <v>0.16013824884792627</v>
      </c>
      <c r="BO18">
        <v>1.5360983102918587E-3</v>
      </c>
      <c r="BP18">
        <v>5.3763440860215058E-3</v>
      </c>
      <c r="BQ18">
        <v>6.7972350230414744E-2</v>
      </c>
      <c r="BR18">
        <v>0.15053763440860216</v>
      </c>
      <c r="BS18">
        <v>9.2165898617511521E-3</v>
      </c>
      <c r="BT18">
        <v>7.6804915514592934E-3</v>
      </c>
      <c r="BU18">
        <v>1.3824884792626729E-2</v>
      </c>
      <c r="BV18">
        <v>3.7634408602150539E-2</v>
      </c>
      <c r="BW18">
        <v>3.3794162826420893E-2</v>
      </c>
      <c r="BX18">
        <v>2.9569892473118281E-2</v>
      </c>
      <c r="BY18">
        <v>0.14324116743471582</v>
      </c>
      <c r="BZ18">
        <v>1.4976958525345621E-2</v>
      </c>
      <c r="CA18">
        <v>5.3379416282642089E-2</v>
      </c>
      <c r="CB18">
        <v>2.6497695852534562E-2</v>
      </c>
      <c r="CC18">
        <v>2604</v>
      </c>
      <c r="CD18">
        <v>2240</v>
      </c>
      <c r="CE18">
        <v>290</v>
      </c>
      <c r="CF18">
        <v>38</v>
      </c>
      <c r="CG18">
        <v>206</v>
      </c>
      <c r="CH18">
        <v>151</v>
      </c>
      <c r="CI18">
        <v>50</v>
      </c>
      <c r="CJ18">
        <v>2</v>
      </c>
      <c r="CK18">
        <v>0.86021505376344087</v>
      </c>
      <c r="CL18">
        <v>0.11136712749615975</v>
      </c>
      <c r="CM18">
        <v>1.4592933947772658E-2</v>
      </c>
      <c r="CN18">
        <v>0.73300970873786409</v>
      </c>
      <c r="CO18">
        <v>0.24271844660194175</v>
      </c>
      <c r="CP18">
        <v>9.7087378640776691E-3</v>
      </c>
    </row>
    <row r="19" spans="1:94" x14ac:dyDescent="0.15">
      <c r="A19" t="s">
        <v>451</v>
      </c>
      <c r="B19" t="s">
        <v>427</v>
      </c>
      <c r="C19" t="s">
        <v>452</v>
      </c>
      <c r="D19">
        <v>4111</v>
      </c>
      <c r="E19">
        <v>2395</v>
      </c>
      <c r="F19">
        <v>848</v>
      </c>
      <c r="G19">
        <v>859</v>
      </c>
      <c r="H19">
        <v>0.58258331306251521</v>
      </c>
      <c r="I19">
        <v>0.20627584529311602</v>
      </c>
      <c r="J19">
        <v>0.20895159328630503</v>
      </c>
      <c r="K19">
        <v>9789</v>
      </c>
      <c r="L19">
        <v>1341</v>
      </c>
      <c r="M19">
        <v>2836</v>
      </c>
      <c r="N19">
        <v>5266</v>
      </c>
      <c r="O19">
        <v>0.13699049954030035</v>
      </c>
      <c r="P19">
        <v>0.28971294309939727</v>
      </c>
      <c r="Q19">
        <v>0.53795076105833073</v>
      </c>
      <c r="R19">
        <v>9789</v>
      </c>
      <c r="S19">
        <v>1232</v>
      </c>
      <c r="T19">
        <v>209</v>
      </c>
      <c r="U19">
        <v>221</v>
      </c>
      <c r="V19">
        <v>28</v>
      </c>
      <c r="W19">
        <v>1690</v>
      </c>
      <c r="X19">
        <v>4537</v>
      </c>
      <c r="Y19">
        <v>517</v>
      </c>
      <c r="Z19">
        <v>102</v>
      </c>
      <c r="AA19">
        <v>109</v>
      </c>
      <c r="AB19">
        <v>18</v>
      </c>
      <c r="AC19">
        <v>746</v>
      </c>
      <c r="AD19">
        <v>5252</v>
      </c>
      <c r="AE19">
        <v>715</v>
      </c>
      <c r="AF19">
        <v>107</v>
      </c>
      <c r="AG19">
        <v>112</v>
      </c>
      <c r="AH19">
        <v>10</v>
      </c>
      <c r="AI19">
        <v>944</v>
      </c>
      <c r="AJ19">
        <v>0.17264276228419656</v>
      </c>
      <c r="AK19">
        <v>0.12366863905325444</v>
      </c>
      <c r="AL19">
        <v>0.13076923076923078</v>
      </c>
      <c r="AM19">
        <v>1.6568047337278107E-2</v>
      </c>
      <c r="AN19">
        <v>0.44142011834319528</v>
      </c>
      <c r="AO19">
        <v>0.55857988165680472</v>
      </c>
      <c r="AP19">
        <v>4594</v>
      </c>
      <c r="AQ19">
        <v>687</v>
      </c>
      <c r="AR19">
        <v>0</v>
      </c>
      <c r="AS19">
        <v>2</v>
      </c>
      <c r="AT19">
        <v>418</v>
      </c>
      <c r="AU19">
        <v>736</v>
      </c>
      <c r="AV19">
        <v>11</v>
      </c>
      <c r="AW19">
        <v>26</v>
      </c>
      <c r="AX19">
        <v>253</v>
      </c>
      <c r="AY19">
        <v>571</v>
      </c>
      <c r="AZ19">
        <v>39</v>
      </c>
      <c r="BA19">
        <v>42</v>
      </c>
      <c r="BB19">
        <v>76</v>
      </c>
      <c r="BC19">
        <v>125</v>
      </c>
      <c r="BD19">
        <v>164</v>
      </c>
      <c r="BE19">
        <v>176</v>
      </c>
      <c r="BF19">
        <v>681</v>
      </c>
      <c r="BG19">
        <v>58</v>
      </c>
      <c r="BH19">
        <v>244</v>
      </c>
      <c r="BI19">
        <v>117</v>
      </c>
      <c r="BJ19">
        <v>0.14954288202002611</v>
      </c>
      <c r="BK19">
        <v>0</v>
      </c>
      <c r="BL19">
        <v>4.3535045711797995E-4</v>
      </c>
      <c r="BM19">
        <v>9.0988245537657816E-2</v>
      </c>
      <c r="BN19">
        <v>0.16020896821941663</v>
      </c>
      <c r="BO19">
        <v>2.3944275141488899E-3</v>
      </c>
      <c r="BP19">
        <v>5.6595559425337396E-3</v>
      </c>
      <c r="BQ19">
        <v>5.5071832825424466E-2</v>
      </c>
      <c r="BR19">
        <v>0.12429255550718328</v>
      </c>
      <c r="BS19">
        <v>8.4893339138006098E-3</v>
      </c>
      <c r="BT19">
        <v>9.1423595994775796E-3</v>
      </c>
      <c r="BU19">
        <v>1.654331737048324E-2</v>
      </c>
      <c r="BV19">
        <v>2.7209403569873749E-2</v>
      </c>
      <c r="BW19">
        <v>3.5698737483674359E-2</v>
      </c>
      <c r="BX19">
        <v>3.8310840226382238E-2</v>
      </c>
      <c r="BY19">
        <v>0.14823683064867219</v>
      </c>
      <c r="BZ19">
        <v>1.2625163256421419E-2</v>
      </c>
      <c r="CA19">
        <v>5.3112755768393555E-2</v>
      </c>
      <c r="CB19">
        <v>2.5468001741401829E-2</v>
      </c>
      <c r="CC19">
        <v>4594</v>
      </c>
      <c r="CD19">
        <v>4044</v>
      </c>
      <c r="CE19">
        <v>366</v>
      </c>
      <c r="CF19">
        <v>54</v>
      </c>
      <c r="CG19">
        <v>356</v>
      </c>
      <c r="CH19">
        <v>268</v>
      </c>
      <c r="CI19">
        <v>62</v>
      </c>
      <c r="CJ19">
        <v>10</v>
      </c>
      <c r="CK19">
        <v>0.88027862429255554</v>
      </c>
      <c r="CL19">
        <v>7.9669133652590332E-2</v>
      </c>
      <c r="CM19">
        <v>1.1754462342185459E-2</v>
      </c>
      <c r="CN19">
        <v>0.7528089887640449</v>
      </c>
      <c r="CO19">
        <v>0.17415730337078653</v>
      </c>
      <c r="CP19">
        <v>2.8089887640449437E-2</v>
      </c>
    </row>
    <row r="20" spans="1:94" x14ac:dyDescent="0.15">
      <c r="A20" t="s">
        <v>453</v>
      </c>
      <c r="B20" t="s">
        <v>427</v>
      </c>
      <c r="C20" t="s">
        <v>454</v>
      </c>
      <c r="D20">
        <v>2809</v>
      </c>
      <c r="E20">
        <v>1694</v>
      </c>
      <c r="F20">
        <v>589</v>
      </c>
      <c r="G20">
        <v>572</v>
      </c>
      <c r="H20">
        <v>0.60306158775364893</v>
      </c>
      <c r="I20">
        <v>0.20968316126735492</v>
      </c>
      <c r="J20">
        <v>0.2036311854752581</v>
      </c>
      <c r="K20">
        <v>6531</v>
      </c>
      <c r="L20">
        <v>917</v>
      </c>
      <c r="M20">
        <v>1646</v>
      </c>
      <c r="N20">
        <v>3771</v>
      </c>
      <c r="O20">
        <v>0.14040728831725616</v>
      </c>
      <c r="P20">
        <v>0.25202878579084365</v>
      </c>
      <c r="Q20">
        <v>0.57740009186954522</v>
      </c>
      <c r="R20">
        <v>6531</v>
      </c>
      <c r="S20">
        <v>680</v>
      </c>
      <c r="T20">
        <v>78</v>
      </c>
      <c r="U20">
        <v>172</v>
      </c>
      <c r="V20">
        <v>52</v>
      </c>
      <c r="W20">
        <v>982</v>
      </c>
      <c r="X20">
        <v>3087</v>
      </c>
      <c r="Y20">
        <v>288</v>
      </c>
      <c r="Z20">
        <v>40</v>
      </c>
      <c r="AA20">
        <v>88</v>
      </c>
      <c r="AB20">
        <v>12</v>
      </c>
      <c r="AC20">
        <v>428</v>
      </c>
      <c r="AD20">
        <v>3444</v>
      </c>
      <c r="AE20">
        <v>392</v>
      </c>
      <c r="AF20">
        <v>38</v>
      </c>
      <c r="AG20">
        <v>84</v>
      </c>
      <c r="AH20">
        <v>40</v>
      </c>
      <c r="AI20">
        <v>554</v>
      </c>
      <c r="AJ20">
        <v>0.15035982238554585</v>
      </c>
      <c r="AK20">
        <v>7.9429735234215884E-2</v>
      </c>
      <c r="AL20">
        <v>0.17515274949083504</v>
      </c>
      <c r="AM20">
        <v>5.2953156822810592E-2</v>
      </c>
      <c r="AN20">
        <v>0.43584521384928715</v>
      </c>
      <c r="AO20">
        <v>0.56415478615071279</v>
      </c>
      <c r="AP20">
        <v>3108</v>
      </c>
      <c r="AQ20">
        <v>499</v>
      </c>
      <c r="AR20">
        <v>2</v>
      </c>
      <c r="AS20">
        <v>4</v>
      </c>
      <c r="AT20">
        <v>351</v>
      </c>
      <c r="AU20">
        <v>567</v>
      </c>
      <c r="AV20">
        <v>7</v>
      </c>
      <c r="AW20">
        <v>18</v>
      </c>
      <c r="AX20">
        <v>168</v>
      </c>
      <c r="AY20">
        <v>347</v>
      </c>
      <c r="AZ20">
        <v>30</v>
      </c>
      <c r="BA20">
        <v>12</v>
      </c>
      <c r="BB20">
        <v>42</v>
      </c>
      <c r="BC20">
        <v>107</v>
      </c>
      <c r="BD20">
        <v>104</v>
      </c>
      <c r="BE20">
        <v>71</v>
      </c>
      <c r="BF20">
        <v>482</v>
      </c>
      <c r="BG20">
        <v>48</v>
      </c>
      <c r="BH20">
        <v>134</v>
      </c>
      <c r="BI20">
        <v>79</v>
      </c>
      <c r="BJ20">
        <v>0.16055341055341055</v>
      </c>
      <c r="BK20">
        <v>6.4350064350064348E-4</v>
      </c>
      <c r="BL20">
        <v>1.287001287001287E-3</v>
      </c>
      <c r="BM20">
        <v>0.11293436293436293</v>
      </c>
      <c r="BN20">
        <v>0.18243243243243243</v>
      </c>
      <c r="BO20">
        <v>2.2522522522522522E-3</v>
      </c>
      <c r="BP20">
        <v>5.7915057915057912E-3</v>
      </c>
      <c r="BQ20">
        <v>5.4054054054054057E-2</v>
      </c>
      <c r="BR20">
        <v>0.11164736164736165</v>
      </c>
      <c r="BS20">
        <v>9.6525096525096523E-3</v>
      </c>
      <c r="BT20">
        <v>3.8610038610038611E-3</v>
      </c>
      <c r="BU20">
        <v>1.3513513513513514E-2</v>
      </c>
      <c r="BV20">
        <v>3.4427284427284426E-2</v>
      </c>
      <c r="BW20">
        <v>3.3462033462033462E-2</v>
      </c>
      <c r="BX20">
        <v>2.2844272844272845E-2</v>
      </c>
      <c r="BY20">
        <v>0.15508365508365507</v>
      </c>
      <c r="BZ20">
        <v>1.5444015444015444E-2</v>
      </c>
      <c r="CA20">
        <v>4.3114543114543116E-2</v>
      </c>
      <c r="CB20">
        <v>2.5418275418275418E-2</v>
      </c>
      <c r="CC20">
        <v>3108</v>
      </c>
      <c r="CD20">
        <v>2848</v>
      </c>
      <c r="CE20">
        <v>153</v>
      </c>
      <c r="CF20">
        <v>74</v>
      </c>
      <c r="CG20">
        <v>257</v>
      </c>
      <c r="CH20">
        <v>197</v>
      </c>
      <c r="CI20">
        <v>46</v>
      </c>
      <c r="CJ20">
        <v>3</v>
      </c>
      <c r="CK20">
        <v>0.91634491634491633</v>
      </c>
      <c r="CL20">
        <v>4.9227799227799227E-2</v>
      </c>
      <c r="CM20">
        <v>2.3809523809523808E-2</v>
      </c>
      <c r="CN20">
        <v>0.7665369649805448</v>
      </c>
      <c r="CO20">
        <v>0.17898832684824903</v>
      </c>
      <c r="CP20">
        <v>1.1673151750972763E-2</v>
      </c>
    </row>
    <row r="21" spans="1:94" x14ac:dyDescent="0.15">
      <c r="A21" t="s">
        <v>455</v>
      </c>
      <c r="B21" t="s">
        <v>427</v>
      </c>
      <c r="C21" t="s">
        <v>456</v>
      </c>
      <c r="D21">
        <v>3538</v>
      </c>
      <c r="E21">
        <v>2291</v>
      </c>
      <c r="F21">
        <v>793</v>
      </c>
      <c r="G21">
        <v>784</v>
      </c>
      <c r="H21">
        <v>0.64754098360655743</v>
      </c>
      <c r="I21">
        <v>0.22413793103448276</v>
      </c>
      <c r="J21">
        <v>0.22159412097230075</v>
      </c>
      <c r="K21">
        <v>8148</v>
      </c>
      <c r="L21">
        <v>1215</v>
      </c>
      <c r="M21">
        <v>1845</v>
      </c>
      <c r="N21">
        <v>4867</v>
      </c>
      <c r="O21">
        <v>0.14911634756995581</v>
      </c>
      <c r="P21">
        <v>0.2264359351988218</v>
      </c>
      <c r="Q21">
        <v>0.59732449680903288</v>
      </c>
      <c r="R21">
        <v>8148</v>
      </c>
      <c r="S21">
        <v>666</v>
      </c>
      <c r="T21">
        <v>126</v>
      </c>
      <c r="U21">
        <v>150</v>
      </c>
      <c r="V21">
        <v>33</v>
      </c>
      <c r="W21">
        <v>975</v>
      </c>
      <c r="X21">
        <v>3823</v>
      </c>
      <c r="Y21">
        <v>280</v>
      </c>
      <c r="Z21">
        <v>54</v>
      </c>
      <c r="AA21">
        <v>73</v>
      </c>
      <c r="AB21">
        <v>23</v>
      </c>
      <c r="AC21">
        <v>430</v>
      </c>
      <c r="AD21">
        <v>4325</v>
      </c>
      <c r="AE21">
        <v>386</v>
      </c>
      <c r="AF21">
        <v>72</v>
      </c>
      <c r="AG21">
        <v>77</v>
      </c>
      <c r="AH21">
        <v>10</v>
      </c>
      <c r="AI21">
        <v>545</v>
      </c>
      <c r="AJ21">
        <v>0.11966126656848307</v>
      </c>
      <c r="AK21">
        <v>0.12923076923076923</v>
      </c>
      <c r="AL21">
        <v>0.15384615384615385</v>
      </c>
      <c r="AM21">
        <v>3.3846153846153845E-2</v>
      </c>
      <c r="AN21">
        <v>0.44102564102564101</v>
      </c>
      <c r="AO21">
        <v>0.55897435897435899</v>
      </c>
      <c r="AP21">
        <v>3996</v>
      </c>
      <c r="AQ21">
        <v>1010</v>
      </c>
      <c r="AR21">
        <v>0</v>
      </c>
      <c r="AS21">
        <v>12</v>
      </c>
      <c r="AT21">
        <v>379</v>
      </c>
      <c r="AU21">
        <v>551</v>
      </c>
      <c r="AV21">
        <v>7</v>
      </c>
      <c r="AW21">
        <v>17</v>
      </c>
      <c r="AX21">
        <v>162</v>
      </c>
      <c r="AY21">
        <v>472</v>
      </c>
      <c r="AZ21">
        <v>33</v>
      </c>
      <c r="BA21">
        <v>13</v>
      </c>
      <c r="BB21">
        <v>59</v>
      </c>
      <c r="BC21">
        <v>118</v>
      </c>
      <c r="BD21">
        <v>121</v>
      </c>
      <c r="BE21">
        <v>79</v>
      </c>
      <c r="BF21">
        <v>548</v>
      </c>
      <c r="BG21">
        <v>31</v>
      </c>
      <c r="BH21">
        <v>176</v>
      </c>
      <c r="BI21">
        <v>77</v>
      </c>
      <c r="BJ21">
        <v>0.25275275275275277</v>
      </c>
      <c r="BK21">
        <v>0</v>
      </c>
      <c r="BL21">
        <v>3.003003003003003E-3</v>
      </c>
      <c r="BM21">
        <v>9.4844844844844844E-2</v>
      </c>
      <c r="BN21">
        <v>0.13788788788788789</v>
      </c>
      <c r="BO21">
        <v>1.7517517517517517E-3</v>
      </c>
      <c r="BP21">
        <v>4.2542542542542547E-3</v>
      </c>
      <c r="BQ21">
        <v>4.0540540540540543E-2</v>
      </c>
      <c r="BR21">
        <v>0.11811811811811812</v>
      </c>
      <c r="BS21">
        <v>8.2582582582582578E-3</v>
      </c>
      <c r="BT21">
        <v>3.2532532532532532E-3</v>
      </c>
      <c r="BU21">
        <v>1.4764764764764765E-2</v>
      </c>
      <c r="BV21">
        <v>2.952952952952953E-2</v>
      </c>
      <c r="BW21">
        <v>3.0280280280280281E-2</v>
      </c>
      <c r="BX21">
        <v>1.9769769769769768E-2</v>
      </c>
      <c r="BY21">
        <v>0.13713713713713713</v>
      </c>
      <c r="BZ21">
        <v>7.7577577577577581E-3</v>
      </c>
      <c r="CA21">
        <v>4.4044044044044044E-2</v>
      </c>
      <c r="CB21">
        <v>1.9269269269269269E-2</v>
      </c>
      <c r="CC21">
        <v>3996</v>
      </c>
      <c r="CD21">
        <v>3391</v>
      </c>
      <c r="CE21">
        <v>493</v>
      </c>
      <c r="CF21">
        <v>33</v>
      </c>
      <c r="CG21">
        <v>248</v>
      </c>
      <c r="CH21">
        <v>182</v>
      </c>
      <c r="CI21">
        <v>57</v>
      </c>
      <c r="CJ21">
        <v>3</v>
      </c>
      <c r="CK21">
        <v>0.84859859859859865</v>
      </c>
      <c r="CL21">
        <v>0.12337337337337337</v>
      </c>
      <c r="CM21">
        <v>8.2582582582582578E-3</v>
      </c>
      <c r="CN21">
        <v>0.7338709677419355</v>
      </c>
      <c r="CO21">
        <v>0.22983870967741934</v>
      </c>
      <c r="CP21">
        <v>1.2096774193548387E-2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姫城地区</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11794</v>
      </c>
      <c r="F6" s="256"/>
      <c r="G6" s="20" t="s">
        <v>54</v>
      </c>
    </row>
    <row r="7" spans="1:10" ht="22.5" customHeight="1" x14ac:dyDescent="0.15">
      <c r="A7" s="249">
        <f>管理者用グラフシート!B4</f>
        <v>2010</v>
      </c>
      <c r="B7" s="249"/>
      <c r="C7" s="82" t="s">
        <v>226</v>
      </c>
      <c r="D7" s="248">
        <f>E6-管理者用グラフシート!E4</f>
        <v>-975</v>
      </c>
      <c r="E7" s="248"/>
      <c r="F7" s="20" t="s">
        <v>356</v>
      </c>
    </row>
    <row r="8" spans="1:10" ht="22.5" customHeight="1" x14ac:dyDescent="0.15">
      <c r="A8" s="257" t="s">
        <v>380</v>
      </c>
      <c r="B8" s="257"/>
      <c r="C8" s="204">
        <f>管理者用グラフシート!C6-管理者用グラフシート!C4</f>
        <v>-387</v>
      </c>
      <c r="D8" s="207" t="s">
        <v>381</v>
      </c>
      <c r="F8" s="204">
        <f>管理者用グラフシート!D6-管理者用グラフシート!D4</f>
        <v>-588</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611</v>
      </c>
      <c r="G36" s="253"/>
      <c r="H36" s="20" t="s">
        <v>54</v>
      </c>
    </row>
    <row r="37" spans="1:9" ht="22.5" customHeight="1" x14ac:dyDescent="0.15">
      <c r="A37" s="20" t="s">
        <v>66</v>
      </c>
      <c r="F37" s="253">
        <f>管理者用グラフシート!C16</f>
        <v>300</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-32</v>
      </c>
      <c r="E40" s="248"/>
      <c r="F40" s="20" t="s">
        <v>60</v>
      </c>
    </row>
    <row r="41" spans="1:9" ht="22.5" customHeight="1" x14ac:dyDescent="0.15">
      <c r="B41" s="20" t="s">
        <v>69</v>
      </c>
      <c r="D41" s="248">
        <f>F37-管理者用グラフシート!C14</f>
        <v>-35</v>
      </c>
      <c r="E41" s="248"/>
      <c r="F41" s="20" t="s">
        <v>70</v>
      </c>
    </row>
    <row r="53" spans="1:13" ht="22.5" customHeight="1" x14ac:dyDescent="0.15">
      <c r="M53" s="72"/>
    </row>
    <row r="62" spans="1:13" ht="22.5" customHeight="1" thickBot="1" x14ac:dyDescent="0.2"/>
    <row r="63" spans="1:13" ht="22.5" customHeight="1" x14ac:dyDescent="0.15">
      <c r="A63" s="243" t="s">
        <v>457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4017</v>
      </c>
      <c r="D70" s="253"/>
      <c r="E70" s="20" t="s">
        <v>76</v>
      </c>
      <c r="F70" s="37"/>
      <c r="G70" s="252">
        <f>管理者用グラフシート!C32</f>
        <v>0.34</v>
      </c>
      <c r="H70" s="252"/>
      <c r="I70" s="20" t="s">
        <v>77</v>
      </c>
    </row>
    <row r="71" spans="1:9" ht="22.5" customHeight="1" x14ac:dyDescent="0.15">
      <c r="A71" s="20" t="s">
        <v>78</v>
      </c>
      <c r="C71" s="253">
        <f>管理者用グラフシート!C26</f>
        <v>2174</v>
      </c>
      <c r="D71" s="253"/>
      <c r="E71" s="20" t="s">
        <v>76</v>
      </c>
      <c r="F71" s="37"/>
      <c r="G71" s="252">
        <f>管理者用グラフシート!C36</f>
        <v>0.18</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5ポイント上昇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2ポイント上昇</v>
      </c>
      <c r="F75" s="254"/>
      <c r="G75" s="254"/>
      <c r="H75" s="20" t="s">
        <v>77</v>
      </c>
    </row>
    <row r="95" spans="1:9" ht="22.5" customHeight="1" thickBot="1" x14ac:dyDescent="0.2"/>
    <row r="96" spans="1:9" ht="22.5" customHeight="1" x14ac:dyDescent="0.15">
      <c r="A96" s="97" t="s">
        <v>458</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-289</v>
      </c>
      <c r="G135" s="208" t="s">
        <v>386</v>
      </c>
      <c r="H135" s="111"/>
    </row>
    <row r="136" spans="1:8" ht="22.5" customHeight="1" x14ac:dyDescent="0.15">
      <c r="A136" s="35" t="s">
        <v>387</v>
      </c>
      <c r="C136" s="206">
        <f>SUM(管理者用グラフシート!B95:C96)-SUM(管理者用グラフシート!B47:C48)</f>
        <v>-250</v>
      </c>
      <c r="D136" s="20" t="s">
        <v>388</v>
      </c>
      <c r="E136" s="34"/>
      <c r="F136" s="206">
        <f>SUM(管理者用グラフシート!B97:C98)-SUM(管理者用グラフシート!B49:C50)</f>
        <v>89</v>
      </c>
      <c r="G136" s="20" t="s">
        <v>386</v>
      </c>
    </row>
    <row r="137" spans="1:8" ht="18.75" x14ac:dyDescent="0.15">
      <c r="A137" s="20" t="s">
        <v>389</v>
      </c>
      <c r="C137" s="206">
        <f>SUM(管理者用グラフシート!B99:C100)-SUM(管理者用グラフシート!B51:C52)</f>
        <v>-297</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姫城地区</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10411</v>
      </c>
      <c r="E6" s="253"/>
      <c r="F6" s="20" t="s">
        <v>231</v>
      </c>
      <c r="H6" s="34"/>
      <c r="I6" s="34"/>
    </row>
    <row r="7" spans="1:9" ht="22.5" customHeight="1" x14ac:dyDescent="0.15">
      <c r="A7" s="249">
        <f>管理者入力シート!B5</f>
        <v>2020</v>
      </c>
      <c r="B7" s="249"/>
      <c r="C7" s="195" t="s">
        <v>362</v>
      </c>
      <c r="D7" s="248">
        <f>D6-現況シート!E6</f>
        <v>-1383</v>
      </c>
      <c r="E7" s="248"/>
      <c r="F7" s="20" t="s">
        <v>232</v>
      </c>
      <c r="I7" s="34"/>
    </row>
    <row r="8" spans="1:9" ht="22.5" customHeight="1" x14ac:dyDescent="0.15">
      <c r="A8" s="257" t="s">
        <v>397</v>
      </c>
      <c r="B8" s="257"/>
      <c r="C8" s="206">
        <f>管理者用グラフシート!I8-管理者用グラフシート!C6</f>
        <v>-600</v>
      </c>
      <c r="D8" s="207" t="s">
        <v>398</v>
      </c>
      <c r="F8" s="258">
        <f>管理者用グラフシート!J8-管理者用グラフシート!D6</f>
        <v>-783</v>
      </c>
      <c r="G8" s="258"/>
      <c r="H8" s="20" t="s">
        <v>399</v>
      </c>
    </row>
    <row r="10" spans="1:9" ht="22.5" customHeight="1" x14ac:dyDescent="0.15">
      <c r="A10" s="249">
        <f>管理者入力シート!B11</f>
        <v>2040</v>
      </c>
      <c r="B10" s="249"/>
      <c r="C10" s="20" t="s">
        <v>361</v>
      </c>
      <c r="D10" s="253">
        <f>管理者用グラフシート!K10</f>
        <v>9094</v>
      </c>
      <c r="E10" s="253"/>
      <c r="F10" s="20" t="s">
        <v>231</v>
      </c>
      <c r="H10" s="34"/>
    </row>
    <row r="11" spans="1:9" ht="22.5" customHeight="1" x14ac:dyDescent="0.15">
      <c r="A11" s="249">
        <f>管理者入力シート!B5</f>
        <v>2020</v>
      </c>
      <c r="B11" s="249"/>
      <c r="C11" s="195" t="s">
        <v>362</v>
      </c>
      <c r="D11" s="248">
        <f>D10-現況シート!E6</f>
        <v>-2700</v>
      </c>
      <c r="E11" s="248"/>
      <c r="F11" s="20" t="s">
        <v>232</v>
      </c>
      <c r="H11" s="34"/>
    </row>
    <row r="12" spans="1:9" ht="22.5" customHeight="1" x14ac:dyDescent="0.15">
      <c r="A12" s="257" t="s">
        <v>397</v>
      </c>
      <c r="B12" s="257"/>
      <c r="C12" s="206">
        <f>管理者用グラフシート!I10-管理者用グラフシート!C6</f>
        <v>-1194</v>
      </c>
      <c r="D12" s="207" t="s">
        <v>398</v>
      </c>
      <c r="F12" s="258">
        <f>管理者用グラフシート!J10-管理者用グラフシート!D6</f>
        <v>-1506</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441</v>
      </c>
      <c r="G36" s="253"/>
      <c r="H36" s="82" t="s">
        <v>233</v>
      </c>
      <c r="I36" s="34"/>
    </row>
    <row r="37" spans="1:9" ht="22.5" customHeight="1" x14ac:dyDescent="0.15">
      <c r="A37" s="20" t="s">
        <v>234</v>
      </c>
      <c r="F37" s="253">
        <f>管理者用グラフシート!I28</f>
        <v>225</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8">
        <f>F36-現況シート!F36</f>
        <v>-170</v>
      </c>
      <c r="G40" s="248"/>
      <c r="H40" s="35" t="s">
        <v>60</v>
      </c>
    </row>
    <row r="41" spans="1:9" ht="22.5" customHeight="1" x14ac:dyDescent="0.15">
      <c r="A41" s="20" t="s">
        <v>69</v>
      </c>
      <c r="C41" s="199">
        <f>管理者入力シート!B5</f>
        <v>2020</v>
      </c>
      <c r="D41" s="20" t="s">
        <v>374</v>
      </c>
      <c r="F41" s="248">
        <f>F37-現況シート!F37</f>
        <v>-75</v>
      </c>
      <c r="G41" s="248"/>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9" t="s">
        <v>363</v>
      </c>
      <c r="D69" s="259"/>
      <c r="F69" s="34"/>
      <c r="G69" s="37"/>
      <c r="H69" s="67"/>
      <c r="I69" s="71"/>
    </row>
    <row r="70" spans="1:9" ht="22.5" customHeight="1" x14ac:dyDescent="0.15">
      <c r="A70" s="20" t="s">
        <v>238</v>
      </c>
      <c r="C70" s="253">
        <f>管理者用グラフシート!I38</f>
        <v>3188</v>
      </c>
      <c r="D70" s="253"/>
      <c r="E70" s="82" t="s">
        <v>239</v>
      </c>
      <c r="F70" s="34"/>
      <c r="G70" s="252">
        <f>管理者用グラフシート!I56</f>
        <v>0.35</v>
      </c>
      <c r="H70" s="252"/>
      <c r="I70" s="110" t="s">
        <v>240</v>
      </c>
    </row>
    <row r="71" spans="1:9" ht="22.5" customHeight="1" x14ac:dyDescent="0.15">
      <c r="A71" s="20" t="s">
        <v>241</v>
      </c>
      <c r="C71" s="253">
        <f>管理者用グラフシート!I46</f>
        <v>1813</v>
      </c>
      <c r="D71" s="253"/>
      <c r="E71" s="20" t="s">
        <v>239</v>
      </c>
      <c r="G71" s="260">
        <f>管理者用グラフシート!I64</f>
        <v>0.2</v>
      </c>
      <c r="H71" s="255"/>
      <c r="I71" s="20" t="s">
        <v>242</v>
      </c>
    </row>
    <row r="72" spans="1:9" ht="27.75" customHeight="1" x14ac:dyDescent="0.15">
      <c r="C72" s="81"/>
      <c r="D72" s="81"/>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ほぼ横ばい</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2ポイント上昇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-108</v>
      </c>
      <c r="H103" s="208" t="s">
        <v>60</v>
      </c>
    </row>
    <row r="104" spans="1:8" ht="22.5" customHeight="1" x14ac:dyDescent="0.15">
      <c r="A104" s="35" t="s">
        <v>387</v>
      </c>
      <c r="C104" s="206">
        <f>SUM(管理者用グラフシート!H99:I100)-SUM(管理者用グラフシート!B95:C96)</f>
        <v>-296</v>
      </c>
      <c r="D104" s="20" t="s">
        <v>423</v>
      </c>
      <c r="E104" s="34"/>
      <c r="G104" s="206">
        <f>SUM(管理者用グラフシート!H101:I102)-SUM(管理者用グラフシート!B97:C98)</f>
        <v>-244</v>
      </c>
      <c r="H104" s="20" t="s">
        <v>60</v>
      </c>
    </row>
    <row r="105" spans="1:8" ht="22.5" customHeight="1" x14ac:dyDescent="0.15">
      <c r="A105" s="20" t="s">
        <v>389</v>
      </c>
      <c r="C105" s="206">
        <f>SUM(管理者用グラフシート!H103:I104)-SUM(管理者用グラフシート!B99:C100)</f>
        <v>82</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-147</v>
      </c>
      <c r="H137" s="208" t="s">
        <v>60</v>
      </c>
    </row>
    <row r="138" spans="1:8" ht="22.5" customHeight="1" x14ac:dyDescent="0.15">
      <c r="A138" s="35" t="s">
        <v>387</v>
      </c>
      <c r="C138" s="206">
        <f>SUM(管理者用グラフシート!H147:I148)-SUM(管理者用グラフシート!B95:C96)</f>
        <v>-402</v>
      </c>
      <c r="D138" s="20" t="s">
        <v>423</v>
      </c>
      <c r="E138" s="34"/>
      <c r="G138" s="206">
        <f>SUM(管理者用グラフシート!H149:I150)-SUM(管理者用グラフシート!B97:C98)</f>
        <v>-543</v>
      </c>
      <c r="H138" s="20" t="s">
        <v>60</v>
      </c>
    </row>
    <row r="139" spans="1:8" ht="22.5" customHeight="1" x14ac:dyDescent="0.15">
      <c r="A139" s="20" t="s">
        <v>389</v>
      </c>
      <c r="C139" s="206">
        <f>SUM(管理者用グラフシート!H151:I152)-SUM(管理者用グラフシート!B99:C100)</f>
        <v>-165</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姫城地区</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11581</v>
      </c>
      <c r="I36" s="270"/>
    </row>
    <row r="37" spans="1:9" s="130" customFormat="1" ht="17.25" customHeight="1" x14ac:dyDescent="0.15">
      <c r="A37" s="165"/>
      <c r="B37" s="226" t="s">
        <v>5</v>
      </c>
      <c r="C37" s="227">
        <f>管理者用人口入力シート!DX1</f>
        <v>78</v>
      </c>
      <c r="D37" s="228">
        <f>C37</f>
        <v>78</v>
      </c>
      <c r="F37" s="162"/>
      <c r="G37" s="238">
        <f>管理者入力シート!B9</f>
        <v>2030</v>
      </c>
      <c r="H37" s="269">
        <f>管理者用人口入力シート!EU25</f>
        <v>11516</v>
      </c>
      <c r="I37" s="270"/>
    </row>
    <row r="38" spans="1:9" s="132" customFormat="1" ht="17.25" customHeight="1" x14ac:dyDescent="0.15">
      <c r="A38" s="160"/>
      <c r="B38" s="226" t="s">
        <v>6</v>
      </c>
      <c r="C38" s="227">
        <f>C37</f>
        <v>78</v>
      </c>
      <c r="D38" s="228">
        <f>C37</f>
        <v>78</v>
      </c>
      <c r="F38" s="162"/>
      <c r="G38" s="238">
        <f>管理者入力シート!B10</f>
        <v>2035</v>
      </c>
      <c r="H38" s="269">
        <f>管理者用人口入力シート!EU28</f>
        <v>11495</v>
      </c>
      <c r="I38" s="270"/>
    </row>
    <row r="39" spans="1:9" ht="17.25" customHeight="1" thickBot="1" x14ac:dyDescent="0.2">
      <c r="A39" s="166"/>
      <c r="B39" s="229" t="s">
        <v>7</v>
      </c>
      <c r="C39" s="230">
        <f>C37</f>
        <v>78</v>
      </c>
      <c r="D39" s="231">
        <f>C37</f>
        <v>78</v>
      </c>
      <c r="F39" s="162"/>
      <c r="G39" s="239">
        <f>管理者入力シート!B11</f>
        <v>2040</v>
      </c>
      <c r="H39" s="271">
        <f>管理者用人口入力シート!EU31</f>
        <v>11520</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10431</v>
      </c>
      <c r="E43" s="253"/>
      <c r="F43" s="20" t="s">
        <v>231</v>
      </c>
      <c r="H43" s="34"/>
      <c r="I43" s="34"/>
    </row>
    <row r="44" spans="1:9" ht="22.5" customHeight="1" x14ac:dyDescent="0.15">
      <c r="A44" s="249">
        <f>管理者入力シート!B11</f>
        <v>2040</v>
      </c>
      <c r="B44" s="249"/>
      <c r="C44" s="20" t="s">
        <v>417</v>
      </c>
      <c r="D44" s="253">
        <f>管理者用グラフシート!U10</f>
        <v>9133</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20</v>
      </c>
      <c r="E46" s="256"/>
      <c r="F46" s="20" t="s">
        <v>122</v>
      </c>
    </row>
    <row r="47" spans="1:9" ht="22.5" customHeight="1" x14ac:dyDescent="0.15">
      <c r="A47" s="249">
        <f>管理者入力シート!B11</f>
        <v>2040</v>
      </c>
      <c r="B47" s="249"/>
      <c r="C47" s="20" t="s">
        <v>418</v>
      </c>
      <c r="D47" s="256">
        <f>D44-将来予測シート①!D10</f>
        <v>39</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448</v>
      </c>
      <c r="G78" s="253"/>
      <c r="H78" s="82" t="s">
        <v>264</v>
      </c>
      <c r="I78" s="34"/>
    </row>
    <row r="79" spans="1:9" ht="22.5" customHeight="1" x14ac:dyDescent="0.15">
      <c r="A79" s="20" t="s">
        <v>234</v>
      </c>
      <c r="F79" s="253">
        <f>管理者用グラフシート!Q28</f>
        <v>228</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7</v>
      </c>
      <c r="D82" s="248"/>
      <c r="E82" s="20" t="s">
        <v>60</v>
      </c>
    </row>
    <row r="83" spans="1:13" ht="22.5" customHeight="1" x14ac:dyDescent="0.15">
      <c r="A83" s="20" t="s">
        <v>69</v>
      </c>
      <c r="C83" s="248">
        <f>F79-将来予測シート①!F37</f>
        <v>3</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3188</v>
      </c>
      <c r="D112" s="253"/>
      <c r="E112" s="20" t="s">
        <v>270</v>
      </c>
      <c r="F112" s="36"/>
      <c r="G112" s="111">
        <f>管理者用グラフシート!Q56</f>
        <v>0.35</v>
      </c>
      <c r="H112" s="82" t="s">
        <v>271</v>
      </c>
      <c r="I112" s="34"/>
    </row>
    <row r="113" spans="1:9" ht="22.5" customHeight="1" x14ac:dyDescent="0.15">
      <c r="A113" s="20" t="s">
        <v>268</v>
      </c>
      <c r="C113" s="253">
        <f>管理者用グラフシート!Q46</f>
        <v>1813</v>
      </c>
      <c r="D113" s="253"/>
      <c r="E113" s="82" t="s">
        <v>270</v>
      </c>
      <c r="F113" s="34"/>
      <c r="G113" s="111">
        <f>管理者用グラフシート!Q64</f>
        <v>0.2</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459</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姫城地区</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0.45046040515653774</v>
      </c>
      <c r="G7" s="280"/>
      <c r="H7" s="20" t="s">
        <v>282</v>
      </c>
    </row>
    <row r="8" spans="1:8" ht="22.5" customHeight="1" x14ac:dyDescent="0.15">
      <c r="A8" s="34" t="str">
        <f>管理者入力シート!B3</f>
        <v>都城市</v>
      </c>
      <c r="B8" s="20" t="s">
        <v>293</v>
      </c>
      <c r="D8" s="34" t="str">
        <f>IF(管理者用地域特徴シート!H5-管理者用地域特徴シート!H4&gt;0.01,"高く、",IF(管理者用地域特徴シート!H5-管理者用地域特徴シート!H4&lt;-0.01,"低く、","同程度で、"))</f>
        <v>同程度で、</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低くなっています。</v>
      </c>
    </row>
    <row r="10" spans="1:8" ht="22.5" customHeight="1" x14ac:dyDescent="0.15">
      <c r="A10" s="20" t="s">
        <v>415</v>
      </c>
    </row>
    <row r="11" spans="1:8" ht="22.5" customHeight="1" x14ac:dyDescent="0.15">
      <c r="A11" s="255" t="str">
        <f>地域特徴シート!A1</f>
        <v>姫城地区</v>
      </c>
      <c r="B11" s="255"/>
      <c r="C11" s="256">
        <f>管理者用地域特徴シート!D5</f>
        <v>5430</v>
      </c>
      <c r="D11" s="255"/>
      <c r="E11" s="20" t="s">
        <v>413</v>
      </c>
    </row>
    <row r="12" spans="1:8" ht="22.5" customHeight="1" x14ac:dyDescent="0.15">
      <c r="A12" s="255" t="str">
        <f>A8</f>
        <v>都城市</v>
      </c>
      <c r="B12" s="255"/>
      <c r="C12" s="256">
        <f>管理者用地域特徴シート!D4</f>
        <v>70860</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1">
        <f>管理者用地域特徴シート!J5</f>
        <v>0.17311233885819521</v>
      </c>
      <c r="H23" s="35" t="s">
        <v>286</v>
      </c>
    </row>
    <row r="24" spans="1:8" ht="22.5" customHeight="1" x14ac:dyDescent="0.15">
      <c r="A24" s="34" t="str">
        <f>管理者入力シート!B3</f>
        <v>都城市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0.39332033567856234</v>
      </c>
      <c r="G37" s="280"/>
      <c r="H37" s="20" t="s">
        <v>286</v>
      </c>
    </row>
    <row r="38" spans="1:8" ht="22.5" customHeight="1" x14ac:dyDescent="0.15">
      <c r="A38" s="34" t="str">
        <f>管理者入力シート!B3</f>
        <v>都城市</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都城市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2852</v>
      </c>
      <c r="F70" s="281"/>
      <c r="G70" s="20" t="s">
        <v>290</v>
      </c>
    </row>
    <row r="71" spans="1:8" ht="22.5" customHeight="1" x14ac:dyDescent="0.15">
      <c r="A71" s="20" t="s">
        <v>295</v>
      </c>
      <c r="F71" s="280">
        <f>管理者用地域特徴シート!AK5</f>
        <v>0.15252454417952313</v>
      </c>
      <c r="G71" s="280"/>
      <c r="H71" s="20" t="s">
        <v>271</v>
      </c>
    </row>
    <row r="72" spans="1:8" ht="22.5" customHeight="1" x14ac:dyDescent="0.15">
      <c r="A72" s="20" t="s">
        <v>296</v>
      </c>
      <c r="F72" s="280">
        <f>管理者用地域特徴シート!AL5</f>
        <v>0.26823281907433383</v>
      </c>
      <c r="G72" s="280"/>
      <c r="H72" s="20" t="s">
        <v>297</v>
      </c>
    </row>
    <row r="73" spans="1:8" ht="22.5" customHeight="1" x14ac:dyDescent="0.15">
      <c r="A73" s="20" t="s">
        <v>298</v>
      </c>
      <c r="E73" s="280"/>
      <c r="F73" s="280"/>
    </row>
    <row r="74" spans="1:8" ht="22.5" customHeight="1" x14ac:dyDescent="0.15">
      <c r="A74" s="20" t="s">
        <v>339</v>
      </c>
      <c r="C74" s="177">
        <f>管理者用地域特徴シート!AN5</f>
        <v>0.48527349228611499</v>
      </c>
      <c r="D74" s="156" t="s">
        <v>299</v>
      </c>
      <c r="E74" s="177">
        <f>管理者用地域特徴シート!AO5</f>
        <v>0.51472650771388495</v>
      </c>
      <c r="F74" s="20" t="s">
        <v>291</v>
      </c>
    </row>
    <row r="76" spans="1:8" ht="22.5" customHeight="1" x14ac:dyDescent="0.15">
      <c r="A76" s="34" t="str">
        <f>管理者入力シート!B3</f>
        <v>都城市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0.86990035721000192</v>
      </c>
      <c r="D139" s="280"/>
      <c r="E139" s="20" t="s">
        <v>316</v>
      </c>
      <c r="F139" s="157" t="str">
        <f>管理者入力シート!B3</f>
        <v>都城市</v>
      </c>
      <c r="G139" s="158" t="s">
        <v>317</v>
      </c>
    </row>
    <row r="140" spans="1:8" ht="22.5" customHeight="1" x14ac:dyDescent="0.15">
      <c r="A140" s="20" t="s">
        <v>318</v>
      </c>
    </row>
    <row r="141" spans="1:8" ht="22.5" customHeight="1" x14ac:dyDescent="0.15">
      <c r="C141" s="280">
        <f>管理者用地域特徴シート!CN5</f>
        <v>0.72380952380952379</v>
      </c>
      <c r="D141" s="280"/>
      <c r="E141" s="20" t="s">
        <v>316</v>
      </c>
      <c r="F141" s="157" t="str">
        <f>管理者入力シート!B3</f>
        <v>都城市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426</v>
      </c>
    </row>
    <row r="3" spans="1:3" x14ac:dyDescent="0.15">
      <c r="A3" s="203" t="s">
        <v>292</v>
      </c>
      <c r="B3" s="32" t="str">
        <f>管理者用地域特徴シート!B5</f>
        <v>都城市</v>
      </c>
    </row>
    <row r="4" spans="1:3" x14ac:dyDescent="0.15">
      <c r="A4" s="153" t="s">
        <v>24</v>
      </c>
      <c r="B4" s="154" t="str">
        <f>管理者用地域特徴シート!C5</f>
        <v>姫城地区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45202_1</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460</v>
      </c>
      <c r="DW1" s="312"/>
      <c r="DX1" s="307">
        <f>DW17</f>
        <v>78</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4">
        <v>229.48287239636511</v>
      </c>
      <c r="E3" s="9">
        <v>270.5193263951968</v>
      </c>
      <c r="F3" s="9">
        <v>311.52353849179138</v>
      </c>
      <c r="G3" s="9">
        <v>285.59809593861127</v>
      </c>
      <c r="H3" s="9">
        <v>201.42906404491509</v>
      </c>
      <c r="I3" s="9">
        <v>299.80022530292911</v>
      </c>
      <c r="J3" s="9">
        <v>356.56806357837507</v>
      </c>
      <c r="K3" s="9">
        <v>326.60641613286009</v>
      </c>
      <c r="L3" s="9">
        <v>327.57225204503982</v>
      </c>
      <c r="M3" s="9">
        <v>394.82369987532115</v>
      </c>
      <c r="N3" s="9">
        <v>444.88624202866373</v>
      </c>
      <c r="O3" s="9">
        <v>545.96461472814701</v>
      </c>
      <c r="P3" s="9">
        <v>406.01521575362028</v>
      </c>
      <c r="Q3" s="9">
        <v>421.7931211192959</v>
      </c>
      <c r="R3" s="9">
        <v>385.98767718990962</v>
      </c>
      <c r="S3" s="9">
        <v>280.67738558090133</v>
      </c>
      <c r="T3" s="9">
        <v>170.38723320692679</v>
      </c>
      <c r="U3" s="9">
        <v>85.250892739181978</v>
      </c>
      <c r="V3" s="9">
        <v>26.112035054382506</v>
      </c>
      <c r="W3" s="9">
        <v>8</v>
      </c>
      <c r="X3" s="9">
        <v>1.002028397565923</v>
      </c>
      <c r="Y3" s="9">
        <f>SUM(D3:X3)</f>
        <v>5780</v>
      </c>
      <c r="Z3" s="9">
        <f>E3*3/5+F3*3/5</f>
        <v>349.22571893219288</v>
      </c>
      <c r="AA3" s="9">
        <f>F3*2/5+G3*1/5</f>
        <v>181.72903458443881</v>
      </c>
      <c r="AB3" s="9">
        <f t="shared" ref="AB3:AB20" si="0">SUM(Q3:X3)</f>
        <v>1379.210373288164</v>
      </c>
      <c r="AC3" s="9">
        <f>SUM(S3:X3)</f>
        <v>571.42957497895861</v>
      </c>
      <c r="AD3" s="13">
        <f>AB3/Y3</f>
        <v>0.23861771164155085</v>
      </c>
      <c r="AE3" s="13">
        <f>AC3/Y3</f>
        <v>9.886324826625581E-2</v>
      </c>
      <c r="AF3" s="9">
        <f>SUM(H3:K3)</f>
        <v>1184.4037690590794</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1.0741453604599445</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1.0637786185105498</v>
      </c>
      <c r="AO3" s="6">
        <f t="shared" si="1"/>
        <v>0.80718806229087126</v>
      </c>
      <c r="AP3" s="6">
        <f t="shared" si="1"/>
        <v>0.73061228927719757</v>
      </c>
      <c r="AQ3" s="6">
        <f t="shared" si="1"/>
        <v>1.4640836349664339</v>
      </c>
      <c r="AR3" s="6">
        <f t="shared" si="1"/>
        <v>0.9531331345118641</v>
      </c>
      <c r="AS3" s="6">
        <f t="shared" si="1"/>
        <v>0.95256395769624091</v>
      </c>
      <c r="AT3" s="6">
        <f t="shared" si="1"/>
        <v>0.9859920265997858</v>
      </c>
      <c r="AU3" s="6">
        <f t="shared" si="1"/>
        <v>0.9867247330251947</v>
      </c>
      <c r="AV3" s="6">
        <f t="shared" si="1"/>
        <v>1.0289151894027808</v>
      </c>
      <c r="AW3" s="6">
        <f t="shared" si="1"/>
        <v>1.0342874858639819</v>
      </c>
      <c r="AX3" s="6">
        <f t="shared" si="1"/>
        <v>0.99004839464780592</v>
      </c>
      <c r="AY3" s="6">
        <f t="shared" si="1"/>
        <v>0.89507308770894878</v>
      </c>
      <c r="AZ3" s="6">
        <f t="shared" si="1"/>
        <v>0.92638341281427805</v>
      </c>
      <c r="BA3" s="6">
        <f t="shared" si="1"/>
        <v>0.88362642751715903</v>
      </c>
      <c r="BB3" s="6">
        <f t="shared" si="1"/>
        <v>0.85259185575527308</v>
      </c>
      <c r="BC3" s="6">
        <f t="shared" si="1"/>
        <v>0.65742641232260424</v>
      </c>
      <c r="BD3" s="6">
        <f t="shared" si="1"/>
        <v>0.55793240716780534</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0.2250172138234158</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0.22315508322062275</v>
      </c>
      <c r="BH3" s="7" t="str">
        <f>BI3&amp;"_"&amp;IF(BJ3="男性",1,IF(BJ3="女性",2,IF(BJ3="合計",3)))</f>
        <v>2025_1</v>
      </c>
      <c r="BI3" s="28">
        <f>管理者入力シート!B8</f>
        <v>2025</v>
      </c>
      <c r="BJ3" s="3" t="s">
        <v>21</v>
      </c>
      <c r="BK3" s="9">
        <f>CM4*AK$13</f>
        <v>210.74804910463232</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241.73022231374921</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267.84632404513059</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207.53711489561962</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152.40731307118389</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232.87510302054477</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274.7427168480329</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279.42443593084977</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312.44993281715455</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332.84756217897069</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415.63201480964648</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336.8089914516608</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326.17784249063737</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341.91779285970637</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341.45884293620713</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403.4512114077325</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239.68634734406561</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172.89783394025889</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77.493431949050787</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18.095096147136001</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2.1700067854963767</v>
      </c>
      <c r="CF3" s="9">
        <f t="shared" ref="CF3:CF14" si="2">SUM(BK3:CE3)</f>
        <v>5188.3981863474673</v>
      </c>
      <c r="CG3" s="9">
        <f>BL3*3/5+BM3*3/5</f>
        <v>305.74592781532783</v>
      </c>
      <c r="CH3" s="9">
        <f>BM3*2/5+BN3*1/5</f>
        <v>148.64595259717615</v>
      </c>
      <c r="CI3" s="9">
        <f t="shared" ref="CI3:CI14" si="3">SUM(BX3:CE3)</f>
        <v>1597.1705633696533</v>
      </c>
      <c r="CJ3" s="9">
        <f>SUM(BZ3:CE3)</f>
        <v>913.79392757374023</v>
      </c>
      <c r="CK3" s="13">
        <f>CI3/CF3</f>
        <v>0.30783500147933535</v>
      </c>
      <c r="CL3" s="13">
        <f>CJ3/CF3</f>
        <v>0.17612255165346777</v>
      </c>
      <c r="CM3" s="9">
        <f>SUM(BO3:BR3)</f>
        <v>939.4495688706113</v>
      </c>
      <c r="CO3" s="7" t="str">
        <f>CP3&amp;"_"&amp;IF(CQ3="男性",1,IF(CQ3="女性",2,IF(CQ3="合計",3)))</f>
        <v>2025_1</v>
      </c>
      <c r="CP3" s="28">
        <f>管理者入力シート!B8</f>
        <v>2025</v>
      </c>
      <c r="CQ3" s="3" t="s">
        <v>21</v>
      </c>
      <c r="CR3" s="9">
        <f>BK3+将来予測シート②!$G17</f>
        <v>211.74804910463232</v>
      </c>
      <c r="CS3" s="9">
        <f>BL3+将来予測シート②!$G18</f>
        <v>241.73022231374921</v>
      </c>
      <c r="CT3" s="9">
        <f>BM3+将来予測シート②!$G19</f>
        <v>268.84632404513059</v>
      </c>
      <c r="CU3" s="9">
        <f>BN3+将来予測シート②!$G20</f>
        <v>207.53711489561962</v>
      </c>
      <c r="CV3" s="9">
        <f>BO3+将来予測シート②!$G21</f>
        <v>152.40731307118389</v>
      </c>
      <c r="CW3" s="9">
        <f>BP3+将来予測シート②!$G22</f>
        <v>234.87510302054477</v>
      </c>
      <c r="CX3" s="9">
        <f>BQ3+将来予測シート②!$G23</f>
        <v>274.7427168480329</v>
      </c>
      <c r="CY3" s="9">
        <f>BR3+将来予測シート②!$G24</f>
        <v>279.42443593084977</v>
      </c>
      <c r="CZ3" s="9">
        <f>BS3+将来予測シート②!$G25</f>
        <v>312.44993281715455</v>
      </c>
      <c r="DA3" s="9">
        <f>BT3+将来予測シート②!$G26</f>
        <v>332.84756217897069</v>
      </c>
      <c r="DB3" s="9">
        <f>BU3+将来予測シート②!$G27</f>
        <v>415.63201480964648</v>
      </c>
      <c r="DC3" s="9">
        <f>BV3+将来予測シート②!$G28</f>
        <v>336.8089914516608</v>
      </c>
      <c r="DD3" s="9">
        <f>BW3+将来予測シート②!$G29</f>
        <v>326.17784249063737</v>
      </c>
      <c r="DE3" s="9">
        <f>BX3</f>
        <v>341.91779285970637</v>
      </c>
      <c r="DF3" s="9">
        <f t="shared" ref="DF3:DL3" si="4">BY3</f>
        <v>341.45884293620713</v>
      </c>
      <c r="DG3" s="9">
        <f t="shared" si="4"/>
        <v>403.4512114077325</v>
      </c>
      <c r="DH3" s="9">
        <f t="shared" si="4"/>
        <v>239.68634734406561</v>
      </c>
      <c r="DI3" s="9">
        <f t="shared" si="4"/>
        <v>172.89783394025889</v>
      </c>
      <c r="DJ3" s="9">
        <f t="shared" si="4"/>
        <v>77.493431949050787</v>
      </c>
      <c r="DK3" s="9">
        <f t="shared" si="4"/>
        <v>18.095096147136001</v>
      </c>
      <c r="DL3" s="9">
        <f t="shared" si="4"/>
        <v>2.1700067854963767</v>
      </c>
      <c r="DM3" s="9">
        <f t="shared" ref="DM3:DM4" si="5">SUM(CR3:DL3)</f>
        <v>5192.3981863474673</v>
      </c>
      <c r="DN3" s="9">
        <f>CS3*3/5+CT3*3/5</f>
        <v>306.34592781532785</v>
      </c>
      <c r="DO3" s="9">
        <f>CT3*2/5+CU3*1/5</f>
        <v>149.04595259717615</v>
      </c>
      <c r="DP3" s="9">
        <f t="shared" ref="DP3:DP14" si="6">SUM(DE3:DL3)</f>
        <v>1597.1705633696533</v>
      </c>
      <c r="DQ3" s="9">
        <f>SUM(DG3:DL3)</f>
        <v>913.79392757374023</v>
      </c>
      <c r="DR3" s="13">
        <f>DP3/DM3</f>
        <v>0.30759785864827222</v>
      </c>
      <c r="DS3" s="13">
        <f>DQ3/DM3</f>
        <v>0.17598687442276803</v>
      </c>
      <c r="DT3" s="9">
        <f>SUM(CV3:CY3)</f>
        <v>941.4495688706113</v>
      </c>
      <c r="DV3" s="311"/>
      <c r="DW3" s="312"/>
      <c r="DX3" s="28">
        <f>管理者入力シート!B8</f>
        <v>2025</v>
      </c>
      <c r="DY3" s="3" t="s">
        <v>21</v>
      </c>
      <c r="DZ3" s="9">
        <f>BK$3</f>
        <v>210.74804910463232</v>
      </c>
      <c r="EA3" s="9">
        <f>BL$3</f>
        <v>241.73022231374921</v>
      </c>
      <c r="EB3" s="9">
        <f t="shared" ref="EB3:ED3" si="7">BM$3</f>
        <v>267.84632404513059</v>
      </c>
      <c r="EC3" s="9">
        <f t="shared" si="7"/>
        <v>207.53711489561962</v>
      </c>
      <c r="ED3" s="9">
        <f t="shared" si="7"/>
        <v>152.40731307118389</v>
      </c>
      <c r="EE3" s="9">
        <f>BP$3+DX1</f>
        <v>310.87510302054477</v>
      </c>
      <c r="EF3" s="9">
        <f>BQ$3+DX1</f>
        <v>352.7427168480329</v>
      </c>
      <c r="EG3" s="9">
        <f>BR$3+DX1</f>
        <v>357.42443593084977</v>
      </c>
      <c r="EH3" s="9">
        <f t="shared" ref="EH3:ET3" si="8">BS$3</f>
        <v>312.44993281715455</v>
      </c>
      <c r="EI3" s="9">
        <f t="shared" si="8"/>
        <v>332.84756217897069</v>
      </c>
      <c r="EJ3" s="9">
        <f t="shared" si="8"/>
        <v>415.63201480964648</v>
      </c>
      <c r="EK3" s="9">
        <f t="shared" si="8"/>
        <v>336.8089914516608</v>
      </c>
      <c r="EL3" s="9">
        <f t="shared" si="8"/>
        <v>326.17784249063737</v>
      </c>
      <c r="EM3" s="9">
        <f t="shared" si="8"/>
        <v>341.91779285970637</v>
      </c>
      <c r="EN3" s="9">
        <f t="shared" si="8"/>
        <v>341.45884293620713</v>
      </c>
      <c r="EO3" s="9">
        <f t="shared" si="8"/>
        <v>403.4512114077325</v>
      </c>
      <c r="EP3" s="9">
        <f t="shared" si="8"/>
        <v>239.68634734406561</v>
      </c>
      <c r="EQ3" s="9">
        <f t="shared" si="8"/>
        <v>172.89783394025889</v>
      </c>
      <c r="ER3" s="9">
        <f t="shared" si="8"/>
        <v>77.493431949050787</v>
      </c>
      <c r="ES3" s="9">
        <f t="shared" si="8"/>
        <v>18.095096147136001</v>
      </c>
      <c r="ET3" s="9">
        <f t="shared" si="8"/>
        <v>2.1700067854963767</v>
      </c>
      <c r="EU3" s="9">
        <f t="shared" ref="EU3:EU4" si="9">SUM(DZ3:ET3)</f>
        <v>5422.3981863474673</v>
      </c>
      <c r="EV3" s="9">
        <f>EA3*3/5+EB3*3/5</f>
        <v>305.74592781532783</v>
      </c>
      <c r="EW3" s="9">
        <f>EB3*2/5+EC3*1/5</f>
        <v>148.64595259717615</v>
      </c>
      <c r="EX3" s="9">
        <f t="shared" ref="EX3:EX14" si="10">SUM(EM3:ET3)</f>
        <v>1597.1705633696533</v>
      </c>
      <c r="EY3" s="9">
        <f>SUM(EO3:ET3)</f>
        <v>913.79392757374023</v>
      </c>
      <c r="EZ3" s="13">
        <f>EX3/EU3</f>
        <v>0.29455058601026662</v>
      </c>
      <c r="FA3" s="13">
        <f>EY3/EU3</f>
        <v>0.16852209966329912</v>
      </c>
      <c r="FB3" s="9">
        <f>SUM(ED3:EG3)</f>
        <v>1173.4495688706113</v>
      </c>
    </row>
    <row r="4" spans="1:158" x14ac:dyDescent="0.15">
      <c r="A4" s="7" t="str">
        <f t="shared" ref="A4:A14" si="11">B4&amp;"_"&amp;IF(C4="男性",1,IF(C4="女性",2,IF(C4="合計",3)))</f>
        <v>2005_2</v>
      </c>
      <c r="B4" s="29">
        <v>2005</v>
      </c>
      <c r="C4" s="4" t="s">
        <v>22</v>
      </c>
      <c r="D4" s="10">
        <v>215.19574256340826</v>
      </c>
      <c r="E4" s="10">
        <v>265.13950735292303</v>
      </c>
      <c r="F4" s="10">
        <v>307.32086690028967</v>
      </c>
      <c r="G4" s="10">
        <v>309.28348886705288</v>
      </c>
      <c r="H4" s="10">
        <v>337.34435864761355</v>
      </c>
      <c r="I4" s="10">
        <v>331.41736995036769</v>
      </c>
      <c r="J4" s="10">
        <v>351.36219327834931</v>
      </c>
      <c r="K4" s="10">
        <v>347.23732715058327</v>
      </c>
      <c r="L4" s="10">
        <v>384.438912003925</v>
      </c>
      <c r="M4" s="10">
        <v>404.45037820821165</v>
      </c>
      <c r="N4" s="10">
        <v>495.44894968891884</v>
      </c>
      <c r="O4" s="10">
        <v>538.74045266536655</v>
      </c>
      <c r="P4" s="10">
        <v>467.45550029319497</v>
      </c>
      <c r="Q4" s="10">
        <v>490.56508756197638</v>
      </c>
      <c r="R4" s="10">
        <v>514.62252109416636</v>
      </c>
      <c r="S4" s="10">
        <v>496.38695931006669</v>
      </c>
      <c r="T4" s="10">
        <v>352.34798269898317</v>
      </c>
      <c r="U4" s="10">
        <v>205.16291890724585</v>
      </c>
      <c r="V4" s="10">
        <v>121.06787787596066</v>
      </c>
      <c r="W4" s="10">
        <v>27.009889715530022</v>
      </c>
      <c r="X4" s="10">
        <v>7.001715265866209</v>
      </c>
      <c r="Y4" s="10">
        <f>SUM(D4:X4)</f>
        <v>6968.9999999999991</v>
      </c>
      <c r="Z4" s="10">
        <f t="shared" ref="Z4:Z11" si="12">E4*3/5+F4*3/5</f>
        <v>343.4762245519276</v>
      </c>
      <c r="AA4" s="10">
        <f t="shared" ref="AA4:AA11" si="13">F4*2/5+G4*1/5</f>
        <v>184.78504453352645</v>
      </c>
      <c r="AB4" s="10">
        <f t="shared" si="0"/>
        <v>2214.1649524297954</v>
      </c>
      <c r="AC4" s="10">
        <f t="shared" ref="AC4:AC11" si="14">SUM(S4:X4)</f>
        <v>1208.9773437736526</v>
      </c>
      <c r="AD4" s="14">
        <f t="shared" ref="AD4:AD11" si="15">AB4/Y4</f>
        <v>0.3177163082837991</v>
      </c>
      <c r="AE4" s="14">
        <f t="shared" ref="AE4:AE11" si="16">AC4/Y4</f>
        <v>0.17347931464681485</v>
      </c>
      <c r="AF4" s="10">
        <f t="shared" ref="AF4:AF20" si="17">SUM(H4:K4)</f>
        <v>1367.3612490269138</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0.94109080171307169</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1.014762171739588</v>
      </c>
      <c r="AO4" s="193">
        <f t="shared" si="18"/>
        <v>1.0839282415310005</v>
      </c>
      <c r="AP4" s="193">
        <f t="shared" si="18"/>
        <v>0.80321797323974065</v>
      </c>
      <c r="AQ4" s="193">
        <f t="shared" si="18"/>
        <v>0.96943575486464295</v>
      </c>
      <c r="AR4" s="193">
        <f t="shared" si="18"/>
        <v>1.0360878061900156</v>
      </c>
      <c r="AS4" s="193">
        <f t="shared" si="18"/>
        <v>0.94462110417017631</v>
      </c>
      <c r="AT4" s="193">
        <f t="shared" si="18"/>
        <v>1.0621485620155156</v>
      </c>
      <c r="AU4" s="193">
        <f t="shared" si="18"/>
        <v>1.0404432734111082</v>
      </c>
      <c r="AV4" s="193">
        <f t="shared" si="18"/>
        <v>0.98275818090289668</v>
      </c>
      <c r="AW4" s="193">
        <f t="shared" si="18"/>
        <v>1.0095463904893747</v>
      </c>
      <c r="AX4" s="193">
        <f t="shared" si="18"/>
        <v>0.96031084795801658</v>
      </c>
      <c r="AY4" s="193">
        <f t="shared" si="18"/>
        <v>1.0042187210454008</v>
      </c>
      <c r="AZ4" s="193">
        <f t="shared" si="18"/>
        <v>1.0346026404376281</v>
      </c>
      <c r="BA4" s="193">
        <f t="shared" si="18"/>
        <v>0.93193106258991909</v>
      </c>
      <c r="BB4" s="193">
        <f t="shared" si="18"/>
        <v>0.88728601697136322</v>
      </c>
      <c r="BC4" s="193">
        <f t="shared" si="18"/>
        <v>0.78911043954256588</v>
      </c>
      <c r="BD4" s="193">
        <f t="shared" si="18"/>
        <v>0.6247180364732734</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0.44072909164664037</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0.21378267865835074</v>
      </c>
      <c r="BH4" s="7" t="str">
        <f t="shared" ref="BH4:BH20" si="19">BI4&amp;"_"&amp;IF(BJ4="男性",1,IF(BJ4="女性",2,IF(BJ4="合計",3)))</f>
        <v>2025_2</v>
      </c>
      <c r="BI4" s="29">
        <f>BI3</f>
        <v>2025</v>
      </c>
      <c r="BJ4" s="4" t="s">
        <v>22</v>
      </c>
      <c r="BK4" s="10">
        <f>CM4*AK$14</f>
        <v>205.42987888318925</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232.06622118045246</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235.37185762787661</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263.10523301700039</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213.21479777482804</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208.53453226358604</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248.86155045348605</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261.88640723142004</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362.2800534556913</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352.58791938570073</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390.70969842337092</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380.24228278930929</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358.66593731686356</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392.75911516070067</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460.02914591177534</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482.16724884617418</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353.66738889650787</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271.38721897856516</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179.5007583201822</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59.869625475143373</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11.805069970606278</v>
      </c>
      <c r="CF4" s="10">
        <f t="shared" si="2"/>
        <v>5924.1419413624299</v>
      </c>
      <c r="CG4" s="10">
        <f t="shared" ref="CG4:CG14" si="20">BL4*3/5+BM4*3/5</f>
        <v>280.46284728499745</v>
      </c>
      <c r="CH4" s="10">
        <f t="shared" ref="CH4:CH14" si="21">BM4*2/5+BN4*1/5</f>
        <v>146.76978965455072</v>
      </c>
      <c r="CI4" s="10">
        <f t="shared" si="3"/>
        <v>2211.1855715596553</v>
      </c>
      <c r="CJ4" s="10">
        <f t="shared" ref="CJ4:CJ14" si="22">SUM(BZ4:CE4)</f>
        <v>1358.3973104871791</v>
      </c>
      <c r="CK4" s="14">
        <f t="shared" ref="CK4:CK14" si="23">CI4/CF4</f>
        <v>0.37324993112017307</v>
      </c>
      <c r="CL4" s="14">
        <f t="shared" ref="CL4:CL14" si="24">CJ4/CF4</f>
        <v>0.22929857588367908</v>
      </c>
      <c r="CM4" s="10">
        <f t="shared" ref="CM4:CM14" si="25">SUM(BO4:BR4)</f>
        <v>932.49728772332014</v>
      </c>
      <c r="CO4" s="7" t="str">
        <f t="shared" ref="CO4:CO20" si="26">CP4&amp;"_"&amp;IF(CQ4="男性",1,IF(CQ4="女性",2,IF(CQ4="合計",3)))</f>
        <v>2025_2</v>
      </c>
      <c r="CP4" s="29">
        <f>CP3</f>
        <v>2025</v>
      </c>
      <c r="CQ4" s="4" t="s">
        <v>22</v>
      </c>
      <c r="CR4" s="10">
        <f>BK4+将来予測シート②!$H17</f>
        <v>206.42987888318925</v>
      </c>
      <c r="CS4" s="10">
        <f>BL4+将来予測シート②!$H18</f>
        <v>232.06622118045246</v>
      </c>
      <c r="CT4" s="10">
        <f>BM4+将来予測シート②!$H19</f>
        <v>236.37185762787661</v>
      </c>
      <c r="CU4" s="10">
        <f>BN4+将来予測シート②!$H20</f>
        <v>263.10523301700039</v>
      </c>
      <c r="CV4" s="10">
        <f>BO4+将来予測シート②!$H21</f>
        <v>213.21479777482804</v>
      </c>
      <c r="CW4" s="10">
        <f>BP4+将来予測シート②!$H22</f>
        <v>210.53453226358604</v>
      </c>
      <c r="CX4" s="10">
        <f>BQ4+将来予測シート②!$H23</f>
        <v>248.86155045348605</v>
      </c>
      <c r="CY4" s="10">
        <f>BR4+将来予測シート②!$H24</f>
        <v>261.88640723142004</v>
      </c>
      <c r="CZ4" s="10">
        <f>BS4+将来予測シート②!$H25</f>
        <v>363.2800534556913</v>
      </c>
      <c r="DA4" s="10">
        <f>BT4+将来予測シート②!$H26</f>
        <v>352.58791938570073</v>
      </c>
      <c r="DB4" s="10">
        <f>BU4+将来予測シート②!$H27</f>
        <v>390.70969842337092</v>
      </c>
      <c r="DC4" s="10">
        <f>BV4+将来予測シート②!$H28</f>
        <v>380.24228278930929</v>
      </c>
      <c r="DD4" s="10">
        <f>BW4+将来予測シート②!$H29</f>
        <v>358.66593731686356</v>
      </c>
      <c r="DE4" s="10">
        <f>BX4</f>
        <v>392.75911516070067</v>
      </c>
      <c r="DF4" s="10">
        <f t="shared" ref="DF4" si="27">BY4</f>
        <v>460.02914591177534</v>
      </c>
      <c r="DG4" s="10">
        <f t="shared" ref="DG4" si="28">BZ4</f>
        <v>482.16724884617418</v>
      </c>
      <c r="DH4" s="10">
        <f t="shared" ref="DH4" si="29">CA4</f>
        <v>353.66738889650787</v>
      </c>
      <c r="DI4" s="10">
        <f t="shared" ref="DI4" si="30">CB4</f>
        <v>271.38721897856516</v>
      </c>
      <c r="DJ4" s="10">
        <f t="shared" ref="DJ4" si="31">CC4</f>
        <v>179.5007583201822</v>
      </c>
      <c r="DK4" s="10">
        <f t="shared" ref="DK4" si="32">CD4</f>
        <v>59.869625475143373</v>
      </c>
      <c r="DL4" s="10">
        <f t="shared" ref="DL4" si="33">CE4</f>
        <v>11.805069970606278</v>
      </c>
      <c r="DM4" s="10">
        <f t="shared" si="5"/>
        <v>5929.1419413624299</v>
      </c>
      <c r="DN4" s="10">
        <f t="shared" ref="DN4:DN14" si="34">CS4*3/5+CT4*3/5</f>
        <v>281.06284728499747</v>
      </c>
      <c r="DO4" s="10">
        <f t="shared" ref="DO4:DO14" si="35">CT4*2/5+CU4*1/5</f>
        <v>147.1697896545507</v>
      </c>
      <c r="DP4" s="10">
        <f t="shared" si="6"/>
        <v>2211.1855715596553</v>
      </c>
      <c r="DQ4" s="10">
        <f t="shared" ref="DQ4:DQ14" si="36">SUM(DG4:DL4)</f>
        <v>1358.3973104871791</v>
      </c>
      <c r="DR4" s="14">
        <f t="shared" ref="DR4:DR14" si="37">DP4/DM4</f>
        <v>0.37293517231121598</v>
      </c>
      <c r="DS4" s="14">
        <f t="shared" ref="DS4:DS14" si="38">DQ4/DM4</f>
        <v>0.22910521015036442</v>
      </c>
      <c r="DT4" s="10">
        <f>SUM(CV4:CY4)</f>
        <v>934.49728772332014</v>
      </c>
      <c r="DV4" s="311"/>
      <c r="DW4" s="312"/>
      <c r="DX4" s="29">
        <f>DX3</f>
        <v>2025</v>
      </c>
      <c r="DY4" s="4" t="s">
        <v>22</v>
      </c>
      <c r="DZ4" s="10">
        <f>BK$4</f>
        <v>205.42987888318925</v>
      </c>
      <c r="EA4" s="10">
        <f>BL$4</f>
        <v>232.06622118045246</v>
      </c>
      <c r="EB4" s="10">
        <f t="shared" ref="EB4:ED4" si="39">BM$4</f>
        <v>235.37185762787661</v>
      </c>
      <c r="EC4" s="10">
        <f t="shared" si="39"/>
        <v>263.10523301700039</v>
      </c>
      <c r="ED4" s="10">
        <f t="shared" si="39"/>
        <v>213.21479777482804</v>
      </c>
      <c r="EE4" s="10">
        <f>BP$4+DX1</f>
        <v>286.53453226358602</v>
      </c>
      <c r="EF4" s="10">
        <f>BQ$4+DX1</f>
        <v>326.86155045348607</v>
      </c>
      <c r="EG4" s="10">
        <f>BR$4+DX1</f>
        <v>339.88640723142004</v>
      </c>
      <c r="EH4" s="10">
        <f t="shared" ref="EH4:ET4" si="40">BS$4</f>
        <v>362.2800534556913</v>
      </c>
      <c r="EI4" s="10">
        <f t="shared" si="40"/>
        <v>352.58791938570073</v>
      </c>
      <c r="EJ4" s="10">
        <f t="shared" si="40"/>
        <v>390.70969842337092</v>
      </c>
      <c r="EK4" s="10">
        <f t="shared" si="40"/>
        <v>380.24228278930929</v>
      </c>
      <c r="EL4" s="10">
        <f t="shared" si="40"/>
        <v>358.66593731686356</v>
      </c>
      <c r="EM4" s="10">
        <f t="shared" si="40"/>
        <v>392.75911516070067</v>
      </c>
      <c r="EN4" s="10">
        <f t="shared" si="40"/>
        <v>460.02914591177534</v>
      </c>
      <c r="EO4" s="10">
        <f t="shared" si="40"/>
        <v>482.16724884617418</v>
      </c>
      <c r="EP4" s="10">
        <f t="shared" si="40"/>
        <v>353.66738889650787</v>
      </c>
      <c r="EQ4" s="10">
        <f t="shared" si="40"/>
        <v>271.38721897856516</v>
      </c>
      <c r="ER4" s="10">
        <f t="shared" si="40"/>
        <v>179.5007583201822</v>
      </c>
      <c r="ES4" s="10">
        <f t="shared" si="40"/>
        <v>59.869625475143373</v>
      </c>
      <c r="ET4" s="10">
        <f t="shared" si="40"/>
        <v>11.805069970606278</v>
      </c>
      <c r="EU4" s="10">
        <f t="shared" si="9"/>
        <v>6158.1419413624299</v>
      </c>
      <c r="EV4" s="10">
        <f t="shared" ref="EV4:EV14" si="41">EA4*3/5+EB4*3/5</f>
        <v>280.46284728499745</v>
      </c>
      <c r="EW4" s="10">
        <f t="shared" ref="EW4:EW14" si="42">EB4*2/5+EC4*1/5</f>
        <v>146.76978965455072</v>
      </c>
      <c r="EX4" s="10">
        <f t="shared" si="10"/>
        <v>2211.1855715596553</v>
      </c>
      <c r="EY4" s="10">
        <f t="shared" ref="EY4:EY14" si="43">SUM(EO4:ET4)</f>
        <v>1358.3973104871791</v>
      </c>
      <c r="EZ4" s="14">
        <f t="shared" ref="EZ4:EZ14" si="44">EX4/EU4</f>
        <v>0.35906700310166151</v>
      </c>
      <c r="FA4" s="14">
        <f t="shared" ref="FA4:FA14" si="45">EY4/EU4</f>
        <v>0.22058557977743637</v>
      </c>
      <c r="FB4" s="10">
        <f>SUM(ED4:EG4)</f>
        <v>1166.4972877233201</v>
      </c>
    </row>
    <row r="5" spans="1:158" x14ac:dyDescent="0.15">
      <c r="A5" s="7" t="str">
        <f t="shared" si="11"/>
        <v>2005_3</v>
      </c>
      <c r="B5" s="30">
        <v>2005</v>
      </c>
      <c r="C5" s="5" t="s">
        <v>23</v>
      </c>
      <c r="D5" s="11">
        <v>444.67861495977337</v>
      </c>
      <c r="E5" s="11">
        <v>535.65883374811983</v>
      </c>
      <c r="F5" s="11">
        <v>618.84440539208106</v>
      </c>
      <c r="G5" s="11">
        <v>594.88158480566415</v>
      </c>
      <c r="H5" s="11">
        <v>538.77342269252858</v>
      </c>
      <c r="I5" s="11">
        <v>631.21759525329685</v>
      </c>
      <c r="J5" s="11">
        <v>707.93025685672433</v>
      </c>
      <c r="K5" s="11">
        <v>673.84374328344336</v>
      </c>
      <c r="L5" s="11">
        <v>712.01116404896482</v>
      </c>
      <c r="M5" s="11">
        <v>799.2740780835328</v>
      </c>
      <c r="N5" s="11">
        <v>940.33519171758257</v>
      </c>
      <c r="O5" s="11">
        <v>1084.7050673935137</v>
      </c>
      <c r="P5" s="11">
        <v>873.47071604681526</v>
      </c>
      <c r="Q5" s="11">
        <v>912.35820868127234</v>
      </c>
      <c r="R5" s="11">
        <v>900.61019828407598</v>
      </c>
      <c r="S5" s="11">
        <v>777.06434489096796</v>
      </c>
      <c r="T5" s="11">
        <v>522.73521590590997</v>
      </c>
      <c r="U5" s="11">
        <v>290.4138116464278</v>
      </c>
      <c r="V5" s="11">
        <v>147.17991293034316</v>
      </c>
      <c r="W5" s="11">
        <v>35.009889715530022</v>
      </c>
      <c r="X5" s="11">
        <v>8.0037436634321324</v>
      </c>
      <c r="Y5" s="11">
        <f>SUM(D5:X5)</f>
        <v>12749.000000000002</v>
      </c>
      <c r="Z5" s="11">
        <f t="shared" si="12"/>
        <v>692.70194348412042</v>
      </c>
      <c r="AA5" s="11">
        <f t="shared" si="13"/>
        <v>366.51407911796525</v>
      </c>
      <c r="AB5" s="11">
        <f t="shared" si="0"/>
        <v>3593.3753257179592</v>
      </c>
      <c r="AC5" s="11">
        <f t="shared" si="14"/>
        <v>1780.4069187526109</v>
      </c>
      <c r="AD5" s="15">
        <f t="shared" si="15"/>
        <v>0.28185546519083526</v>
      </c>
      <c r="AE5" s="15">
        <f t="shared" si="16"/>
        <v>0.13965071133050519</v>
      </c>
      <c r="AF5" s="11">
        <f t="shared" si="17"/>
        <v>2551.7650180859932</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0.90035160027845929</v>
      </c>
      <c r="AN5" s="6">
        <f t="shared" si="1"/>
        <v>0.98375400174204419</v>
      </c>
      <c r="AO5" s="6">
        <f t="shared" si="1"/>
        <v>0.7925537963481204</v>
      </c>
      <c r="AP5" s="6">
        <f t="shared" si="1"/>
        <v>0.74576370425771221</v>
      </c>
      <c r="AQ5" s="6">
        <f t="shared" si="1"/>
        <v>1.3779237663804258</v>
      </c>
      <c r="AR5" s="6">
        <f t="shared" si="1"/>
        <v>1.0008183338927759</v>
      </c>
      <c r="AS5" s="6">
        <f t="shared" si="1"/>
        <v>0.97140121525303247</v>
      </c>
      <c r="AT5" s="6">
        <f t="shared" si="1"/>
        <v>1.0250873195043129</v>
      </c>
      <c r="AU5" s="6">
        <f t="shared" si="1"/>
        <v>1.0060848648749889</v>
      </c>
      <c r="AV5" s="6">
        <f t="shared" si="1"/>
        <v>1.0126745465344935</v>
      </c>
      <c r="AW5" s="6">
        <f t="shared" si="1"/>
        <v>0.93940910030713365</v>
      </c>
      <c r="AX5" s="6">
        <f t="shared" si="1"/>
        <v>0.98436675418492048</v>
      </c>
      <c r="AY5" s="6">
        <f t="shared" si="1"/>
        <v>0.92381253884468273</v>
      </c>
      <c r="AZ5" s="6">
        <f t="shared" si="1"/>
        <v>0.88634988931785785</v>
      </c>
      <c r="BA5" s="6">
        <f t="shared" si="1"/>
        <v>0.84288223890424485</v>
      </c>
      <c r="BB5" s="6">
        <f t="shared" si="1"/>
        <v>0.72185106835710877</v>
      </c>
      <c r="BC5" s="6">
        <f t="shared" si="1"/>
        <v>0.58870948508304544</v>
      </c>
      <c r="BD5" s="6">
        <f t="shared" si="1"/>
        <v>0.46379048658351874</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0.25061185269994612</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0.20239344671033305</v>
      </c>
      <c r="BH5" s="7" t="str">
        <f t="shared" si="19"/>
        <v>2025_3</v>
      </c>
      <c r="BI5" s="30">
        <f>BI4</f>
        <v>2025</v>
      </c>
      <c r="BJ5" s="5" t="s">
        <v>23</v>
      </c>
      <c r="BK5" s="16">
        <f>BK3+BK4</f>
        <v>416.17792798782159</v>
      </c>
      <c r="BL5" s="16">
        <f t="shared" ref="BL5:CE5" si="46">BL3+BL4</f>
        <v>473.79644349420164</v>
      </c>
      <c r="BM5" s="16">
        <f t="shared" si="46"/>
        <v>503.21818167300717</v>
      </c>
      <c r="BN5" s="16">
        <f t="shared" si="46"/>
        <v>470.64234791262004</v>
      </c>
      <c r="BO5" s="16">
        <f t="shared" si="46"/>
        <v>365.62211084601194</v>
      </c>
      <c r="BP5" s="16">
        <f t="shared" si="46"/>
        <v>441.40963528413079</v>
      </c>
      <c r="BQ5" s="16">
        <f t="shared" si="46"/>
        <v>523.60426730151892</v>
      </c>
      <c r="BR5" s="16">
        <f t="shared" si="46"/>
        <v>541.31084316226975</v>
      </c>
      <c r="BS5" s="16">
        <f t="shared" si="46"/>
        <v>674.72998627284585</v>
      </c>
      <c r="BT5" s="16">
        <f t="shared" si="46"/>
        <v>685.43548156467136</v>
      </c>
      <c r="BU5" s="16">
        <f t="shared" si="46"/>
        <v>806.34171323301734</v>
      </c>
      <c r="BV5" s="16">
        <f t="shared" si="46"/>
        <v>717.05127424097009</v>
      </c>
      <c r="BW5" s="16">
        <f t="shared" si="46"/>
        <v>684.84377980750094</v>
      </c>
      <c r="BX5" s="16">
        <f t="shared" si="46"/>
        <v>734.67690802040704</v>
      </c>
      <c r="BY5" s="16">
        <f t="shared" si="46"/>
        <v>801.48798884798248</v>
      </c>
      <c r="BZ5" s="16">
        <f t="shared" si="46"/>
        <v>885.61846025390673</v>
      </c>
      <c r="CA5" s="16">
        <f t="shared" si="46"/>
        <v>593.35373624057343</v>
      </c>
      <c r="CB5" s="16">
        <f t="shared" si="46"/>
        <v>444.28505291882402</v>
      </c>
      <c r="CC5" s="16">
        <f t="shared" si="46"/>
        <v>256.994190269233</v>
      </c>
      <c r="CD5" s="16">
        <f t="shared" si="46"/>
        <v>77.96472162227937</v>
      </c>
      <c r="CE5" s="16">
        <f t="shared" si="46"/>
        <v>13.975076756102654</v>
      </c>
      <c r="CF5" s="11">
        <f>SUM(BK5:CE5)</f>
        <v>11112.540127709895</v>
      </c>
      <c r="CG5" s="11">
        <f t="shared" si="20"/>
        <v>586.20877510032528</v>
      </c>
      <c r="CH5" s="11">
        <f t="shared" si="21"/>
        <v>295.4157422517269</v>
      </c>
      <c r="CI5" s="11">
        <f t="shared" si="3"/>
        <v>3808.3561349293086</v>
      </c>
      <c r="CJ5" s="11">
        <f t="shared" si="22"/>
        <v>2272.1912380609192</v>
      </c>
      <c r="CK5" s="15">
        <f t="shared" si="23"/>
        <v>0.34270797595888147</v>
      </c>
      <c r="CL5" s="15">
        <f t="shared" si="24"/>
        <v>0.20447091411576113</v>
      </c>
      <c r="CM5" s="11">
        <f t="shared" si="25"/>
        <v>1871.9468565939312</v>
      </c>
      <c r="CO5" s="7" t="str">
        <f t="shared" si="26"/>
        <v>2025_3</v>
      </c>
      <c r="CP5" s="30">
        <f>CP4</f>
        <v>2025</v>
      </c>
      <c r="CQ5" s="5" t="s">
        <v>23</v>
      </c>
      <c r="CR5" s="16">
        <f>CR3+CR4</f>
        <v>418.17792798782159</v>
      </c>
      <c r="CS5" s="16">
        <f t="shared" ref="CS5" si="47">CS3+CS4</f>
        <v>473.79644349420164</v>
      </c>
      <c r="CT5" s="16">
        <f t="shared" ref="CT5" si="48">CT3+CT4</f>
        <v>505.21818167300717</v>
      </c>
      <c r="CU5" s="16">
        <f t="shared" ref="CU5" si="49">CU3+CU4</f>
        <v>470.64234791262004</v>
      </c>
      <c r="CV5" s="16">
        <f t="shared" ref="CV5" si="50">CV3+CV4</f>
        <v>365.62211084601194</v>
      </c>
      <c r="CW5" s="16">
        <f t="shared" ref="CW5" si="51">CW3+CW4</f>
        <v>445.40963528413079</v>
      </c>
      <c r="CX5" s="16">
        <f t="shared" ref="CX5" si="52">CX3+CX4</f>
        <v>523.60426730151892</v>
      </c>
      <c r="CY5" s="16">
        <f t="shared" ref="CY5" si="53">CY3+CY4</f>
        <v>541.31084316226975</v>
      </c>
      <c r="CZ5" s="16">
        <f t="shared" ref="CZ5" si="54">CZ3+CZ4</f>
        <v>675.72998627284585</v>
      </c>
      <c r="DA5" s="16">
        <f t="shared" ref="DA5" si="55">DA3+DA4</f>
        <v>685.43548156467136</v>
      </c>
      <c r="DB5" s="16">
        <f t="shared" ref="DB5" si="56">DB3+DB4</f>
        <v>806.34171323301734</v>
      </c>
      <c r="DC5" s="16">
        <f t="shared" ref="DC5" si="57">DC3+DC4</f>
        <v>717.05127424097009</v>
      </c>
      <c r="DD5" s="16">
        <f t="shared" ref="DD5" si="58">DD3+DD4</f>
        <v>684.84377980750094</v>
      </c>
      <c r="DE5" s="16">
        <f t="shared" ref="DE5" si="59">DE3+DE4</f>
        <v>734.67690802040704</v>
      </c>
      <c r="DF5" s="16">
        <f t="shared" ref="DF5" si="60">DF3+DF4</f>
        <v>801.48798884798248</v>
      </c>
      <c r="DG5" s="16">
        <f t="shared" ref="DG5" si="61">DG3+DG4</f>
        <v>885.61846025390673</v>
      </c>
      <c r="DH5" s="16">
        <f t="shared" ref="DH5" si="62">DH3+DH4</f>
        <v>593.35373624057343</v>
      </c>
      <c r="DI5" s="16">
        <f t="shared" ref="DI5" si="63">DI3+DI4</f>
        <v>444.28505291882402</v>
      </c>
      <c r="DJ5" s="16">
        <f t="shared" ref="DJ5" si="64">DJ3+DJ4</f>
        <v>256.994190269233</v>
      </c>
      <c r="DK5" s="16">
        <f t="shared" ref="DK5" si="65">DK3+DK4</f>
        <v>77.96472162227937</v>
      </c>
      <c r="DL5" s="16">
        <f t="shared" ref="DL5" si="66">DL3+DL4</f>
        <v>13.975076756102654</v>
      </c>
      <c r="DM5" s="11">
        <f>SUM(CR5:DL5)</f>
        <v>11121.540127709895</v>
      </c>
      <c r="DN5" s="11">
        <f t="shared" si="34"/>
        <v>587.40877510032533</v>
      </c>
      <c r="DO5" s="11">
        <f t="shared" si="35"/>
        <v>296.21574225172685</v>
      </c>
      <c r="DP5" s="11">
        <f t="shared" si="6"/>
        <v>3808.3561349293086</v>
      </c>
      <c r="DQ5" s="11">
        <f t="shared" si="36"/>
        <v>2272.1912380609192</v>
      </c>
      <c r="DR5" s="15">
        <f t="shared" si="37"/>
        <v>0.34243064280643931</v>
      </c>
      <c r="DS5" s="15">
        <f t="shared" si="38"/>
        <v>0.20430544798374073</v>
      </c>
      <c r="DT5" s="11">
        <f>SUM(CV5:CY5)</f>
        <v>1875.9468565939312</v>
      </c>
      <c r="DV5" s="311"/>
      <c r="DW5" s="312"/>
      <c r="DX5" s="30">
        <f>DX4</f>
        <v>2025</v>
      </c>
      <c r="DY5" s="5" t="s">
        <v>23</v>
      </c>
      <c r="DZ5" s="16">
        <f>DZ3+DZ4</f>
        <v>416.17792798782159</v>
      </c>
      <c r="EA5" s="16">
        <f t="shared" ref="EA5:ET5" si="67">EA3+EA4</f>
        <v>473.79644349420164</v>
      </c>
      <c r="EB5" s="16">
        <f t="shared" si="67"/>
        <v>503.21818167300717</v>
      </c>
      <c r="EC5" s="16">
        <f t="shared" si="67"/>
        <v>470.64234791262004</v>
      </c>
      <c r="ED5" s="16">
        <f t="shared" si="67"/>
        <v>365.62211084601194</v>
      </c>
      <c r="EE5" s="16">
        <f t="shared" si="67"/>
        <v>597.40963528413079</v>
      </c>
      <c r="EF5" s="16">
        <f t="shared" si="67"/>
        <v>679.60426730151903</v>
      </c>
      <c r="EG5" s="16">
        <f t="shared" si="67"/>
        <v>697.31084316226975</v>
      </c>
      <c r="EH5" s="16">
        <f t="shared" si="67"/>
        <v>674.72998627284585</v>
      </c>
      <c r="EI5" s="16">
        <f t="shared" si="67"/>
        <v>685.43548156467136</v>
      </c>
      <c r="EJ5" s="16">
        <f t="shared" si="67"/>
        <v>806.34171323301734</v>
      </c>
      <c r="EK5" s="16">
        <f t="shared" si="67"/>
        <v>717.05127424097009</v>
      </c>
      <c r="EL5" s="16">
        <f t="shared" si="67"/>
        <v>684.84377980750094</v>
      </c>
      <c r="EM5" s="16">
        <f t="shared" si="67"/>
        <v>734.67690802040704</v>
      </c>
      <c r="EN5" s="16">
        <f t="shared" si="67"/>
        <v>801.48798884798248</v>
      </c>
      <c r="EO5" s="16">
        <f t="shared" si="67"/>
        <v>885.61846025390673</v>
      </c>
      <c r="EP5" s="16">
        <f t="shared" si="67"/>
        <v>593.35373624057343</v>
      </c>
      <c r="EQ5" s="16">
        <f t="shared" si="67"/>
        <v>444.28505291882402</v>
      </c>
      <c r="ER5" s="16">
        <f t="shared" si="67"/>
        <v>256.994190269233</v>
      </c>
      <c r="ES5" s="16">
        <f t="shared" si="67"/>
        <v>77.96472162227937</v>
      </c>
      <c r="ET5" s="16">
        <f t="shared" si="67"/>
        <v>13.975076756102654</v>
      </c>
      <c r="EU5" s="11">
        <f>SUM(DZ5:ET5)</f>
        <v>11580.540127709895</v>
      </c>
      <c r="EV5" s="11">
        <f t="shared" si="41"/>
        <v>586.20877510032528</v>
      </c>
      <c r="EW5" s="11">
        <f t="shared" si="42"/>
        <v>295.4157422517269</v>
      </c>
      <c r="EX5" s="11">
        <f t="shared" si="10"/>
        <v>3808.3561349293086</v>
      </c>
      <c r="EY5" s="11">
        <f t="shared" si="43"/>
        <v>2272.1912380609192</v>
      </c>
      <c r="EZ5" s="15">
        <f t="shared" si="44"/>
        <v>0.3288582477959453</v>
      </c>
      <c r="FA5" s="15">
        <f t="shared" si="45"/>
        <v>0.19620770819005445</v>
      </c>
      <c r="FB5" s="11">
        <f>SUM(ED5:EG5)</f>
        <v>2339.9468565939314</v>
      </c>
    </row>
    <row r="6" spans="1:158" x14ac:dyDescent="0.15">
      <c r="A6" s="7" t="str">
        <f t="shared" si="11"/>
        <v>2010_1</v>
      </c>
      <c r="B6" s="28">
        <v>2010</v>
      </c>
      <c r="C6" s="3" t="s">
        <v>21</v>
      </c>
      <c r="D6" s="9">
        <v>270.91349358331217</v>
      </c>
      <c r="E6" s="9">
        <v>260.01622950861963</v>
      </c>
      <c r="F6" s="9">
        <v>283.14689132517623</v>
      </c>
      <c r="G6" s="9">
        <v>257.63487387425357</v>
      </c>
      <c r="H6" s="9">
        <v>221.17662703279288</v>
      </c>
      <c r="I6" s="9">
        <v>325.99722703883253</v>
      </c>
      <c r="J6" s="9">
        <v>348.78517738125339</v>
      </c>
      <c r="K6" s="9">
        <v>402.55699784789965</v>
      </c>
      <c r="L6" s="9">
        <v>330.08171425752585</v>
      </c>
      <c r="M6" s="9">
        <v>315.4544155667927</v>
      </c>
      <c r="N6" s="9">
        <v>404.28659213296174</v>
      </c>
      <c r="O6" s="9">
        <v>427.68591217227731</v>
      </c>
      <c r="P6" s="9">
        <v>546.2589952124946</v>
      </c>
      <c r="Q6" s="9">
        <v>390.09915926492329</v>
      </c>
      <c r="R6" s="9">
        <v>386.72956942204775</v>
      </c>
      <c r="S6" s="9">
        <v>321.00990372360792</v>
      </c>
      <c r="T6" s="9">
        <v>231.9901785106</v>
      </c>
      <c r="U6" s="9">
        <v>97.84122864376792</v>
      </c>
      <c r="V6" s="9">
        <v>36.310668949186649</v>
      </c>
      <c r="W6" s="9">
        <v>5.0241445516741372</v>
      </c>
      <c r="X6" s="9">
        <v>0</v>
      </c>
      <c r="Y6" s="9">
        <f t="shared" ref="Y6:Y11" si="68">SUM(D6:X6)</f>
        <v>5863</v>
      </c>
      <c r="Z6" s="9">
        <f t="shared" si="12"/>
        <v>325.89787250027746</v>
      </c>
      <c r="AA6" s="9">
        <f t="shared" si="13"/>
        <v>164.7857313049212</v>
      </c>
      <c r="AB6" s="9">
        <f t="shared" si="0"/>
        <v>1469.0048530658078</v>
      </c>
      <c r="AC6" s="9">
        <f t="shared" si="14"/>
        <v>692.17612437883645</v>
      </c>
      <c r="AD6" s="13">
        <f t="shared" si="15"/>
        <v>0.25055515146952206</v>
      </c>
      <c r="AE6" s="13">
        <f t="shared" si="16"/>
        <v>0.11805835312618736</v>
      </c>
      <c r="AF6" s="9">
        <f t="shared" si="17"/>
        <v>1298.5160293007784</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0.99679427090482975</v>
      </c>
      <c r="AN6" s="193">
        <f t="shared" si="18"/>
        <v>0.94045161566510249</v>
      </c>
      <c r="AO6" s="193">
        <f t="shared" si="18"/>
        <v>0.96777493240275081</v>
      </c>
      <c r="AP6" s="193">
        <f t="shared" si="18"/>
        <v>0.83677876186218048</v>
      </c>
      <c r="AQ6" s="193">
        <f t="shared" si="18"/>
        <v>0.98941148366800691</v>
      </c>
      <c r="AR6" s="193">
        <f t="shared" si="18"/>
        <v>1.0002601768921873</v>
      </c>
      <c r="AS6" s="193">
        <f t="shared" si="18"/>
        <v>0.91956287327708286</v>
      </c>
      <c r="AT6" s="193">
        <f t="shared" si="18"/>
        <v>1.0130795579096321</v>
      </c>
      <c r="AU6" s="193">
        <f t="shared" si="18"/>
        <v>1.0191071958913911</v>
      </c>
      <c r="AV6" s="193">
        <f t="shared" si="18"/>
        <v>0.98081252041581057</v>
      </c>
      <c r="AW6" s="193">
        <f t="shared" si="18"/>
        <v>1.0456504126841499</v>
      </c>
      <c r="AX6" s="193">
        <f t="shared" si="18"/>
        <v>0.96241964143055259</v>
      </c>
      <c r="AY6" s="193">
        <f t="shared" si="18"/>
        <v>0.95351503823568962</v>
      </c>
      <c r="AZ6" s="193">
        <f t="shared" si="18"/>
        <v>0.95021043248373205</v>
      </c>
      <c r="BA6" s="193">
        <f t="shared" si="18"/>
        <v>0.8711404632277725</v>
      </c>
      <c r="BB6" s="193">
        <f t="shared" si="18"/>
        <v>0.81991429054218667</v>
      </c>
      <c r="BC6" s="193">
        <f t="shared" si="18"/>
        <v>0.71264938972118697</v>
      </c>
      <c r="BD6" s="193">
        <f t="shared" si="18"/>
        <v>0.48857432815234897</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0.23736094808890004</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0.19996723203939354</v>
      </c>
      <c r="BH6" s="7" t="str">
        <f t="shared" si="19"/>
        <v>2030_1</v>
      </c>
      <c r="BI6" s="28">
        <f>管理者入力シート!B9</f>
        <v>2030</v>
      </c>
      <c r="BJ6" s="3" t="s">
        <v>21</v>
      </c>
      <c r="BK6" s="9">
        <f>CM7*$AK$13</f>
        <v>196.34089033469758</v>
      </c>
      <c r="BL6" s="9">
        <f>IF(管理者入力シート!$B$14=1,BK3*管理者用人口入力シート!AM$3,IF(管理者入力シート!$B$14=2,BK3*管理者用人口入力シート!AM$7))</f>
        <v>207.2531604522265</v>
      </c>
      <c r="BM6" s="9">
        <f>IF(管理者入力シート!$B$14=1,BL3*管理者用人口入力シート!AN$3,IF(管理者入力シート!$B$14=2,BL3*管理者用人口入力シート!AN$7))</f>
        <v>247.28617439783886</v>
      </c>
      <c r="BN6" s="9">
        <f>IF(管理者入力シート!$B$14=1,BM3*管理者用人口入力シート!AO$3,IF(管理者入力シート!$B$14=2,BM3*管理者用人口入力シート!AO$7))</f>
        <v>214.23352361452353</v>
      </c>
      <c r="BO6" s="9">
        <f>IF(管理者入力シート!$B$14=1,BN3*管理者用人口入力シート!AP$3,IF(管理者入力シート!$B$14=2,BN3*管理者用人口入力シート!AP$7))</f>
        <v>153.19333927169464</v>
      </c>
      <c r="BP6" s="9">
        <f>IF(管理者入力シート!$B$14=1,BO3*管理者用人口入力シート!AQ$3,IF(管理者入力シート!$B$14=2,BO3*管理者用人口入力シート!AQ$7))</f>
        <v>216.47180835351298</v>
      </c>
      <c r="BQ6" s="9">
        <f>IF(管理者入力シート!$B$14=1,BP3*管理者用人口入力シート!AR$3,IF(管理者入力シート!$B$14=2,BP3*管理者用人口入力シート!AR$7))</f>
        <v>227.44556353658811</v>
      </c>
      <c r="BR6" s="9">
        <f>IF(管理者入力シート!$B$14=1,BQ3*管理者用人口入力シート!AS$3,IF(管理者入力シート!$B$14=2,BQ3*管理者用人口入力シート!AS$7))</f>
        <v>264.28504117321671</v>
      </c>
      <c r="BS6" s="9">
        <f>IF(管理者入力シート!$B$14=1,BR3*管理者用人口入力シート!AT$3,IF(管理者入力シート!$B$14=2,BR3*管理者用人口入力シート!AT$7))</f>
        <v>280.91925953778616</v>
      </c>
      <c r="BT6" s="9">
        <f>IF(管理者入力シート!$B$14=1,BS3*管理者用人口入力シート!AU$3,IF(管理者入力シート!$B$14=2,BS3*管理者用人口入力シート!AU$7))</f>
        <v>311.31192047077332</v>
      </c>
      <c r="BU6" s="9">
        <f>IF(管理者入力シート!$B$14=1,BT3*管理者用人口入力シート!AV$3,IF(管理者入力シート!$B$14=2,BT3*管理者用人口入力シート!AV$7))</f>
        <v>339.75833274966351</v>
      </c>
      <c r="BV6" s="9">
        <f>IF(管理者入力シート!$B$14=1,BU3*管理者用人口入力シート!AW$3,IF(管理者入力シート!$B$14=2,BU3*管理者用人口入力シート!AW$7))</f>
        <v>409.69155228256193</v>
      </c>
      <c r="BW6" s="9">
        <f>IF(管理者入力シート!$B$14=1,BV3*管理者用人口入力シート!AX$3,IF(管理者入力シート!$B$14=2,BV3*管理者用人口入力シート!AX$7))</f>
        <v>332.49901081070504</v>
      </c>
      <c r="BX6" s="9">
        <f>IF(管理者入力シート!$B$14=1,BW3*管理者用人口入力シート!AY$3,IF(管理者入力シート!$B$14=2,BW3*管理者用人口入力シート!AY$7))</f>
        <v>296.60306304824792</v>
      </c>
      <c r="BY6" s="9">
        <f>IF(管理者入力シート!$B$14=1,BX3*管理者用人口入力シート!AZ$3,IF(管理者入力シート!$B$14=2,BX3*管理者用人口入力シート!AZ$7))</f>
        <v>309.8273011116068</v>
      </c>
      <c r="BZ6" s="9">
        <f>IF(管理者入力シート!$B$14=1,BY3*管理者用人口入力シート!BA$3,IF(管理者入力シート!$B$14=2,BY3*管理者用人口入力シート!BA$7))</f>
        <v>294.68373366425186</v>
      </c>
      <c r="CA6" s="9">
        <f>IF(管理者入力シート!$B$14=1,BZ3*管理者用人口入力シート!BB$3,IF(管理者入力シート!$B$14=2,BZ3*管理者用人口入力シート!BB$7))</f>
        <v>316.50852754773723</v>
      </c>
      <c r="CB6" s="9">
        <f>IF(管理者入力シート!$B$14=1,CA3*管理者用人口入力シート!BC$3,IF(管理者入力シート!$B$14=2,CA3*管理者用人口入力シート!BC$7))</f>
        <v>149.11364542054741</v>
      </c>
      <c r="CC6" s="9">
        <f>IF(管理者入力シート!$B$14=1,CB3*管理者用人口入力シート!BD$3,IF(管理者入力シート!$B$14=2,CB3*管理者用人口入力シート!BD$7))</f>
        <v>87.951097750690536</v>
      </c>
      <c r="CD6" s="9">
        <f>IF(管理者入力シート!$B$14=1,CC3*管理者用人口入力シート!BE$3,IF(管理者入力シート!$B$14=2,CC3*管理者用人口入力シート!BE$7))</f>
        <v>18.402362012781886</v>
      </c>
      <c r="CE6" s="9">
        <f>IF(管理者入力シート!$B$14=1,CD3*管理者用人口入力シート!BF$3,IF(管理者入力シート!$B$14=2,CD3*管理者用人口入力シート!BF$7))</f>
        <v>3.8455858423586498</v>
      </c>
      <c r="CF6" s="9">
        <f t="shared" si="2"/>
        <v>4877.6248933840106</v>
      </c>
      <c r="CG6" s="9">
        <f t="shared" si="20"/>
        <v>272.72360091003918</v>
      </c>
      <c r="CH6" s="9">
        <f t="shared" si="21"/>
        <v>141.76117448204025</v>
      </c>
      <c r="CI6" s="9">
        <f t="shared" si="3"/>
        <v>1476.9353163982221</v>
      </c>
      <c r="CJ6" s="9">
        <f t="shared" si="22"/>
        <v>870.50495223836754</v>
      </c>
      <c r="CK6" s="13">
        <f t="shared" si="23"/>
        <v>0.30279805206044663</v>
      </c>
      <c r="CL6" s="13">
        <f t="shared" si="24"/>
        <v>0.17846902360595968</v>
      </c>
      <c r="CM6" s="9">
        <f t="shared" si="25"/>
        <v>861.3957523350125</v>
      </c>
      <c r="CO6" s="7" t="str">
        <f t="shared" si="26"/>
        <v>2030_1</v>
      </c>
      <c r="CP6" s="28">
        <f>管理者入力シート!B9</f>
        <v>2030</v>
      </c>
      <c r="CQ6" s="3" t="s">
        <v>21</v>
      </c>
      <c r="CR6" s="9">
        <f>DT7*$AK$13+将来予測シート②!$G17</f>
        <v>198.25304959362191</v>
      </c>
      <c r="CS6" s="9">
        <f>IF(管理者入力シート!$B$14=1,CR3*管理者用人口入力シート!AM$3,IF(管理者入力シート!$B$14=2,CR3*管理者用人口入力シート!AM$7))+将来予測シート②!$G18</f>
        <v>208.23657719716314</v>
      </c>
      <c r="CT6" s="9">
        <f>IF(管理者入力シート!$B$14=1,CS3*管理者用人口入力シート!AN$3,IF(管理者入力シート!$B$14=2,CS3*管理者用人口入力シート!AN$7))+将来予測シート②!$G19</f>
        <v>248.28617439783886</v>
      </c>
      <c r="CU6" s="9">
        <f>IF(管理者入力シート!$B$14=1,CT3*管理者用人口入力シート!AO$3,IF(管理者入力シート!$B$14=2,CT3*管理者用人口入力シート!AO$7))+将来予測シート②!$G20</f>
        <v>215.03336107497128</v>
      </c>
      <c r="CV6" s="9">
        <f>IF(管理者入力シート!$B$14=1,CU3*管理者用人口入力シート!AP$3,IF(管理者入力シート!$B$14=2,CU3*管理者用人口入力シート!AP$7))+将来予測シート②!$G21</f>
        <v>153.19333927169464</v>
      </c>
      <c r="CW6" s="9">
        <f>IF(管理者入力シート!$B$14=1,CV3*管理者用人口入力シート!AQ$3,IF(管理者入力シート!$B$14=2,CV3*管理者用人口入力シート!AQ$7))+将来予測シート②!$G22</f>
        <v>218.47180835351298</v>
      </c>
      <c r="CX6" s="9">
        <f>IF(管理者入力シート!$B$14=1,CW3*管理者用人口入力シート!AR$3,IF(管理者入力シート!$B$14=2,CW3*管理者用人口入力シート!AR$7))+将来予測シート②!$G23</f>
        <v>229.39893305171847</v>
      </c>
      <c r="CY6" s="9">
        <f>IF(管理者入力シート!$B$14=1,CX3*管理者用人口入力シート!AS$3,IF(管理者入力シート!$B$14=2,CX3*管理者用人口入力シート!AS$7))+将来予測シート②!$G24</f>
        <v>264.28504117321671</v>
      </c>
      <c r="CZ6" s="9">
        <f>IF(管理者入力シート!$B$14=1,CY3*管理者用人口入力シート!AT$3,IF(管理者入力シート!$B$14=2,CY3*管理者用人口入力シート!AT$7))+将来予測シート②!$G25</f>
        <v>280.91925953778616</v>
      </c>
      <c r="DA6" s="9">
        <f>IF(管理者入力シート!$B$14=1,CZ3*管理者用人口入力シート!AU$3,IF(管理者入力シート!$B$14=2,CZ3*管理者用人口入力シート!AU$7))+将来予測シート②!$G26</f>
        <v>311.31192047077332</v>
      </c>
      <c r="DB6" s="9">
        <f>IF(管理者入力シート!$B$14=1,DA3*管理者用人口入力シート!AV$3,IF(管理者入力シート!$B$14=2,DA3*管理者用人口入力シート!AV$7))+将来予測シート②!$G27</f>
        <v>339.75833274966351</v>
      </c>
      <c r="DC6" s="9">
        <f>IF(管理者入力シート!$B$14=1,DB3*管理者用人口入力シート!AW$3,IF(管理者入力シート!$B$14=2,DB3*管理者用人口入力シート!AW$7))+将来予測シート②!$G28</f>
        <v>409.69155228256193</v>
      </c>
      <c r="DD6" s="9">
        <f>IF(管理者入力シート!$B$14=1,DC3*管理者用人口入力シート!AX$3,IF(管理者入力シート!$B$14=2,DC3*管理者用人口入力シート!AX$7))+将来予測シート②!$G29</f>
        <v>332.49901081070504</v>
      </c>
      <c r="DE6" s="9">
        <f>IF(管理者入力シート!$B$14=1,DD3*管理者用人口入力シート!AY$3,IF(管理者入力シート!$B$14=2,DD3*管理者用人口入力シート!AY$7))</f>
        <v>296.60306304824792</v>
      </c>
      <c r="DF6" s="9">
        <f>IF(管理者入力シート!$B$14=1,DE3*管理者用人口入力シート!AZ$3,IF(管理者入力シート!$B$14=2,DE3*管理者用人口入力シート!AZ$7))</f>
        <v>309.8273011116068</v>
      </c>
      <c r="DG6" s="9">
        <f>IF(管理者入力シート!$B$14=1,DF3*管理者用人口入力シート!BA$3,IF(管理者入力シート!$B$14=2,DF3*管理者用人口入力シート!BA$7))</f>
        <v>294.68373366425186</v>
      </c>
      <c r="DH6" s="9">
        <f>IF(管理者入力シート!$B$14=1,DG3*管理者用人口入力シート!BB$3,IF(管理者入力シート!$B$14=2,DG3*管理者用人口入力シート!BB$7))</f>
        <v>316.50852754773723</v>
      </c>
      <c r="DI6" s="9">
        <f>IF(管理者入力シート!$B$14=1,DH3*管理者用人口入力シート!BC$3,IF(管理者入力シート!$B$14=2,DH3*管理者用人口入力シート!BC$7))</f>
        <v>149.11364542054741</v>
      </c>
      <c r="DJ6" s="9">
        <f>IF(管理者入力シート!$B$14=1,DI3*管理者用人口入力シート!BD$3,IF(管理者入力シート!$B$14=2,DI3*管理者用人口入力シート!BD$7))</f>
        <v>87.951097750690536</v>
      </c>
      <c r="DK6" s="9">
        <f>IF(管理者入力シート!$B$14=1,DJ3*管理者用人口入力シート!BE$3,IF(管理者入力シート!$B$14=2,DJ3*管理者用人口入力シート!BE$7))</f>
        <v>18.402362012781886</v>
      </c>
      <c r="DL6" s="9">
        <f>IF(管理者入力シート!$B$14=1,DK3*管理者用人口入力シート!BF$3,IF(管理者入力シート!$B$14=2,DK3*管理者用人口入力シート!BF$7))</f>
        <v>3.8455858423586498</v>
      </c>
      <c r="DM6" s="9">
        <f t="shared" ref="DM6:DM14" si="69">SUM(CR6:DL6)</f>
        <v>4886.2736763634493</v>
      </c>
      <c r="DN6" s="9">
        <f t="shared" si="34"/>
        <v>273.91365095700121</v>
      </c>
      <c r="DO6" s="9">
        <f t="shared" si="35"/>
        <v>142.3211419741298</v>
      </c>
      <c r="DP6" s="9">
        <f t="shared" si="6"/>
        <v>1476.9353163982221</v>
      </c>
      <c r="DQ6" s="9">
        <f t="shared" si="36"/>
        <v>870.50495223836754</v>
      </c>
      <c r="DR6" s="13">
        <f t="shared" si="37"/>
        <v>0.3022620946392453</v>
      </c>
      <c r="DS6" s="13">
        <f t="shared" si="38"/>
        <v>0.17815313056435889</v>
      </c>
      <c r="DT6" s="9">
        <f t="shared" ref="DT6:DT14" si="70">SUM(CV6:CY6)</f>
        <v>865.34912185014286</v>
      </c>
      <c r="DV6" s="7" t="s">
        <v>400</v>
      </c>
      <c r="DX6" s="28">
        <f>管理者入力シート!B9</f>
        <v>2030</v>
      </c>
      <c r="DY6" s="3" t="s">
        <v>21</v>
      </c>
      <c r="DZ6" s="9">
        <f>FB7*$AK$13</f>
        <v>283.6014326601146</v>
      </c>
      <c r="EA6" s="129">
        <f>IF(管理者入力シート!$B$14=1,DZ3*管理者用人口入力シート!AM$3,IF(管理者入力シート!$B$14=2,DZ3*管理者用人口入力シート!AM$7))</f>
        <v>207.2531604522265</v>
      </c>
      <c r="EB6" s="9">
        <f>IF(管理者入力シート!$B$14=1,EA3*管理者用人口入力シート!AN$3,IF(管理者入力シート!$B$14=2,EA3*管理者用人口入力シート!AN$7))</f>
        <v>247.28617439783886</v>
      </c>
      <c r="EC6" s="9">
        <f>IF(管理者入力シート!$B$14=1,EB3*管理者用人口入力シート!AO$3,IF(管理者入力シート!$B$14=2,EB3*管理者用人口入力シート!AO$7))</f>
        <v>214.23352361452353</v>
      </c>
      <c r="ED6" s="9">
        <f>IF(管理者入力シート!$B$14=1,EC3*管理者用人口入力シート!AP$3,IF(管理者入力シート!$B$14=2,EC3*管理者用人口入力シート!AP$7))</f>
        <v>153.19333927169464</v>
      </c>
      <c r="EE6" s="9">
        <f>IF(管理者入力シート!$B$14=1,ED3*管理者用人口入力シート!AQ$3,IF(管理者入力シート!$B$14=2,ED3*管理者用人口入力シート!AQ$7))+DX1</f>
        <v>294.47180835351298</v>
      </c>
      <c r="EF6" s="9">
        <f>IF(管理者入力シート!$B$14=1,EE3*管理者用人口入力シート!AR$3,IF(管理者入力シート!$B$14=2,EE3*管理者用人口入力シート!AR$7))+DX1</f>
        <v>381.62697462667251</v>
      </c>
      <c r="EG6" s="9">
        <f>IF(管理者入力シート!$B$14=1,EF3*管理者用人口入力シート!AS$3,IF(管理者入力シート!$B$14=2,EF3*管理者用人口入力シート!AS$7))+DX1</f>
        <v>417.31608639256336</v>
      </c>
      <c r="EH6" s="9">
        <f>IF(管理者入力シート!$B$14=1,EG3*管理者用人口入力シート!AT$3,IF(管理者入力シート!$B$14=2,EG3*管理者用人口入力シート!AT$7))</f>
        <v>359.33653242572319</v>
      </c>
      <c r="EI6" s="9">
        <f>IF(管理者入力シート!$B$14=1,EH3*管理者用人口入力シート!AU$3,IF(管理者入力シート!$B$14=2,EH3*管理者用人口入力シート!AU$7))</f>
        <v>311.31192047077332</v>
      </c>
      <c r="EJ6" s="9">
        <f>IF(管理者入力シート!$B$14=1,EI3*管理者用人口入力シート!AV$3,IF(管理者入力シート!$B$14=2,EI3*管理者用人口入力シート!AV$7))</f>
        <v>339.75833274966351</v>
      </c>
      <c r="EK6" s="9">
        <f>IF(管理者入力シート!$B$14=1,EJ3*管理者用人口入力シート!AW$3,IF(管理者入力シート!$B$14=2,EJ3*管理者用人口入力シート!AW$7))</f>
        <v>409.69155228256193</v>
      </c>
      <c r="EL6" s="9">
        <f>IF(管理者入力シート!$B$14=1,EK3*管理者用人口入力シート!AX$3,IF(管理者入力シート!$B$14=2,EK3*管理者用人口入力シート!AX$7))</f>
        <v>332.49901081070504</v>
      </c>
      <c r="EM6" s="9">
        <f>IF(管理者入力シート!$B$14=1,EL3*管理者用人口入力シート!AY$3,IF(管理者入力シート!$B$14=2,EL3*管理者用人口入力シート!AY$7))</f>
        <v>296.60306304824792</v>
      </c>
      <c r="EN6" s="9">
        <f>IF(管理者入力シート!$B$14=1,EM3*管理者用人口入力シート!AZ$3,IF(管理者入力シート!$B$14=2,EM3*管理者用人口入力シート!AZ$7))</f>
        <v>309.8273011116068</v>
      </c>
      <c r="EO6" s="9">
        <f>IF(管理者入力シート!$B$14=1,EN3*管理者用人口入力シート!BA$3,IF(管理者入力シート!$B$14=2,EN3*管理者用人口入力シート!BA$7))</f>
        <v>294.68373366425186</v>
      </c>
      <c r="EP6" s="9">
        <f>IF(管理者入力シート!$B$14=1,EO3*管理者用人口入力シート!BB$3,IF(管理者入力シート!$B$14=2,EO3*管理者用人口入力シート!BB$7))</f>
        <v>316.50852754773723</v>
      </c>
      <c r="EQ6" s="9">
        <f>IF(管理者入力シート!$B$14=1,EP3*管理者用人口入力シート!BC$3,IF(管理者入力シート!$B$14=2,EP3*管理者用人口入力シート!BC$7))</f>
        <v>149.11364542054741</v>
      </c>
      <c r="ER6" s="9">
        <f>IF(管理者入力シート!$B$14=1,EQ3*管理者用人口入力シート!BD$3,IF(管理者入力シート!$B$14=2,EQ3*管理者用人口入力シート!BD$7))</f>
        <v>87.951097750690536</v>
      </c>
      <c r="ES6" s="9">
        <f>IF(管理者入力シート!$B$14=1,ER3*管理者用人口入力シート!BE$3,IF(管理者入力シート!$B$14=2,ER3*管理者用人口入力シート!BE$7))</f>
        <v>18.402362012781886</v>
      </c>
      <c r="ET6" s="9">
        <f>IF(管理者入力シート!$B$14=1,ES3*管理者用人口入力シート!BF$3,IF(管理者入力シート!$B$14=2,ES3*管理者用人口入力シート!BF$7))</f>
        <v>3.8455858423586498</v>
      </c>
      <c r="EU6" s="9">
        <f t="shared" ref="EU6:EU14" si="71">SUM(DZ6:ET6)</f>
        <v>5428.5151649067975</v>
      </c>
      <c r="EV6" s="9">
        <f t="shared" si="41"/>
        <v>272.72360091003918</v>
      </c>
      <c r="EW6" s="9">
        <f t="shared" si="42"/>
        <v>141.76117448204025</v>
      </c>
      <c r="EX6" s="9">
        <f t="shared" si="10"/>
        <v>1476.9353163982221</v>
      </c>
      <c r="EY6" s="9">
        <f t="shared" si="43"/>
        <v>870.50495223836754</v>
      </c>
      <c r="EZ6" s="13">
        <f t="shared" si="44"/>
        <v>0.27206985179778526</v>
      </c>
      <c r="FA6" s="13">
        <f t="shared" si="45"/>
        <v>0.16035783741857029</v>
      </c>
      <c r="FB6" s="9">
        <f t="shared" ref="FB6:FB14" si="72">SUM(ED6:EG6)</f>
        <v>1246.6082086444435</v>
      </c>
    </row>
    <row r="7" spans="1:158" x14ac:dyDescent="0.15">
      <c r="A7" s="7" t="str">
        <f t="shared" si="11"/>
        <v>2010_2</v>
      </c>
      <c r="B7" s="29">
        <v>2010</v>
      </c>
      <c r="C7" s="4" t="s">
        <v>22</v>
      </c>
      <c r="D7" s="10">
        <v>253.96404362493519</v>
      </c>
      <c r="E7" s="10">
        <v>255.12811518147728</v>
      </c>
      <c r="F7" s="10">
        <v>273.91903030701263</v>
      </c>
      <c r="G7" s="10">
        <v>301.35149451820951</v>
      </c>
      <c r="H7" s="10">
        <v>274.10686472318599</v>
      </c>
      <c r="I7" s="10">
        <v>369.62334377588468</v>
      </c>
      <c r="J7" s="10">
        <v>350.57552781788473</v>
      </c>
      <c r="K7" s="10">
        <v>377.5512376490525</v>
      </c>
      <c r="L7" s="10">
        <v>369.51959726441203</v>
      </c>
      <c r="M7" s="10">
        <v>376.78160843555713</v>
      </c>
      <c r="N7" s="10">
        <v>399.71458452999428</v>
      </c>
      <c r="O7" s="10">
        <v>480.06038441404576</v>
      </c>
      <c r="P7" s="10">
        <v>542.45109628992464</v>
      </c>
      <c r="Q7" s="10">
        <v>468.24741391771232</v>
      </c>
      <c r="R7" s="10">
        <v>468.19924975781174</v>
      </c>
      <c r="S7" s="10">
        <v>502.17223690679282</v>
      </c>
      <c r="T7" s="10">
        <v>415.77281106257215</v>
      </c>
      <c r="U7" s="10">
        <v>265.15543224323517</v>
      </c>
      <c r="V7" s="10">
        <v>122.52798122429616</v>
      </c>
      <c r="W7" s="10">
        <v>35.153028971971679</v>
      </c>
      <c r="X7" s="10">
        <v>3.0249173840316592</v>
      </c>
      <c r="Y7" s="10">
        <f t="shared" si="68"/>
        <v>6905</v>
      </c>
      <c r="Z7" s="10">
        <f t="shared" si="12"/>
        <v>317.42828729309394</v>
      </c>
      <c r="AA7" s="10">
        <f t="shared" si="13"/>
        <v>169.83791102644696</v>
      </c>
      <c r="AB7" s="10">
        <f t="shared" si="0"/>
        <v>2280.2530714684235</v>
      </c>
      <c r="AC7" s="10">
        <f t="shared" si="14"/>
        <v>1343.8064077928996</v>
      </c>
      <c r="AD7" s="14">
        <f t="shared" si="15"/>
        <v>0.33023216096573837</v>
      </c>
      <c r="AE7" s="14">
        <f t="shared" si="16"/>
        <v>0.194613527558711</v>
      </c>
      <c r="AF7" s="10">
        <f t="shared" si="17"/>
        <v>1371.8569739660079</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0.98341674493664866</v>
      </c>
      <c r="AN7" s="48">
        <f t="shared" si="73"/>
        <v>1.0229841019915102</v>
      </c>
      <c r="AO7" s="48">
        <f t="shared" si="73"/>
        <v>0.79983746044775439</v>
      </c>
      <c r="AP7" s="48">
        <f t="shared" si="73"/>
        <v>0.73814912262196053</v>
      </c>
      <c r="AQ7" s="48">
        <f t="shared" si="73"/>
        <v>1.4203505329984192</v>
      </c>
      <c r="AR7" s="48">
        <f t="shared" si="73"/>
        <v>0.97668475756518436</v>
      </c>
      <c r="AS7" s="48">
        <f t="shared" si="73"/>
        <v>0.96193647717111064</v>
      </c>
      <c r="AT7" s="48">
        <f t="shared" si="73"/>
        <v>1.005349652409449</v>
      </c>
      <c r="AU7" s="48">
        <f t="shared" si="73"/>
        <v>0.99635777695286876</v>
      </c>
      <c r="AV7" s="48">
        <f t="shared" si="73"/>
        <v>1.020762569283824</v>
      </c>
      <c r="AW7" s="48">
        <f t="shared" si="73"/>
        <v>0.98570739905633786</v>
      </c>
      <c r="AX7" s="48">
        <f t="shared" si="73"/>
        <v>0.98720348699011995</v>
      </c>
      <c r="AY7" s="48">
        <f t="shared" si="73"/>
        <v>0.90932928117814027</v>
      </c>
      <c r="AZ7" s="48">
        <f t="shared" si="73"/>
        <v>0.90614559283474683</v>
      </c>
      <c r="BA7" s="48">
        <f t="shared" si="73"/>
        <v>0.8630139173736554</v>
      </c>
      <c r="BB7" s="48">
        <f t="shared" si="73"/>
        <v>0.78450260799408045</v>
      </c>
      <c r="BC7" s="48">
        <f t="shared" si="73"/>
        <v>0.6221198957423193</v>
      </c>
      <c r="BD7" s="48">
        <f t="shared" si="73"/>
        <v>0.50868825679493557</v>
      </c>
      <c r="BE7" s="48">
        <f t="shared" si="73"/>
        <v>0.23746995777501237</v>
      </c>
      <c r="BF7" s="48">
        <f t="shared" si="73"/>
        <v>0.21252088472419139</v>
      </c>
      <c r="BH7" s="7" t="str">
        <f t="shared" si="19"/>
        <v>2030_2</v>
      </c>
      <c r="BI7" s="29">
        <f>BI6</f>
        <v>2030</v>
      </c>
      <c r="BJ7" s="4" t="s">
        <v>22</v>
      </c>
      <c r="BK7" s="10">
        <f>CM7*$AK$14</f>
        <v>191.38628088200844</v>
      </c>
      <c r="BL7" s="10">
        <f>IF(管理者入力シート!$B$14=1,BK4*管理者用人口入力シート!AM$4,IF(管理者入力シート!$B$14=2,BK4*管理者用人口入力シート!AM$8))</f>
        <v>198.96749903050312</v>
      </c>
      <c r="BM7" s="10">
        <f>IF(管理者入力シート!$B$14=1,BL4*管理者用人口入力シート!AN$4,IF(管理者入力シート!$B$14=2,BL4*管理者用人口入力シート!AN$8))</f>
        <v>226.70562378004948</v>
      </c>
      <c r="BN7" s="10">
        <f>IF(管理者入力シート!$B$14=1,BM4*管理者用人口入力シート!AO$4,IF(管理者入力シート!$B$14=2,BM4*管理者用人口入力シート!AO$8))</f>
        <v>241.06934352926555</v>
      </c>
      <c r="BO7" s="10">
        <f>IF(管理者入力シート!$B$14=1,BN4*管理者用人口入力シート!AP$4,IF(管理者入力シート!$B$14=2,BN4*管理者用人口入力シート!AP$8))</f>
        <v>215.70068260060864</v>
      </c>
      <c r="BP7" s="10">
        <f>IF(管理者入力シート!$B$14=1,BO4*管理者用人口入力シート!AQ$4,IF(管理者入力シート!$B$14=2,BO4*管理者用人口入力シート!AQ$8))</f>
        <v>208.8167503301259</v>
      </c>
      <c r="BQ7" s="10">
        <f>IF(管理者入力シート!$B$14=1,BP4*管理者用人口入力シート!AR$4,IF(管理者入力シート!$B$14=2,BP4*管理者用人口入力シート!AR$8))</f>
        <v>212.29157192880962</v>
      </c>
      <c r="BR7" s="10">
        <f>IF(管理者入力シート!$B$14=1,BQ4*管理者用人口入力シート!AS$4,IF(管理者入力シート!$B$14=2,BQ4*管理者用人口入力シート!AS$8))</f>
        <v>231.9409004617051</v>
      </c>
      <c r="BS7" s="10">
        <f>IF(管理者入力シート!$B$14=1,BR4*管理者用人口入力シート!AT$4,IF(管理者入力シート!$B$14=2,BR4*管理者用人口入力シート!AT$8))</f>
        <v>271.66104472294438</v>
      </c>
      <c r="BT7" s="10">
        <f>IF(管理者入力シート!$B$14=1,BS4*管理者用人口入力シート!AU$4,IF(管理者入力シート!$B$14=2,BS4*管理者用人口入力シート!AU$8))</f>
        <v>373.04700757614415</v>
      </c>
      <c r="BU7" s="10">
        <f>IF(管理者入力シート!$B$14=1,BT4*管理者用人口入力シート!AV$4,IF(管理者入力シート!$B$14=2,BT4*管理者用人口入力シート!AV$8))</f>
        <v>346.16548413253594</v>
      </c>
      <c r="BV7" s="10">
        <f>IF(管理者入力シート!$B$14=1,BU4*管理者用人口入力シート!AW$4,IF(管理者入力シート!$B$14=2,BU4*管理者用人口入力シート!AW$8))</f>
        <v>401.43070528488028</v>
      </c>
      <c r="BW7" s="10">
        <f>IF(管理者入力シート!$B$14=1,BV4*管理者用人口入力シート!AX$4,IF(管理者入力シート!$B$14=2,BV4*管理者用人口入力シート!AX$8))</f>
        <v>365.55149537482845</v>
      </c>
      <c r="BX7" s="10">
        <f>IF(管理者入力シート!$B$14=1,BW4*管理者用人口入力シート!AY$4,IF(管理者入力シート!$B$14=2,BW4*管理者用人口入力シート!AY$8))</f>
        <v>350.96843860495778</v>
      </c>
      <c r="BY7" s="10">
        <f>IF(管理者入力シート!$B$14=1,BX4*管理者用人口入力シート!AZ$4,IF(管理者入力シート!$B$14=2,BX4*管理者用人口入力シート!AZ$8))</f>
        <v>389.42422233848691</v>
      </c>
      <c r="BZ7" s="10">
        <f>IF(管理者入力シート!$B$14=1,BY4*管理者用人口入力シート!BA$4,IF(管理者入力シート!$B$14=2,BY4*管理者用人口入力シート!BA$8))</f>
        <v>414.4969460657324</v>
      </c>
      <c r="CA7" s="10">
        <f>IF(管理者入力シート!$B$14=1,BZ4*管理者用人口入力シート!BB$4,IF(管理者入力シート!$B$14=2,BZ4*管理者用人口入力シート!BB$8))</f>
        <v>411.25742722678598</v>
      </c>
      <c r="CB7" s="10">
        <f>IF(管理者入力シート!$B$14=1,CA4*管理者用人口入力シート!BC$4,IF(管理者入力シート!$B$14=2,CA4*管理者用人口入力シート!BC$8))</f>
        <v>265.21731210654548</v>
      </c>
      <c r="CC7" s="10">
        <f>IF(管理者入力シート!$B$14=1,CB4*管理者用人口入力シート!BD$4,IF(管理者入力シート!$B$14=2,CB4*管理者用人口入力シート!BD$8))</f>
        <v>149.93282874409158</v>
      </c>
      <c r="CD7" s="10">
        <f>IF(管理者入力シート!$B$14=1,CC4*管理者用人口入力シート!BE$4,IF(管理者入力シート!$B$14=2,CC4*管理者用人口入力シート!BE$8))</f>
        <v>58.057292790408582</v>
      </c>
      <c r="CE7" s="10">
        <f>IF(管理者入力シート!$B$14=1,CD4*管理者用人口入力シート!BF$4,IF(管理者入力シート!$B$14=2,CD4*管理者用人口入力シート!BF$8))</f>
        <v>12.378619571741442</v>
      </c>
      <c r="CF7" s="10">
        <f t="shared" si="2"/>
        <v>5536.467477083158</v>
      </c>
      <c r="CG7" s="10">
        <f t="shared" si="20"/>
        <v>255.40387368633156</v>
      </c>
      <c r="CH7" s="10">
        <f t="shared" si="21"/>
        <v>138.8961182178729</v>
      </c>
      <c r="CI7" s="10">
        <f t="shared" si="3"/>
        <v>2051.7330874487502</v>
      </c>
      <c r="CJ7" s="10">
        <f t="shared" si="22"/>
        <v>1311.3404265053057</v>
      </c>
      <c r="CK7" s="14">
        <f t="shared" si="23"/>
        <v>0.37058523254067571</v>
      </c>
      <c r="CL7" s="14">
        <f t="shared" si="24"/>
        <v>0.23685507626176366</v>
      </c>
      <c r="CM7" s="10">
        <f t="shared" si="25"/>
        <v>868.74990532124934</v>
      </c>
      <c r="CO7" s="7" t="str">
        <f t="shared" si="26"/>
        <v>2030_2</v>
      </c>
      <c r="CP7" s="29">
        <f>CP6</f>
        <v>2030</v>
      </c>
      <c r="CQ7" s="4" t="s">
        <v>22</v>
      </c>
      <c r="CR7" s="10">
        <f>DT7*$AK$14+将来予測シート②!$H17</f>
        <v>193.27542204786556</v>
      </c>
      <c r="CS7" s="10">
        <f>IF(管理者入力シート!$B$14=1,CR4*管理者用人口入力シート!AM$4,IF(管理者入力シート!$B$14=2,CR4*管理者用人口入力シート!AM$8))+将来予測シート②!$H18</f>
        <v>199.93604119249133</v>
      </c>
      <c r="CT7" s="10">
        <f>IF(管理者入力シート!$B$14=1,CS4*管理者用人口入力シート!AN$4,IF(管理者入力シート!$B$14=2,CS4*管理者用人口入力シート!AN$8))+将来予測シート②!$H19</f>
        <v>227.70562378004948</v>
      </c>
      <c r="CU7" s="10">
        <f>IF(管理者入力シート!$B$14=1,CT4*管理者用人口入力シート!AO$4,IF(管理者入力シート!$B$14=2,CT4*管理者用人口入力シート!AO$8))+将来予測シート②!$H20</f>
        <v>242.09354984670219</v>
      </c>
      <c r="CV7" s="10">
        <f>IF(管理者入力シート!$B$14=1,CU4*管理者用人口入力シート!AP$4,IF(管理者入力シート!$B$14=2,CU4*管理者用人口入力シート!AP$8))+将来予測シート②!$H21</f>
        <v>215.70068260060864</v>
      </c>
      <c r="CW7" s="10">
        <f>IF(管理者入力シート!$B$14=1,CV4*管理者用人口入力シート!AQ$4,IF(管理者入力シート!$B$14=2,CV4*管理者用人口入力シート!AQ$8))+将来予測シート②!$H22</f>
        <v>210.8167503301259</v>
      </c>
      <c r="CX7" s="10">
        <f>IF(管理者入力シート!$B$14=1,CW4*管理者用人口入力シート!AR$4,IF(管理者入力シート!$B$14=2,CW4*管理者用人口入力シート!AR$8))+将来予測シート②!$H23</f>
        <v>214.32760471076128</v>
      </c>
      <c r="CY7" s="10">
        <f>IF(管理者入力シート!$B$14=1,CX4*管理者用人口入力シート!AS$4,IF(管理者入力シート!$B$14=2,CX4*管理者用人口入力シート!AS$8))+将来予測シート②!$H24</f>
        <v>231.9409004617051</v>
      </c>
      <c r="CZ7" s="10">
        <f>IF(管理者入力シート!$B$14=1,CY4*管理者用人口入力シート!AT$4,IF(管理者入力シート!$B$14=2,CY4*管理者用人口入力シート!AT$8))+将来予測シート②!$H25</f>
        <v>272.66104472294438</v>
      </c>
      <c r="DA7" s="10">
        <f>IF(管理者入力シート!$B$14=1,CZ4*管理者用人口入力シート!AU$4,IF(管理者入力シート!$B$14=2,CZ4*管理者用人口入力シート!AU$8))+将来予測シート②!$H26</f>
        <v>374.07672755111315</v>
      </c>
      <c r="DB7" s="10">
        <f>IF(管理者入力シート!$B$14=1,DA4*管理者用人口入力シート!AV$4,IF(管理者入力シート!$B$14=2,DA4*管理者用人口入力シート!AV$8))+将来予測シート②!$H27</f>
        <v>346.16548413253594</v>
      </c>
      <c r="DC7" s="10">
        <f>IF(管理者入力シート!$B$14=1,DB4*管理者用人口入力シート!AW$4,IF(管理者入力シート!$B$14=2,DB4*管理者用人口入力シート!AW$8))+将来予測シート②!$H28</f>
        <v>401.43070528488028</v>
      </c>
      <c r="DD7" s="10">
        <f>IF(管理者入力シート!$B$14=1,DC4*管理者用人口入力シート!AX$4,IF(管理者入力シート!$B$14=2,DC4*管理者用人口入力シート!AX$8))+将来予測シート②!$H29</f>
        <v>365.55149537482845</v>
      </c>
      <c r="DE7" s="10">
        <f>IF(管理者入力シート!$B$14=1,DD4*管理者用人口入力シート!AY$4,IF(管理者入力シート!$B$14=2,DD4*管理者用人口入力シート!AY$8))</f>
        <v>350.96843860495778</v>
      </c>
      <c r="DF7" s="10">
        <f>IF(管理者入力シート!$B$14=1,DE4*管理者用人口入力シート!AZ$4,IF(管理者入力シート!$B$14=2,DE4*管理者用人口入力シート!AZ$8))</f>
        <v>389.42422233848691</v>
      </c>
      <c r="DG7" s="10">
        <f>IF(管理者入力シート!$B$14=1,DF4*管理者用人口入力シート!BA$4,IF(管理者入力シート!$B$14=2,DF4*管理者用人口入力シート!BA$8))</f>
        <v>414.4969460657324</v>
      </c>
      <c r="DH7" s="10">
        <f>IF(管理者入力シート!$B$14=1,DG4*管理者用人口入力シート!BB$4,IF(管理者入力シート!$B$14=2,DG4*管理者用人口入力シート!BB$8))</f>
        <v>411.25742722678598</v>
      </c>
      <c r="DI7" s="10">
        <f>IF(管理者入力シート!$B$14=1,DH4*管理者用人口入力シート!BC$4,IF(管理者入力シート!$B$14=2,DH4*管理者用人口入力シート!BC$8))</f>
        <v>265.21731210654548</v>
      </c>
      <c r="DJ7" s="10">
        <f>IF(管理者入力シート!$B$14=1,DI4*管理者用人口入力シート!BD$4,IF(管理者入力シート!$B$14=2,DI4*管理者用人口入力シート!BD$8))</f>
        <v>149.93282874409158</v>
      </c>
      <c r="DK7" s="10">
        <f>IF(管理者入力シート!$B$14=1,DJ4*管理者用人口入力シート!BE$4,IF(管理者入力シート!$B$14=2,DJ4*管理者用人口入力シート!BE$8))</f>
        <v>58.057292790408582</v>
      </c>
      <c r="DL7" s="10">
        <f>IF(管理者入力シート!$B$14=1,DK4*管理者用人口入力シート!BF$4,IF(管理者入力シート!$B$14=2,DK4*管理者用人口入力シート!BF$8))</f>
        <v>12.378619571741442</v>
      </c>
      <c r="DM7" s="10">
        <f t="shared" si="69"/>
        <v>5547.4151194853603</v>
      </c>
      <c r="DN7" s="10">
        <f t="shared" si="34"/>
        <v>256.58499898352449</v>
      </c>
      <c r="DO7" s="10">
        <f t="shared" si="35"/>
        <v>139.50095948136021</v>
      </c>
      <c r="DP7" s="10">
        <f t="shared" si="6"/>
        <v>2051.7330874487502</v>
      </c>
      <c r="DQ7" s="10">
        <f t="shared" si="36"/>
        <v>1311.3404265053057</v>
      </c>
      <c r="DR7" s="14">
        <f t="shared" si="37"/>
        <v>0.36985389469809349</v>
      </c>
      <c r="DS7" s="14">
        <f t="shared" si="38"/>
        <v>0.23638765051117361</v>
      </c>
      <c r="DT7" s="10">
        <f t="shared" si="70"/>
        <v>872.78593810320103</v>
      </c>
      <c r="DV7" s="7" t="s">
        <v>401</v>
      </c>
      <c r="DW7" s="210">
        <f>(SUM(BK12:BW12)-SUM(D12:P12))/4</f>
        <v>-219.8409634680869</v>
      </c>
      <c r="DX7" s="29">
        <f>DX6</f>
        <v>2030</v>
      </c>
      <c r="DY7" s="4" t="s">
        <v>22</v>
      </c>
      <c r="DZ7" s="10">
        <f>FB7*$AK$14</f>
        <v>276.44482693902057</v>
      </c>
      <c r="EA7" s="10">
        <f>IF(管理者入力シート!$B$14=1,DZ4*管理者用人口入力シート!AM$4,IF(管理者入力シート!$B$14=2,DZ4*管理者用人口入力シート!AM$8))</f>
        <v>198.96749903050312</v>
      </c>
      <c r="EB7" s="10">
        <f>IF(管理者入力シート!$B$14=1,EA4*管理者用人口入力シート!AN$4,IF(管理者入力シート!$B$14=2,EA4*管理者用人口入力シート!AN$8))</f>
        <v>226.70562378004948</v>
      </c>
      <c r="EC7" s="10">
        <f>IF(管理者入力シート!$B$14=1,EB4*管理者用人口入力シート!AO$4,IF(管理者入力シート!$B$14=2,EB4*管理者用人口入力シート!AO$8))</f>
        <v>241.06934352926555</v>
      </c>
      <c r="ED7" s="10">
        <f>IF(管理者入力シート!$B$14=1,EC4*管理者用人口入力シート!AP$4,IF(管理者入力シート!$B$14=2,EC4*管理者用人口入力シート!AP$8))</f>
        <v>215.70068260060864</v>
      </c>
      <c r="EE7" s="10">
        <f>IF(管理者入力シート!$B$14=1,ED4*管理者用人口入力シート!AQ$4,IF(管理者入力シート!$B$14=2,ED4*管理者用人口入力シート!AQ$8))+DX1</f>
        <v>286.8167503301259</v>
      </c>
      <c r="EF7" s="10">
        <f>IF(管理者入力シート!$B$14=1,EE4*管理者用人口入力シート!AR$4,IF(管理者入力シート!$B$14=2,EE4*管理者用人口入力シート!AR$8))+DX1</f>
        <v>369.69685042492466</v>
      </c>
      <c r="EG7" s="10">
        <f>IF(管理者入力シート!$B$14=1,EF4*管理者用人口入力シート!AS$4,IF(管理者入力シート!$B$14=2,EF4*管理者用人口入力シート!AS$8))+DX1</f>
        <v>382.63750708111297</v>
      </c>
      <c r="EH7" s="10">
        <f>IF(管理者入力シート!$B$14=1,EG4*管理者用人口入力シート!AT$4,IF(管理者入力シート!$B$14=2,EG4*管理者用人口入力シート!AT$8))</f>
        <v>352.57231351462769</v>
      </c>
      <c r="EI7" s="10">
        <f>IF(管理者入力シート!$B$14=1,EH4*管理者用人口入力シート!AU$4,IF(管理者入力シート!$B$14=2,EH4*管理者用人口入力シート!AU$8))</f>
        <v>373.04700757614415</v>
      </c>
      <c r="EJ7" s="10">
        <f>IF(管理者入力シート!$B$14=1,EI4*管理者用人口入力シート!AV$4,IF(管理者入力シート!$B$14=2,EI4*管理者用人口入力シート!AV$8))</f>
        <v>346.16548413253594</v>
      </c>
      <c r="EK7" s="10">
        <f>IF(管理者入力シート!$B$14=1,EJ4*管理者用人口入力シート!AW$4,IF(管理者入力シート!$B$14=2,EJ4*管理者用人口入力シート!AW$8))</f>
        <v>401.43070528488028</v>
      </c>
      <c r="EL7" s="10">
        <f>IF(管理者入力シート!$B$14=1,EK4*管理者用人口入力シート!AX$4,IF(管理者入力シート!$B$14=2,EK4*管理者用人口入力シート!AX$8))</f>
        <v>365.55149537482845</v>
      </c>
      <c r="EM7" s="10">
        <f>IF(管理者入力シート!$B$14=1,EL4*管理者用人口入力シート!AY$4,IF(管理者入力シート!$B$14=2,EL4*管理者用人口入力シート!AY$8))</f>
        <v>350.96843860495778</v>
      </c>
      <c r="EN7" s="10">
        <f>IF(管理者入力シート!$B$14=1,EM4*管理者用人口入力シート!AZ$4,IF(管理者入力シート!$B$14=2,EM4*管理者用人口入力シート!AZ$8))</f>
        <v>389.42422233848691</v>
      </c>
      <c r="EO7" s="10">
        <f>IF(管理者入力シート!$B$14=1,EN4*管理者用人口入力シート!BA$4,IF(管理者入力シート!$B$14=2,EN4*管理者用人口入力シート!BA$8))</f>
        <v>414.4969460657324</v>
      </c>
      <c r="EP7" s="10">
        <f>IF(管理者入力シート!$B$14=1,EO4*管理者用人口入力シート!BB$4,IF(管理者入力シート!$B$14=2,EO4*管理者用人口入力シート!BB$8))</f>
        <v>411.25742722678598</v>
      </c>
      <c r="EQ7" s="10">
        <f>IF(管理者入力シート!$B$14=1,EP4*管理者用人口入力シート!BC$4,IF(管理者入力シート!$B$14=2,EP4*管理者用人口入力シート!BC$8))</f>
        <v>265.21731210654548</v>
      </c>
      <c r="ER7" s="10">
        <f>IF(管理者入力シート!$B$14=1,EQ4*管理者用人口入力シート!BD$4,IF(管理者入力シート!$B$14=2,EQ4*管理者用人口入力シート!BD$8))</f>
        <v>149.93282874409158</v>
      </c>
      <c r="ES7" s="10">
        <f>IF(管理者入力シート!$B$14=1,ER4*管理者用人口入力シート!BE$4,IF(管理者入力シート!$B$14=2,ER4*管理者用人口入力シート!BE$8))</f>
        <v>58.057292790408582</v>
      </c>
      <c r="ET7" s="10">
        <f>IF(管理者入力シート!$B$14=1,ES4*管理者用人口入力シート!BF$4,IF(管理者入力シート!$B$14=2,ES4*管理者用人口入力シート!BF$8))</f>
        <v>12.378619571741442</v>
      </c>
      <c r="EU7" s="10">
        <f t="shared" si="71"/>
        <v>6088.5391770473761</v>
      </c>
      <c r="EV7" s="10">
        <f t="shared" si="41"/>
        <v>255.40387368633156</v>
      </c>
      <c r="EW7" s="10">
        <f t="shared" si="42"/>
        <v>138.8961182178729</v>
      </c>
      <c r="EX7" s="10">
        <f t="shared" si="10"/>
        <v>2051.7330874487502</v>
      </c>
      <c r="EY7" s="10">
        <f t="shared" si="43"/>
        <v>1311.3404265053057</v>
      </c>
      <c r="EZ7" s="14">
        <f t="shared" si="44"/>
        <v>0.3369828176820131</v>
      </c>
      <c r="FA7" s="14">
        <f t="shared" si="45"/>
        <v>0.21537849858120439</v>
      </c>
      <c r="FB7" s="10">
        <f t="shared" si="72"/>
        <v>1254.8517904367723</v>
      </c>
    </row>
    <row r="8" spans="1:158" x14ac:dyDescent="0.15">
      <c r="A8" s="7" t="str">
        <f t="shared" si="11"/>
        <v>2010_3</v>
      </c>
      <c r="B8" s="30">
        <v>2010</v>
      </c>
      <c r="C8" s="5" t="s">
        <v>23</v>
      </c>
      <c r="D8" s="11">
        <v>524.8775372082473</v>
      </c>
      <c r="E8" s="11">
        <v>515.14434469009689</v>
      </c>
      <c r="F8" s="11">
        <v>557.06592163218886</v>
      </c>
      <c r="G8" s="11">
        <v>558.98636839246308</v>
      </c>
      <c r="H8" s="11">
        <v>495.28349175597884</v>
      </c>
      <c r="I8" s="11">
        <v>695.62057081471721</v>
      </c>
      <c r="J8" s="11">
        <v>699.36070519913812</v>
      </c>
      <c r="K8" s="11">
        <v>780.10823549695215</v>
      </c>
      <c r="L8" s="11">
        <v>699.60131152193787</v>
      </c>
      <c r="M8" s="11">
        <v>692.23602400234984</v>
      </c>
      <c r="N8" s="11">
        <v>804.00117666295603</v>
      </c>
      <c r="O8" s="11">
        <v>907.74629658632307</v>
      </c>
      <c r="P8" s="11">
        <v>1088.7100915024193</v>
      </c>
      <c r="Q8" s="11">
        <v>858.34657318263567</v>
      </c>
      <c r="R8" s="11">
        <v>854.92881917985949</v>
      </c>
      <c r="S8" s="11">
        <v>823.18214063040068</v>
      </c>
      <c r="T8" s="11">
        <v>647.76298957317215</v>
      </c>
      <c r="U8" s="11">
        <v>362.99666088700309</v>
      </c>
      <c r="V8" s="11">
        <v>158.83865017348279</v>
      </c>
      <c r="W8" s="11">
        <v>40.17717352364582</v>
      </c>
      <c r="X8" s="11">
        <v>3.0249173840316592</v>
      </c>
      <c r="Y8" s="11">
        <f t="shared" si="68"/>
        <v>12767.999999999998</v>
      </c>
      <c r="Z8" s="11">
        <f t="shared" si="12"/>
        <v>643.32615979337152</v>
      </c>
      <c r="AA8" s="11">
        <f t="shared" si="13"/>
        <v>334.62364233136816</v>
      </c>
      <c r="AB8" s="11">
        <f t="shared" si="0"/>
        <v>3749.2579245342308</v>
      </c>
      <c r="AC8" s="11">
        <f t="shared" si="14"/>
        <v>2035.9825321717362</v>
      </c>
      <c r="AD8" s="15">
        <f t="shared" si="15"/>
        <v>0.29364488757316975</v>
      </c>
      <c r="AE8" s="15">
        <f t="shared" si="16"/>
        <v>0.15945978478788664</v>
      </c>
      <c r="AF8" s="11">
        <f t="shared" si="17"/>
        <v>2670.3730032667863</v>
      </c>
      <c r="AH8" s="7"/>
      <c r="AI8" s="30" t="s">
        <v>88</v>
      </c>
      <c r="AJ8" s="5">
        <f>AJ7</f>
        <v>2010</v>
      </c>
      <c r="AK8" s="5">
        <f>AK7</f>
        <v>2020</v>
      </c>
      <c r="AL8" s="33" t="s">
        <v>22</v>
      </c>
      <c r="AM8" s="47">
        <f t="shared" si="73"/>
        <v>0.96854216198822396</v>
      </c>
      <c r="AN8" s="47">
        <f t="shared" si="73"/>
        <v>0.97690057013409703</v>
      </c>
      <c r="AO8" s="47">
        <f t="shared" si="73"/>
        <v>1.0242063174366269</v>
      </c>
      <c r="AP8" s="47">
        <f t="shared" si="73"/>
        <v>0.81982665311210767</v>
      </c>
      <c r="AQ8" s="47">
        <f t="shared" si="73"/>
        <v>0.97937269133943117</v>
      </c>
      <c r="AR8" s="47">
        <f t="shared" si="73"/>
        <v>1.0180163909758346</v>
      </c>
      <c r="AS8" s="47">
        <f t="shared" si="73"/>
        <v>0.93200777717189565</v>
      </c>
      <c r="AT8" s="47">
        <f t="shared" si="73"/>
        <v>1.0373239588677348</v>
      </c>
      <c r="AU8" s="47">
        <f t="shared" si="73"/>
        <v>1.0297199749689496</v>
      </c>
      <c r="AV8" s="47">
        <f t="shared" si="73"/>
        <v>0.98178486868082626</v>
      </c>
      <c r="AW8" s="47">
        <f t="shared" si="73"/>
        <v>1.0274398278434649</v>
      </c>
      <c r="AX8" s="47">
        <f t="shared" si="73"/>
        <v>0.96136466647865948</v>
      </c>
      <c r="AY8" s="47">
        <f t="shared" si="73"/>
        <v>0.97853852872260505</v>
      </c>
      <c r="AZ8" s="47">
        <f t="shared" si="73"/>
        <v>0.99150906320570242</v>
      </c>
      <c r="BA8" s="47">
        <f t="shared" si="73"/>
        <v>0.90102322809178026</v>
      </c>
      <c r="BB8" s="47">
        <f t="shared" si="73"/>
        <v>0.85293521741869582</v>
      </c>
      <c r="BC8" s="47">
        <f t="shared" si="73"/>
        <v>0.74990604288979235</v>
      </c>
      <c r="BD8" s="47">
        <f t="shared" si="73"/>
        <v>0.55246827506616536</v>
      </c>
      <c r="BE8" s="47">
        <f t="shared" si="73"/>
        <v>0.32343759064710814</v>
      </c>
      <c r="BF8" s="47">
        <f t="shared" si="73"/>
        <v>0.20675959593034013</v>
      </c>
      <c r="BH8" s="7" t="str">
        <f t="shared" si="19"/>
        <v>2030_3</v>
      </c>
      <c r="BI8" s="30">
        <f>BI7</f>
        <v>2030</v>
      </c>
      <c r="BJ8" s="5" t="s">
        <v>23</v>
      </c>
      <c r="BK8" s="16">
        <f>BK6+BK7</f>
        <v>387.72717121670598</v>
      </c>
      <c r="BL8" s="16">
        <f t="shared" ref="BL8" si="74">BL6+BL7</f>
        <v>406.22065948272962</v>
      </c>
      <c r="BM8" s="16">
        <f t="shared" ref="BM8" si="75">BM6+BM7</f>
        <v>473.99179817788831</v>
      </c>
      <c r="BN8" s="16">
        <f t="shared" ref="BN8" si="76">BN6+BN7</f>
        <v>455.30286714378906</v>
      </c>
      <c r="BO8" s="16">
        <f t="shared" ref="BO8" si="77">BO6+BO7</f>
        <v>368.89402187230326</v>
      </c>
      <c r="BP8" s="16">
        <f t="shared" ref="BP8" si="78">BP6+BP7</f>
        <v>425.28855868363888</v>
      </c>
      <c r="BQ8" s="16">
        <f t="shared" ref="BQ8" si="79">BQ6+BQ7</f>
        <v>439.73713546539773</v>
      </c>
      <c r="BR8" s="16">
        <f t="shared" ref="BR8" si="80">BR6+BR7</f>
        <v>496.22594163492181</v>
      </c>
      <c r="BS8" s="16">
        <f t="shared" ref="BS8" si="81">BS6+BS7</f>
        <v>552.5803042607306</v>
      </c>
      <c r="BT8" s="16">
        <f t="shared" ref="BT8" si="82">BT6+BT7</f>
        <v>684.35892804691753</v>
      </c>
      <c r="BU8" s="16">
        <f t="shared" ref="BU8" si="83">BU6+BU7</f>
        <v>685.92381688219939</v>
      </c>
      <c r="BV8" s="16">
        <f t="shared" ref="BV8" si="84">BV6+BV7</f>
        <v>811.12225756744215</v>
      </c>
      <c r="BW8" s="16">
        <f t="shared" ref="BW8" si="85">BW6+BW7</f>
        <v>698.05050618553355</v>
      </c>
      <c r="BX8" s="16">
        <f t="shared" ref="BX8" si="86">BX6+BX7</f>
        <v>647.5715016532057</v>
      </c>
      <c r="BY8" s="16">
        <f t="shared" ref="BY8" si="87">BY6+BY7</f>
        <v>699.25152345009371</v>
      </c>
      <c r="BZ8" s="16">
        <f t="shared" ref="BZ8" si="88">BZ6+BZ7</f>
        <v>709.18067972998426</v>
      </c>
      <c r="CA8" s="16">
        <f t="shared" ref="CA8" si="89">CA6+CA7</f>
        <v>727.76595477452315</v>
      </c>
      <c r="CB8" s="16">
        <f t="shared" ref="CB8" si="90">CB6+CB7</f>
        <v>414.33095752709289</v>
      </c>
      <c r="CC8" s="16">
        <f t="shared" ref="CC8" si="91">CC6+CC7</f>
        <v>237.88392649478212</v>
      </c>
      <c r="CD8" s="16">
        <f t="shared" ref="CD8" si="92">CD6+CD7</f>
        <v>76.45965480319046</v>
      </c>
      <c r="CE8" s="16">
        <f t="shared" ref="CE8" si="93">CE6+CE7</f>
        <v>16.224205414100091</v>
      </c>
      <c r="CF8" s="11">
        <f t="shared" si="2"/>
        <v>10414.092370467171</v>
      </c>
      <c r="CG8" s="11">
        <f t="shared" si="20"/>
        <v>528.1274745963708</v>
      </c>
      <c r="CH8" s="11">
        <f t="shared" si="21"/>
        <v>280.65729269991311</v>
      </c>
      <c r="CI8" s="11">
        <f t="shared" si="3"/>
        <v>3528.6684038469721</v>
      </c>
      <c r="CJ8" s="11">
        <f t="shared" si="22"/>
        <v>2181.8453787436729</v>
      </c>
      <c r="CK8" s="15">
        <f t="shared" si="23"/>
        <v>0.33883590411140913</v>
      </c>
      <c r="CL8" s="15">
        <f t="shared" si="24"/>
        <v>0.20950893281214447</v>
      </c>
      <c r="CM8" s="11">
        <f t="shared" si="25"/>
        <v>1730.1456576562616</v>
      </c>
      <c r="CO8" s="7" t="str">
        <f t="shared" si="26"/>
        <v>2030_3</v>
      </c>
      <c r="CP8" s="30">
        <f>CP7</f>
        <v>2030</v>
      </c>
      <c r="CQ8" s="5" t="s">
        <v>23</v>
      </c>
      <c r="CR8" s="16">
        <f>CR6+CR7</f>
        <v>391.5284716414875</v>
      </c>
      <c r="CS8" s="16">
        <f t="shared" ref="CS8" si="94">CS6+CS7</f>
        <v>408.17261838965447</v>
      </c>
      <c r="CT8" s="16">
        <f t="shared" ref="CT8" si="95">CT6+CT7</f>
        <v>475.99179817788831</v>
      </c>
      <c r="CU8" s="16">
        <f t="shared" ref="CU8" si="96">CU6+CU7</f>
        <v>457.12691092167347</v>
      </c>
      <c r="CV8" s="16">
        <f t="shared" ref="CV8" si="97">CV6+CV7</f>
        <v>368.89402187230326</v>
      </c>
      <c r="CW8" s="16">
        <f t="shared" ref="CW8" si="98">CW6+CW7</f>
        <v>429.28855868363888</v>
      </c>
      <c r="CX8" s="16">
        <f t="shared" ref="CX8" si="99">CX6+CX7</f>
        <v>443.72653776247978</v>
      </c>
      <c r="CY8" s="16">
        <f t="shared" ref="CY8" si="100">CY6+CY7</f>
        <v>496.22594163492181</v>
      </c>
      <c r="CZ8" s="16">
        <f t="shared" ref="CZ8" si="101">CZ6+CZ7</f>
        <v>553.5803042607306</v>
      </c>
      <c r="DA8" s="16">
        <f t="shared" ref="DA8" si="102">DA6+DA7</f>
        <v>685.38864802188641</v>
      </c>
      <c r="DB8" s="16">
        <f t="shared" ref="DB8" si="103">DB6+DB7</f>
        <v>685.92381688219939</v>
      </c>
      <c r="DC8" s="16">
        <f t="shared" ref="DC8" si="104">DC6+DC7</f>
        <v>811.12225756744215</v>
      </c>
      <c r="DD8" s="16">
        <f t="shared" ref="DD8" si="105">DD6+DD7</f>
        <v>698.05050618553355</v>
      </c>
      <c r="DE8" s="16">
        <f t="shared" ref="DE8" si="106">DE6+DE7</f>
        <v>647.5715016532057</v>
      </c>
      <c r="DF8" s="16">
        <f t="shared" ref="DF8" si="107">DF6+DF7</f>
        <v>699.25152345009371</v>
      </c>
      <c r="DG8" s="16">
        <f t="shared" ref="DG8" si="108">DG6+DG7</f>
        <v>709.18067972998426</v>
      </c>
      <c r="DH8" s="16">
        <f t="shared" ref="DH8" si="109">DH6+DH7</f>
        <v>727.76595477452315</v>
      </c>
      <c r="DI8" s="16">
        <f t="shared" ref="DI8" si="110">DI6+DI7</f>
        <v>414.33095752709289</v>
      </c>
      <c r="DJ8" s="16">
        <f t="shared" ref="DJ8" si="111">DJ6+DJ7</f>
        <v>237.88392649478212</v>
      </c>
      <c r="DK8" s="16">
        <f t="shared" ref="DK8" si="112">DK6+DK7</f>
        <v>76.45965480319046</v>
      </c>
      <c r="DL8" s="16">
        <f t="shared" ref="DL8" si="113">DL6+DL7</f>
        <v>16.224205414100091</v>
      </c>
      <c r="DM8" s="11">
        <f t="shared" si="69"/>
        <v>10433.688795848813</v>
      </c>
      <c r="DN8" s="11">
        <f t="shared" si="34"/>
        <v>530.49864994052564</v>
      </c>
      <c r="DO8" s="11">
        <f t="shared" si="35"/>
        <v>281.82210145549004</v>
      </c>
      <c r="DP8" s="11">
        <f t="shared" si="6"/>
        <v>3528.6684038469721</v>
      </c>
      <c r="DQ8" s="11">
        <f t="shared" si="36"/>
        <v>2181.8453787436729</v>
      </c>
      <c r="DR8" s="15">
        <f t="shared" si="37"/>
        <v>0.33819950670283566</v>
      </c>
      <c r="DS8" s="15">
        <f t="shared" si="38"/>
        <v>0.20911543572315</v>
      </c>
      <c r="DT8" s="11">
        <f t="shared" si="70"/>
        <v>1738.1350599533437</v>
      </c>
      <c r="DV8" s="7" t="s">
        <v>402</v>
      </c>
      <c r="DW8" s="210">
        <f>(SUM(BK13:BW13)-SUM(D13:P13))/4</f>
        <v>-249.12412989181166</v>
      </c>
      <c r="DX8" s="30">
        <f>DX7</f>
        <v>2030</v>
      </c>
      <c r="DY8" s="5" t="s">
        <v>23</v>
      </c>
      <c r="DZ8" s="16">
        <f>DZ6+DZ7</f>
        <v>560.04625959913517</v>
      </c>
      <c r="EA8" s="16">
        <f t="shared" ref="EA8:ET8" si="114">EA6+EA7</f>
        <v>406.22065948272962</v>
      </c>
      <c r="EB8" s="16">
        <f t="shared" si="114"/>
        <v>473.99179817788831</v>
      </c>
      <c r="EC8" s="16">
        <f t="shared" si="114"/>
        <v>455.30286714378906</v>
      </c>
      <c r="ED8" s="16">
        <f t="shared" si="114"/>
        <v>368.89402187230326</v>
      </c>
      <c r="EE8" s="16">
        <f t="shared" si="114"/>
        <v>581.28855868363894</v>
      </c>
      <c r="EF8" s="16">
        <f t="shared" si="114"/>
        <v>751.32382505159717</v>
      </c>
      <c r="EG8" s="16">
        <f t="shared" si="114"/>
        <v>799.95359347367639</v>
      </c>
      <c r="EH8" s="16">
        <f t="shared" si="114"/>
        <v>711.90884594035083</v>
      </c>
      <c r="EI8" s="16">
        <f t="shared" si="114"/>
        <v>684.35892804691753</v>
      </c>
      <c r="EJ8" s="16">
        <f t="shared" si="114"/>
        <v>685.92381688219939</v>
      </c>
      <c r="EK8" s="16">
        <f t="shared" si="114"/>
        <v>811.12225756744215</v>
      </c>
      <c r="EL8" s="16">
        <f t="shared" si="114"/>
        <v>698.05050618553355</v>
      </c>
      <c r="EM8" s="16">
        <f t="shared" si="114"/>
        <v>647.5715016532057</v>
      </c>
      <c r="EN8" s="16">
        <f t="shared" si="114"/>
        <v>699.25152345009371</v>
      </c>
      <c r="EO8" s="16">
        <f t="shared" si="114"/>
        <v>709.18067972998426</v>
      </c>
      <c r="EP8" s="16">
        <f t="shared" si="114"/>
        <v>727.76595477452315</v>
      </c>
      <c r="EQ8" s="16">
        <f t="shared" si="114"/>
        <v>414.33095752709289</v>
      </c>
      <c r="ER8" s="16">
        <f t="shared" si="114"/>
        <v>237.88392649478212</v>
      </c>
      <c r="ES8" s="16">
        <f t="shared" si="114"/>
        <v>76.45965480319046</v>
      </c>
      <c r="ET8" s="16">
        <f t="shared" si="114"/>
        <v>16.224205414100091</v>
      </c>
      <c r="EU8" s="11">
        <f t="shared" si="71"/>
        <v>11517.054341954174</v>
      </c>
      <c r="EV8" s="11">
        <f t="shared" si="41"/>
        <v>528.1274745963708</v>
      </c>
      <c r="EW8" s="11">
        <f t="shared" si="42"/>
        <v>280.65729269991311</v>
      </c>
      <c r="EX8" s="11">
        <f t="shared" si="10"/>
        <v>3528.6684038469721</v>
      </c>
      <c r="EY8" s="11">
        <f t="shared" si="43"/>
        <v>2181.8453787436729</v>
      </c>
      <c r="EZ8" s="15">
        <f t="shared" si="44"/>
        <v>0.30638636400218983</v>
      </c>
      <c r="FA8" s="15">
        <f t="shared" si="45"/>
        <v>0.18944474116056528</v>
      </c>
      <c r="FB8" s="11">
        <f t="shared" si="72"/>
        <v>2501.4599990812158</v>
      </c>
    </row>
    <row r="9" spans="1:158" x14ac:dyDescent="0.15">
      <c r="A9" s="7" t="str">
        <f t="shared" si="11"/>
        <v>2015_1</v>
      </c>
      <c r="B9" s="28">
        <v>2015</v>
      </c>
      <c r="C9" s="3" t="s">
        <v>21</v>
      </c>
      <c r="D9" s="9">
        <v>243.75512131135412</v>
      </c>
      <c r="E9" s="9">
        <v>243.91739748476323</v>
      </c>
      <c r="F9" s="9">
        <v>255.79200629698235</v>
      </c>
      <c r="G9" s="9">
        <v>224.40914364393709</v>
      </c>
      <c r="H9" s="9">
        <v>192.13473788643182</v>
      </c>
      <c r="I9" s="9">
        <v>304.76453095634469</v>
      </c>
      <c r="J9" s="9">
        <v>326.26400161866934</v>
      </c>
      <c r="K9" s="9">
        <v>338.81034517039404</v>
      </c>
      <c r="L9" s="9">
        <v>412.65607387160691</v>
      </c>
      <c r="M9" s="9">
        <v>332.09021688648761</v>
      </c>
      <c r="N9" s="9">
        <v>319.45265723640546</v>
      </c>
      <c r="O9" s="9">
        <v>379.7905037818627</v>
      </c>
      <c r="P9" s="9">
        <v>420.99979317564157</v>
      </c>
      <c r="Q9" s="9">
        <v>504.64090923400005</v>
      </c>
      <c r="R9" s="9">
        <v>345.76434663745414</v>
      </c>
      <c r="S9" s="9">
        <v>325.96748532493018</v>
      </c>
      <c r="T9" s="9">
        <v>231.721341956099</v>
      </c>
      <c r="U9" s="9">
        <v>136.57481853529913</v>
      </c>
      <c r="V9" s="9">
        <v>45.377831040622432</v>
      </c>
      <c r="W9" s="9">
        <v>9.0998840181300729</v>
      </c>
      <c r="X9" s="9">
        <v>1.0168539325842696</v>
      </c>
      <c r="Y9" s="9">
        <f t="shared" si="68"/>
        <v>5595.0000000000009</v>
      </c>
      <c r="Z9" s="9">
        <f t="shared" si="12"/>
        <v>299.82564226904731</v>
      </c>
      <c r="AA9" s="9">
        <f t="shared" si="13"/>
        <v>147.19863124758035</v>
      </c>
      <c r="AB9" s="9">
        <f t="shared" si="0"/>
        <v>1600.1634706791192</v>
      </c>
      <c r="AC9" s="9">
        <f t="shared" si="14"/>
        <v>749.75821480766513</v>
      </c>
      <c r="AD9" s="13">
        <f t="shared" si="15"/>
        <v>0.28599883300788542</v>
      </c>
      <c r="AE9" s="13">
        <f t="shared" si="16"/>
        <v>0.13400504286106613</v>
      </c>
      <c r="AF9" s="9">
        <f t="shared" si="17"/>
        <v>1161.9736156318399</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185.17014821337216</v>
      </c>
      <c r="BL9" s="9">
        <f>IF(管理者入力シート!$B$14=1,BK6*管理者用人口入力シート!AM$3,IF(管理者入力シート!$B$14=2,BK6*管理者用人口入力シート!AM$7))</f>
        <v>193.0849192709118</v>
      </c>
      <c r="BM9" s="9">
        <f>IF(管理者入力シート!$B$14=1,BL6*管理者用人口入力シート!AN$3,IF(管理者入力シート!$B$14=2,BL6*管理者用人口入力シート!AN$7))</f>
        <v>212.01668823012329</v>
      </c>
      <c r="BN9" s="9">
        <f>IF(管理者入力シート!$B$14=1,BM6*管理者用人口入力シート!AO$3,IF(管理者入力シート!$B$14=2,BM6*管理者用人口入力シート!AO$7))</f>
        <v>197.78874573420794</v>
      </c>
      <c r="BO9" s="9">
        <f>IF(管理者入力シート!$B$14=1,BN6*管理者用人口入力シート!AP$3,IF(管理者入力シート!$B$14=2,BN6*管理者用人口入力シート!AP$7))</f>
        <v>158.13628749227161</v>
      </c>
      <c r="BP9" s="9">
        <f>IF(管理者入力シート!$B$14=1,BO6*管理者用人口入力シート!AQ$3,IF(管理者入力シート!$B$14=2,BO6*管理者用人口入力シート!AQ$7))</f>
        <v>217.58824108635915</v>
      </c>
      <c r="BQ9" s="9">
        <f>IF(管理者入力シート!$B$14=1,BP6*管理者用人口入力シート!AR$3,IF(管理者入力シート!$B$14=2,BP6*管理者用人口入力シート!AR$7))</f>
        <v>211.42471566144789</v>
      </c>
      <c r="BR9" s="9">
        <f>IF(管理者入力シート!$B$14=1,BQ6*管理者用人口入力シート!AS$3,IF(管理者入力シート!$B$14=2,BQ6*管理者用人口入力シート!AS$7))</f>
        <v>218.7881841365836</v>
      </c>
      <c r="BS9" s="9">
        <f>IF(管理者入力シート!$B$14=1,BR6*管理者用人口入力シート!AT$3,IF(管理者入力シート!$B$14=2,BR6*管理者用人口入力シート!AT$7))</f>
        <v>265.69887428051032</v>
      </c>
      <c r="BT9" s="9">
        <f>IF(管理者入力シート!$B$14=1,BS6*管理者用人口入力シート!AU$3,IF(管理者入力シート!$B$14=2,BS6*管理者用人口入力シート!AU$7))</f>
        <v>279.89608893631458</v>
      </c>
      <c r="BU9" s="9">
        <f>IF(管理者入力シート!$B$14=1,BT6*管理者用人口入力シート!AV$3,IF(管理者入力シート!$B$14=2,BT6*管理者用人口入力シート!AV$7))</f>
        <v>317.77555578842805</v>
      </c>
      <c r="BV9" s="9">
        <f>IF(管理者入力シート!$B$14=1,BU6*管理者用人口入力シート!AW$3,IF(管理者入力シート!$B$14=2,BU6*管理者用人口入力シート!AW$7))</f>
        <v>334.90230248238862</v>
      </c>
      <c r="BW9" s="9">
        <f>IF(管理者入力シート!$B$14=1,BV6*管理者用人口入力シート!AX$3,IF(管理者入力シート!$B$14=2,BV6*管理者用人口入力シート!AX$7))</f>
        <v>404.44892900374015</v>
      </c>
      <c r="BX9" s="9">
        <f>IF(管理者入力シート!$B$14=1,BW6*管理者用人口入力シート!AY$3,IF(管理者入力シート!$B$14=2,BW6*管理者用人口入力シート!AY$7))</f>
        <v>302.35108649294114</v>
      </c>
      <c r="BY9" s="9">
        <f>IF(管理者入力シート!$B$14=1,BX6*管理者用人口入力シート!AZ$3,IF(管理者入力シート!$B$14=2,BX6*管理者用人口入力シート!AZ$7))</f>
        <v>268.76555840245641</v>
      </c>
      <c r="BZ9" s="9">
        <f>IF(管理者入力シート!$B$14=1,BY6*管理者用人口入力シート!BA$3,IF(管理者入力シート!$B$14=2,BY6*管理者用人口入力シート!BA$7))</f>
        <v>267.3852728416349</v>
      </c>
      <c r="CA9" s="9">
        <f>IF(管理者入力シート!$B$14=1,BZ6*管理者用人口入力シート!BB$3,IF(管理者入力シート!$B$14=2,BZ6*管理者用人口入力シート!BB$7))</f>
        <v>231.18015759303859</v>
      </c>
      <c r="CB9" s="9">
        <f>IF(管理者入力シート!$B$14=1,CA6*管理者用人口入力シート!BC$3,IF(管理者入力シート!$B$14=2,CA6*管理者用人口入力シート!BC$7))</f>
        <v>196.90625215955328</v>
      </c>
      <c r="CC9" s="9">
        <f>IF(管理者入力シート!$B$14=1,CB6*管理者用人口入力シート!BD$3,IF(管理者入力シート!$B$14=2,CB6*管理者用人口入力シート!BD$7))</f>
        <v>75.852360353316385</v>
      </c>
      <c r="CD9" s="9">
        <f>IF(管理者入力シート!$B$14=1,CC6*管理者用人口入力シート!BE$3,IF(管理者入力シート!$B$14=2,CC6*管理者用人口入力シート!BE$7))</f>
        <v>20.885743469122467</v>
      </c>
      <c r="CE9" s="9">
        <f>IF(管理者入力シート!$B$14=1,CD6*管理者用人口入力シート!BF$3,IF(管理者入力シート!$B$14=2,CD6*管理者用人口入力シート!BF$7))</f>
        <v>3.9108862559712581</v>
      </c>
      <c r="CF9" s="9">
        <f t="shared" si="2"/>
        <v>4563.9569978846948</v>
      </c>
      <c r="CG9" s="9">
        <f t="shared" si="20"/>
        <v>243.06096450062108</v>
      </c>
      <c r="CH9" s="9">
        <f t="shared" si="21"/>
        <v>124.36442443889091</v>
      </c>
      <c r="CI9" s="9">
        <f t="shared" si="3"/>
        <v>1367.2373175680345</v>
      </c>
      <c r="CJ9" s="9">
        <f t="shared" si="22"/>
        <v>796.12067267263683</v>
      </c>
      <c r="CK9" s="13">
        <f t="shared" si="23"/>
        <v>0.29957278699201645</v>
      </c>
      <c r="CL9" s="13">
        <f t="shared" si="24"/>
        <v>0.17443649732931824</v>
      </c>
      <c r="CM9" s="9">
        <f t="shared" si="25"/>
        <v>805.93742837666218</v>
      </c>
      <c r="CO9" s="7" t="str">
        <f t="shared" si="26"/>
        <v>2035_1</v>
      </c>
      <c r="CP9" s="28">
        <f>管理者入力シート!B10</f>
        <v>2035</v>
      </c>
      <c r="CQ9" s="3" t="s">
        <v>21</v>
      </c>
      <c r="CR9" s="9">
        <f>DT10*$AK$13+将来予測シート②!$G17</f>
        <v>187.70094124760914</v>
      </c>
      <c r="CS9" s="9">
        <f>IF(管理者入力シート!$B$14=1,CR6*管理者用人口入力シート!AM$3,IF(管理者入力シート!$B$14=2,CR6*管理者用人口入力シート!AM$7))+将来予測シート②!$G18</f>
        <v>194.96536870512364</v>
      </c>
      <c r="CT9" s="9">
        <f>IF(管理者入力シート!$B$14=1,CS6*管理者用人口入力シート!AN$3,IF(管理者入力シート!$B$14=2,CS6*管理者用人口入力シート!AN$7))+将来予測シート②!$G19</f>
        <v>214.02270792582573</v>
      </c>
      <c r="CU9" s="9">
        <f>IF(管理者入力シート!$B$14=1,CT6*管理者用人口入力シート!AO$3,IF(管理者入力シート!$B$14=2,CT6*管理者用人口入力シート!AO$7))+将来予測シート②!$G20</f>
        <v>198.58858319465568</v>
      </c>
      <c r="CV9" s="9">
        <f>IF(管理者入力シート!$B$14=1,CU6*管理者用人口入力シート!AP$3,IF(管理者入力シート!$B$14=2,CU6*管理者用人口入力シート!AP$7))+将来予測シート②!$G21</f>
        <v>158.72668681194128</v>
      </c>
      <c r="CW9" s="9">
        <f>IF(管理者入力シート!$B$14=1,CV6*管理者用人口入力シート!AQ$3,IF(管理者入力シート!$B$14=2,CV6*管理者用人口入力シート!AQ$7))+将来予測シート②!$G22</f>
        <v>219.58824108635915</v>
      </c>
      <c r="CX9" s="9">
        <f>IF(管理者入力シート!$B$14=1,CW6*管理者用人口入力シート!AR$3,IF(管理者入力シート!$B$14=2,CW6*管理者用人口入力シート!AR$7))+将来予測シート②!$G23</f>
        <v>213.37808517657825</v>
      </c>
      <c r="CY9" s="9">
        <f>IF(管理者入力シート!$B$14=1,CX6*管理者用人口入力シート!AS$3,IF(管理者入力シート!$B$14=2,CX6*管理者用人口入力シート!AS$7))+将来予測シート②!$G24</f>
        <v>220.66720152658152</v>
      </c>
      <c r="CZ9" s="9">
        <f>IF(管理者入力シート!$B$14=1,CY6*管理者用人口入力シート!AT$3,IF(管理者入力シート!$B$14=2,CY6*管理者用人口入力シート!AT$7))+将来予測シート②!$G25</f>
        <v>265.69887428051032</v>
      </c>
      <c r="DA9" s="9">
        <f>IF(管理者入力シート!$B$14=1,CZ6*管理者用人口入力シート!AU$3,IF(管理者入力シート!$B$14=2,CZ6*管理者用人口入力シート!AU$7))+将来予測シート②!$G26</f>
        <v>279.89608893631458</v>
      </c>
      <c r="DB9" s="9">
        <f>IF(管理者入力シート!$B$14=1,DA6*管理者用人口入力シート!AV$3,IF(管理者入力シート!$B$14=2,DA6*管理者用人口入力シート!AV$7))+将来予測シート②!$G27</f>
        <v>317.77555578842805</v>
      </c>
      <c r="DC9" s="9">
        <f>IF(管理者入力シート!$B$14=1,DB6*管理者用人口入力シート!AW$3,IF(管理者入力シート!$B$14=2,DB6*管理者用人口入力シート!AW$7))+将来予測シート②!$G28</f>
        <v>334.90230248238862</v>
      </c>
      <c r="DD9" s="9">
        <f>IF(管理者入力シート!$B$14=1,DC6*管理者用人口入力シート!AX$3,IF(管理者入力シート!$B$14=2,DC6*管理者用人口入力シート!AX$7))+将来予測シート②!$G29</f>
        <v>404.44892900374015</v>
      </c>
      <c r="DE9" s="9">
        <f>IF(管理者入力シート!$B$14=1,DD6*管理者用人口入力シート!AY$3,IF(管理者入力シート!$B$14=2,DD6*管理者用人口入力シート!AY$7))</f>
        <v>302.35108649294114</v>
      </c>
      <c r="DF9" s="9">
        <f>IF(管理者入力シート!$B$14=1,DE6*管理者用人口入力シート!AZ$3,IF(管理者入力シート!$B$14=2,DE6*管理者用人口入力シート!AZ$7))</f>
        <v>268.76555840245641</v>
      </c>
      <c r="DG9" s="9">
        <f>IF(管理者入力シート!$B$14=1,DF6*管理者用人口入力シート!BA$3,IF(管理者入力シート!$B$14=2,DF6*管理者用人口入力シート!BA$7))</f>
        <v>267.3852728416349</v>
      </c>
      <c r="DH9" s="9">
        <f>IF(管理者入力シート!$B$14=1,DG6*管理者用人口入力シート!BB$3,IF(管理者入力シート!$B$14=2,DG6*管理者用人口入力シート!BB$7))</f>
        <v>231.18015759303859</v>
      </c>
      <c r="DI9" s="9">
        <f>IF(管理者入力シート!$B$14=1,DH6*管理者用人口入力シート!BC$3,IF(管理者入力シート!$B$14=2,DH6*管理者用人口入力シート!BC$7))</f>
        <v>196.90625215955328</v>
      </c>
      <c r="DJ9" s="9">
        <f>IF(管理者入力シート!$B$14=1,DI6*管理者用人口入力シート!BD$3,IF(管理者入力シート!$B$14=2,DI6*管理者用人口入力シート!BD$7))</f>
        <v>75.852360353316385</v>
      </c>
      <c r="DK9" s="9">
        <f>IF(管理者入力シート!$B$14=1,DJ6*管理者用人口入力シート!BE$3,IF(管理者入力シート!$B$14=2,DJ6*管理者用人口入力シート!BE$7))</f>
        <v>20.885743469122467</v>
      </c>
      <c r="DL9" s="9">
        <f>IF(管理者入力シート!$B$14=1,DK6*管理者用人口入力シート!BF$3,IF(管理者入力シート!$B$14=2,DK6*管理者用人口入力シート!BF$7))</f>
        <v>3.9108862559712581</v>
      </c>
      <c r="DM9" s="9">
        <f t="shared" si="69"/>
        <v>4577.5968837340915</v>
      </c>
      <c r="DN9" s="9">
        <f t="shared" si="34"/>
        <v>245.39284597856962</v>
      </c>
      <c r="DO9" s="9">
        <f t="shared" si="35"/>
        <v>125.32679980926143</v>
      </c>
      <c r="DP9" s="9">
        <f t="shared" si="6"/>
        <v>1367.2373175680345</v>
      </c>
      <c r="DQ9" s="9">
        <f t="shared" si="36"/>
        <v>796.12067267263683</v>
      </c>
      <c r="DR9" s="13">
        <f t="shared" si="37"/>
        <v>0.29868014862259684</v>
      </c>
      <c r="DS9" s="13">
        <f t="shared" si="38"/>
        <v>0.17391672812028303</v>
      </c>
      <c r="DT9" s="9">
        <f t="shared" si="70"/>
        <v>812.36021460146014</v>
      </c>
      <c r="DV9" s="7" t="s">
        <v>403</v>
      </c>
      <c r="DW9" s="210">
        <f>DW7+DW8</f>
        <v>-468.96509335989856</v>
      </c>
      <c r="DX9" s="28">
        <f>管理者入力シート!B10</f>
        <v>2035</v>
      </c>
      <c r="DY9" s="3" t="s">
        <v>21</v>
      </c>
      <c r="DZ9" s="9">
        <f>FB10*$AK$13</f>
        <v>289.15641336071144</v>
      </c>
      <c r="EA9" s="129">
        <f>IF(管理者入力シート!$B$14=1,DZ6*管理者用人口入力シート!AM$3,IF(管理者入力シート!$B$14=2,DZ6*管理者用人口入力シート!AM$7))</f>
        <v>278.89839776598006</v>
      </c>
      <c r="EB9" s="9">
        <f>IF(管理者入力シート!$B$14=1,EA6*管理者用人口入力シート!AN$3,IF(管理者入力シート!$B$14=2,EA6*管理者用人口入力シート!AN$7))</f>
        <v>212.01668823012329</v>
      </c>
      <c r="EC9" s="9">
        <f>IF(管理者入力シート!$B$14=1,EB6*管理者用人口入力シート!AO$3,IF(管理者入力シート!$B$14=2,EB6*管理者用人口入力シート!AO$7))</f>
        <v>197.78874573420794</v>
      </c>
      <c r="ED9" s="9">
        <f>IF(管理者入力シート!$B$14=1,EC6*管理者用人口入力シート!AP$3,IF(管理者入力シート!$B$14=2,EC6*管理者用人口入力シート!AP$7))</f>
        <v>158.13628749227161</v>
      </c>
      <c r="EE9" s="9">
        <f>IF(管理者入力シート!$B$14=1,ED6*管理者用人口入力シート!AQ$3,IF(管理者入力シート!$B$14=2,ED6*管理者用人口入力シート!AQ$7))+DX1</f>
        <v>295.58824108635918</v>
      </c>
      <c r="EF9" s="9">
        <f>IF(管理者入力シート!$B$14=1,EE6*管理者用人口入力シート!AR$3,IF(管理者入力シート!$B$14=2,EE6*管理者用人口入力シート!AR$7))+DX1</f>
        <v>365.60612675153226</v>
      </c>
      <c r="EG9" s="9">
        <f>IF(管理者入力シート!$B$14=1,EF6*管理者用人口入力シート!AS$3,IF(管理者入力シート!$B$14=2,EF6*管理者用人口入力シート!AS$7))+DX1</f>
        <v>445.10090756585015</v>
      </c>
      <c r="EH9" s="9">
        <f>IF(管理者入力シート!$B$14=1,EG6*管理者用人口入力シート!AT$3,IF(管理者入力シート!$B$14=2,EG6*管理者用人口入力シート!AT$7))</f>
        <v>419.54858239963517</v>
      </c>
      <c r="EI9" s="9">
        <f>IF(管理者入力シート!$B$14=1,EH6*管理者用人口入力シート!AU$3,IF(管理者入力シート!$B$14=2,EH6*管理者用人口入力シート!AU$7))</f>
        <v>358.02774862564598</v>
      </c>
      <c r="EJ9" s="9">
        <f>IF(管理者入力シート!$B$14=1,EI6*管理者用人口入力シート!AV$3,IF(管理者入力シート!$B$14=2,EI6*管理者用人口入力シート!AV$7))</f>
        <v>317.77555578842805</v>
      </c>
      <c r="EK9" s="9">
        <f>IF(管理者入力シート!$B$14=1,EJ6*管理者用人口入力シート!AW$3,IF(管理者入力シート!$B$14=2,EJ6*管理者用人口入力シート!AW$7))</f>
        <v>334.90230248238862</v>
      </c>
      <c r="EL9" s="9">
        <f>IF(管理者入力シート!$B$14=1,EK6*管理者用人口入力シート!AX$3,IF(管理者入力シート!$B$14=2,EK6*管理者用人口入力シート!AX$7))</f>
        <v>404.44892900374015</v>
      </c>
      <c r="EM9" s="9">
        <f>IF(管理者入力シート!$B$14=1,EL6*管理者用人口入力シート!AY$3,IF(管理者入力シート!$B$14=2,EL6*管理者用人口入力シート!AY$7))</f>
        <v>302.35108649294114</v>
      </c>
      <c r="EN9" s="9">
        <f>IF(管理者入力シート!$B$14=1,EM6*管理者用人口入力シート!AZ$3,IF(管理者入力シート!$B$14=2,EM6*管理者用人口入力シート!AZ$7))</f>
        <v>268.76555840245641</v>
      </c>
      <c r="EO9" s="9">
        <f>IF(管理者入力シート!$B$14=1,EN6*管理者用人口入力シート!BA$3,IF(管理者入力シート!$B$14=2,EN6*管理者用人口入力シート!BA$7))</f>
        <v>267.3852728416349</v>
      </c>
      <c r="EP9" s="9">
        <f>IF(管理者入力シート!$B$14=1,EO6*管理者用人口入力シート!BB$3,IF(管理者入力シート!$B$14=2,EO6*管理者用人口入力シート!BB$7))</f>
        <v>231.18015759303859</v>
      </c>
      <c r="EQ9" s="9">
        <f>IF(管理者入力シート!$B$14=1,EP6*管理者用人口入力シート!BC$3,IF(管理者入力シート!$B$14=2,EP6*管理者用人口入力シート!BC$7))</f>
        <v>196.90625215955328</v>
      </c>
      <c r="ER9" s="9">
        <f>IF(管理者入力シート!$B$14=1,EQ6*管理者用人口入力シート!BD$3,IF(管理者入力シート!$B$14=2,EQ6*管理者用人口入力シート!BD$7))</f>
        <v>75.852360353316385</v>
      </c>
      <c r="ES9" s="9">
        <f>IF(管理者入力シート!$B$14=1,ER6*管理者用人口入力シート!BE$3,IF(管理者入力シート!$B$14=2,ER6*管理者用人口入力シート!BE$7))</f>
        <v>20.885743469122467</v>
      </c>
      <c r="ET9" s="9">
        <f>IF(管理者入力シート!$B$14=1,ES6*管理者用人口入力シート!BF$3,IF(管理者入力シート!$B$14=2,ES6*管理者用人口入力シート!BF$7))</f>
        <v>3.9108862559712581</v>
      </c>
      <c r="EU9" s="9">
        <f t="shared" si="71"/>
        <v>5444.2322438549081</v>
      </c>
      <c r="EV9" s="9">
        <f t="shared" si="41"/>
        <v>294.54905159766201</v>
      </c>
      <c r="EW9" s="9">
        <f t="shared" si="42"/>
        <v>124.36442443889091</v>
      </c>
      <c r="EX9" s="9">
        <f t="shared" si="10"/>
        <v>1367.2373175680345</v>
      </c>
      <c r="EY9" s="9">
        <f t="shared" si="43"/>
        <v>796.12067267263683</v>
      </c>
      <c r="EZ9" s="13">
        <f t="shared" si="44"/>
        <v>0.2511350097364568</v>
      </c>
      <c r="FA9" s="13">
        <f t="shared" si="45"/>
        <v>0.14623194548161417</v>
      </c>
      <c r="FB9" s="9">
        <f t="shared" si="72"/>
        <v>1264.4315628960132</v>
      </c>
    </row>
    <row r="10" spans="1:158" x14ac:dyDescent="0.15">
      <c r="A10" s="7" t="str">
        <f t="shared" si="11"/>
        <v>2015_2</v>
      </c>
      <c r="B10" s="29">
        <v>2015</v>
      </c>
      <c r="C10" s="4" t="s">
        <v>22</v>
      </c>
      <c r="D10" s="10">
        <v>256.01926312810895</v>
      </c>
      <c r="E10" s="10">
        <v>253.14990370115964</v>
      </c>
      <c r="F10" s="10">
        <v>239.93564812401269</v>
      </c>
      <c r="G10" s="10">
        <v>265.09197103919621</v>
      </c>
      <c r="H10" s="10">
        <v>252.16453046826501</v>
      </c>
      <c r="I10" s="10">
        <v>271.20447970935311</v>
      </c>
      <c r="J10" s="10">
        <v>369.71951122874816</v>
      </c>
      <c r="K10" s="10">
        <v>322.37623966084396</v>
      </c>
      <c r="L10" s="10">
        <v>382.48944092573657</v>
      </c>
      <c r="M10" s="10">
        <v>376.58008059505113</v>
      </c>
      <c r="N10" s="10">
        <v>369.55211901600183</v>
      </c>
      <c r="O10" s="10">
        <v>417.96172026966207</v>
      </c>
      <c r="P10" s="10">
        <v>462.01954303277915</v>
      </c>
      <c r="Q10" s="10">
        <v>517.23527781987923</v>
      </c>
      <c r="R10" s="10">
        <v>444.93357768813854</v>
      </c>
      <c r="S10" s="10">
        <v>407.86731131691567</v>
      </c>
      <c r="T10" s="10">
        <v>411.73819335341591</v>
      </c>
      <c r="U10" s="10">
        <v>296.3002400664044</v>
      </c>
      <c r="V10" s="10">
        <v>129.54813716418431</v>
      </c>
      <c r="W10" s="10">
        <v>29.083357790817878</v>
      </c>
      <c r="X10" s="10">
        <v>7.0294539013257848</v>
      </c>
      <c r="Y10" s="10">
        <f t="shared" si="68"/>
        <v>6482.0000000000018</v>
      </c>
      <c r="Z10" s="10">
        <f t="shared" si="12"/>
        <v>295.85133109510343</v>
      </c>
      <c r="AA10" s="10">
        <f t="shared" si="13"/>
        <v>148.99265345744431</v>
      </c>
      <c r="AB10" s="10">
        <f t="shared" si="0"/>
        <v>2243.7355491010817</v>
      </c>
      <c r="AC10" s="10">
        <f t="shared" si="14"/>
        <v>1281.5666935930637</v>
      </c>
      <c r="AD10" s="14">
        <f t="shared" si="15"/>
        <v>0.34614864996931211</v>
      </c>
      <c r="AE10" s="14">
        <f t="shared" si="16"/>
        <v>0.19771161579652319</v>
      </c>
      <c r="AF10" s="10">
        <f t="shared" si="17"/>
        <v>1215.4647610672102</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180.49742942754065</v>
      </c>
      <c r="BL10" s="10">
        <f>IF(管理者入力シート!$B$14=1,BK7*管理者用人口入力シート!AM$4,IF(管理者入力シート!$B$14=2,BK7*管理者用人口入力シート!AM$8))</f>
        <v>185.36568226034595</v>
      </c>
      <c r="BM10" s="10">
        <f>IF(管理者入力シート!$B$14=1,BL7*管理者用人口入力シート!AN$4,IF(管理者入力シート!$B$14=2,BL7*管理者用人口入力シート!AN$8))</f>
        <v>194.3714632410539</v>
      </c>
      <c r="BN10" s="10">
        <f>IF(管理者入力シート!$B$14=1,BM7*管理者用人口入力シート!AO$4,IF(管理者入力シート!$B$14=2,BM7*管理者用人口入力シート!AO$8))</f>
        <v>232.19333207393788</v>
      </c>
      <c r="BO10" s="10">
        <f>IF(管理者入力シート!$B$14=1,BN7*管理者用人口入力シート!AP$4,IF(管理者入力シート!$B$14=2,BN7*管理者用人口入力シート!AP$8))</f>
        <v>197.63507307353072</v>
      </c>
      <c r="BP10" s="10">
        <f>IF(管理者入力シート!$B$14=1,BO7*管理者用人口入力シート!AQ$4,IF(管理者入力シート!$B$14=2,BO7*管理者用人口入力シート!AQ$8))</f>
        <v>211.2513580423105</v>
      </c>
      <c r="BQ10" s="10">
        <f>IF(管理者入力シート!$B$14=1,BP7*管理者用人口入力シート!AR$4,IF(管理者入力シート!$B$14=2,BP7*管理者用人口入力シート!AR$8))</f>
        <v>212.57887454637668</v>
      </c>
      <c r="BR10" s="10">
        <f>IF(管理者入力シート!$B$14=1,BQ7*管理者用人口入力シート!AS$4,IF(管理者入力シート!$B$14=2,BQ7*管理者用人口入力シート!AS$8))</f>
        <v>197.85739606569746</v>
      </c>
      <c r="BS10" s="10">
        <f>IF(管理者入力シート!$B$14=1,BR7*管理者用人口入力シート!AT$4,IF(管理者入力シート!$B$14=2,BR7*管理者用人口入力シート!AT$8))</f>
        <v>240.59785309028314</v>
      </c>
      <c r="BT10" s="10">
        <f>IF(管理者入力シート!$B$14=1,BS7*管理者用人口入力シート!AU$4,IF(管理者入力シート!$B$14=2,BS7*管理者用人口入力シート!AU$8))</f>
        <v>279.73480417214898</v>
      </c>
      <c r="BU10" s="10">
        <f>IF(管理者入力シート!$B$14=1,BT7*管理者用人口入力シート!AV$4,IF(管理者入力シート!$B$14=2,BT7*管理者用人口入力シート!AV$8))</f>
        <v>366.25190734491991</v>
      </c>
      <c r="BV10" s="10">
        <f>IF(管理者入力シート!$B$14=1,BU7*管理者用人口入力シート!AW$4,IF(管理者入力シート!$B$14=2,BU7*管理者用人口入力シート!AW$8))</f>
        <v>355.66420542248238</v>
      </c>
      <c r="BW10" s="10">
        <f>IF(管理者入力シート!$B$14=1,BV7*管理者用人口入力シート!AX$4,IF(管理者入力シート!$B$14=2,BV7*管理者用人口入力シート!AX$8))</f>
        <v>385.92129610049199</v>
      </c>
      <c r="BX10" s="10">
        <f>IF(管理者入力シート!$B$14=1,BW7*管理者用人口入力シート!AY$4,IF(管理者入力シート!$B$14=2,BW7*管理者用人口入力シート!AY$8))</f>
        <v>357.70622245643278</v>
      </c>
      <c r="BY10" s="10">
        <f>IF(管理者入力シート!$B$14=1,BX7*管理者用人口入力シート!AZ$4,IF(管理者入力シート!$B$14=2,BX7*管理者用人口入力シート!AZ$8))</f>
        <v>347.98838777596978</v>
      </c>
      <c r="BZ10" s="10">
        <f>IF(管理者入力シート!$B$14=1,BY7*管理者用人口入力シート!BA$4,IF(管理者入力シート!$B$14=2,BY7*管理者用人口入力シート!BA$8))</f>
        <v>350.88026990855462</v>
      </c>
      <c r="CA10" s="10">
        <f>IF(管理者入力シート!$B$14=1,BZ7*管理者用人口入力シート!BB$4,IF(管理者入力シート!$B$14=2,BZ7*管理者用人口入力シート!BB$8))</f>
        <v>353.53904281196088</v>
      </c>
      <c r="CB10" s="10">
        <f>IF(管理者入力シート!$B$14=1,CA7*管理者用人口入力シート!BC$4,IF(管理者入力シート!$B$14=2,CA7*管理者用人口入力シート!BC$8))</f>
        <v>308.4044298606758</v>
      </c>
      <c r="CC10" s="10">
        <f>IF(管理者入力シート!$B$14=1,CB7*管理者用人口入力シート!BD$4,IF(管理者入力シート!$B$14=2,CB7*管理者用人口入力シート!BD$8))</f>
        <v>146.52415093718798</v>
      </c>
      <c r="CD10" s="10">
        <f>IF(管理者入力シート!$B$14=1,CC7*管理者用人口入力シート!BE$4,IF(管理者入力シート!$B$14=2,CC7*管理者用人口入力シート!BE$8))</f>
        <v>48.49391288789446</v>
      </c>
      <c r="CE10" s="10">
        <f>IF(管理者入力シート!$B$14=1,CD7*管理者用人口入力シート!BF$4,IF(管理者入力シート!$B$14=2,CD7*管理者用人口入力シート!BF$8))</f>
        <v>12.003902398154327</v>
      </c>
      <c r="CF10" s="10">
        <f t="shared" si="2"/>
        <v>5165.4609938979511</v>
      </c>
      <c r="CG10" s="10">
        <f t="shared" si="20"/>
        <v>227.84228730083993</v>
      </c>
      <c r="CH10" s="10">
        <f t="shared" si="21"/>
        <v>124.18725171120914</v>
      </c>
      <c r="CI10" s="10">
        <f t="shared" si="3"/>
        <v>1925.5403190368311</v>
      </c>
      <c r="CJ10" s="10">
        <f t="shared" si="22"/>
        <v>1219.8457088044283</v>
      </c>
      <c r="CK10" s="14">
        <f t="shared" si="23"/>
        <v>0.372772211678978</v>
      </c>
      <c r="CL10" s="14">
        <f t="shared" si="24"/>
        <v>0.23615427746825565</v>
      </c>
      <c r="CM10" s="10">
        <f t="shared" si="25"/>
        <v>819.32270172791539</v>
      </c>
      <c r="CO10" s="7" t="str">
        <f t="shared" si="26"/>
        <v>2035_2</v>
      </c>
      <c r="CP10" s="29">
        <f>CP9</f>
        <v>2035</v>
      </c>
      <c r="CQ10" s="4" t="s">
        <v>22</v>
      </c>
      <c r="CR10" s="10">
        <f>DT10*$AK$14+将来予測シート②!$H17</f>
        <v>182.98959331211549</v>
      </c>
      <c r="CS10" s="10">
        <f>IF(管理者入力シート!$B$14=1,CR7*管理者用人口入力シート!AM$4,IF(管理者入力シート!$B$14=2,CR7*管理者用人口入力シート!AM$8))+将来予測シート②!$H18</f>
        <v>187.19539512942615</v>
      </c>
      <c r="CT10" s="10">
        <f>IF(管理者入力シート!$B$14=1,CS7*管理者用人口入力シート!AN$4,IF(管理者入力シート!$B$14=2,CS7*管理者用人口入力シート!AN$8))+将来予測シート②!$H19</f>
        <v>196.31763263129909</v>
      </c>
      <c r="CU10" s="10">
        <f>IF(管理者入力シート!$B$14=1,CT7*管理者用人口入力シート!AO$4,IF(管理者入力シート!$B$14=2,CT7*管理者用人口入力シート!AO$8))+将来予測シート②!$H20</f>
        <v>233.21753839137449</v>
      </c>
      <c r="CV10" s="10">
        <f>IF(管理者入力シート!$B$14=1,CU7*管理者用人口入力シート!AP$4,IF(管理者入力シート!$B$14=2,CU7*管理者用人口入力シート!AP$8))+将来予測シート②!$H21</f>
        <v>198.47474471085107</v>
      </c>
      <c r="CW10" s="10">
        <f>IF(管理者入力シート!$B$14=1,CV7*管理者用人口入力シート!AQ$4,IF(管理者入力シート!$B$14=2,CV7*管理者用人口入力シート!AQ$8))+将来予測シート②!$H22</f>
        <v>213.2513580423105</v>
      </c>
      <c r="CX10" s="10">
        <f>IF(管理者入力シート!$B$14=1,CW7*管理者用人口入力シート!AR$4,IF(管理者入力シート!$B$14=2,CW7*管理者用人口入力シート!AR$8))+将来予測シート②!$H23</f>
        <v>214.61490732832837</v>
      </c>
      <c r="CY10" s="10">
        <f>IF(管理者入力シート!$B$14=1,CX7*管理者用人口入力シート!AS$4,IF(管理者入力シート!$B$14=2,CX7*管理者用人口入力シート!AS$8))+将来予測シート②!$H24</f>
        <v>199.75499445305334</v>
      </c>
      <c r="CZ10" s="10">
        <f>IF(管理者入力シート!$B$14=1,CY7*管理者用人口入力シート!AT$4,IF(管理者入力シート!$B$14=2,CY7*管理者用人口入力シート!AT$8))+将来予測シート②!$H25</f>
        <v>241.59785309028314</v>
      </c>
      <c r="DA10" s="10">
        <f>IF(管理者入力シート!$B$14=1,CZ7*管理者用人口入力シート!AU$4,IF(管理者入力シート!$B$14=2,CZ7*管理者用人口入力シート!AU$8))+将来予測シート②!$H26</f>
        <v>280.76452414711792</v>
      </c>
      <c r="DB10" s="10">
        <f>IF(管理者入力シート!$B$14=1,DA7*管理者用人口入力シート!AV$4,IF(管理者入力シート!$B$14=2,DA7*管理者用人口入力シート!AV$8))+将来予測シート②!$H27</f>
        <v>367.26287083532287</v>
      </c>
      <c r="DC10" s="10">
        <f>IF(管理者入力シート!$B$14=1,DB7*管理者用人口入力シート!AW$4,IF(管理者入力シート!$B$14=2,DB7*管理者用人口入力シート!AW$8))+将来予測シート②!$H28</f>
        <v>355.66420542248238</v>
      </c>
      <c r="DD10" s="10">
        <f>IF(管理者入力シート!$B$14=1,DC7*管理者用人口入力シート!AX$4,IF(管理者入力シート!$B$14=2,DC7*管理者用人口入力シート!AX$8))+将来予測シート②!$H29</f>
        <v>385.92129610049199</v>
      </c>
      <c r="DE10" s="10">
        <f>IF(管理者入力シート!$B$14=1,DD7*管理者用人口入力シート!AY$4,IF(管理者入力シート!$B$14=2,DD7*管理者用人口入力シート!AY$8))</f>
        <v>357.70622245643278</v>
      </c>
      <c r="DF10" s="10">
        <f>IF(管理者入力シート!$B$14=1,DE7*管理者用人口入力シート!AZ$4,IF(管理者入力シート!$B$14=2,DE7*管理者用人口入力シート!AZ$8))</f>
        <v>347.98838777596978</v>
      </c>
      <c r="DG10" s="10">
        <f>IF(管理者入力シート!$B$14=1,DF7*管理者用人口入力シート!BA$4,IF(管理者入力シート!$B$14=2,DF7*管理者用人口入力シート!BA$8))</f>
        <v>350.88026990855462</v>
      </c>
      <c r="DH10" s="10">
        <f>IF(管理者入力シート!$B$14=1,DG7*管理者用人口入力シート!BB$4,IF(管理者入力シート!$B$14=2,DG7*管理者用人口入力シート!BB$8))</f>
        <v>353.53904281196088</v>
      </c>
      <c r="DI10" s="10">
        <f>IF(管理者入力シート!$B$14=1,DH7*管理者用人口入力シート!BC$4,IF(管理者入力シート!$B$14=2,DH7*管理者用人口入力シート!BC$8))</f>
        <v>308.4044298606758</v>
      </c>
      <c r="DJ10" s="10">
        <f>IF(管理者入力シート!$B$14=1,DI7*管理者用人口入力シート!BD$4,IF(管理者入力シート!$B$14=2,DI7*管理者用人口入力シート!BD$8))</f>
        <v>146.52415093718798</v>
      </c>
      <c r="DK10" s="10">
        <f>IF(管理者入力シート!$B$14=1,DJ7*管理者用人口入力シート!BE$4,IF(管理者入力シート!$B$14=2,DJ7*管理者用人口入力シート!BE$8))</f>
        <v>48.49391288789446</v>
      </c>
      <c r="DL10" s="10">
        <f>IF(管理者入力シート!$B$14=1,DK7*管理者用人口入力シート!BF$4,IF(管理者入力シート!$B$14=2,DK7*管理者用人口入力シート!BF$8))</f>
        <v>12.003902398154327</v>
      </c>
      <c r="DM10" s="10">
        <f t="shared" si="69"/>
        <v>5182.567232631287</v>
      </c>
      <c r="DN10" s="10">
        <f t="shared" si="34"/>
        <v>230.10781665643512</v>
      </c>
      <c r="DO10" s="10">
        <f t="shared" si="35"/>
        <v>125.17056073079453</v>
      </c>
      <c r="DP10" s="10">
        <f t="shared" si="6"/>
        <v>1925.5403190368311</v>
      </c>
      <c r="DQ10" s="10">
        <f t="shared" si="36"/>
        <v>1219.8457088044283</v>
      </c>
      <c r="DR10" s="14">
        <f t="shared" si="37"/>
        <v>0.37154179243694985</v>
      </c>
      <c r="DS10" s="14">
        <f t="shared" si="38"/>
        <v>0.23537479670767139</v>
      </c>
      <c r="DT10" s="10">
        <f t="shared" si="70"/>
        <v>826.09600453454323</v>
      </c>
      <c r="DV10" s="62" t="s">
        <v>405</v>
      </c>
      <c r="DW10" s="210">
        <f>((SUM(BL12:BL13)*3/5+SUM(BM12:BM13)+SUM(BN12:BN13)*1/5)-(SUM(E12:E13)*3/5+SUM(F12:F13)+SUM(G12:G13)*1/5))/4</f>
        <v>-61.210150830930445</v>
      </c>
      <c r="DX10" s="29">
        <f>DX9</f>
        <v>2035</v>
      </c>
      <c r="DY10" s="4" t="s">
        <v>22</v>
      </c>
      <c r="DZ10" s="10">
        <f>FB10*$AK$14</f>
        <v>281.85962919873452</v>
      </c>
      <c r="EA10" s="10">
        <f>IF(管理者入力シート!$B$14=1,DZ7*管理者用人口入力シート!AM$4,IF(管理者入力シート!$B$14=2,DZ7*管理者用人口入力シート!AM$8))</f>
        <v>267.74847035397943</v>
      </c>
      <c r="EB10" s="10">
        <f>IF(管理者入力シート!$B$14=1,EA7*管理者用人口入力シート!AN$4,IF(管理者入力シート!$B$14=2,EA7*管理者用人口入力シート!AN$8))</f>
        <v>194.3714632410539</v>
      </c>
      <c r="EC10" s="10">
        <f>IF(管理者入力シート!$B$14=1,EB7*管理者用人口入力シート!AO$4,IF(管理者入力シート!$B$14=2,EB7*管理者用人口入力シート!AO$8))</f>
        <v>232.19333207393788</v>
      </c>
      <c r="ED10" s="10">
        <f>IF(管理者入力シート!$B$14=1,EC7*管理者用人口入力シート!AP$4,IF(管理者入力シート!$B$14=2,EC7*管理者用人口入力シート!AP$8))</f>
        <v>197.63507307353072</v>
      </c>
      <c r="EE10" s="10">
        <f>IF(管理者入力シート!$B$14=1,ED7*管理者用人口入力シート!AQ$4,IF(管理者入力シート!$B$14=2,ED7*管理者用人口入力シート!AQ$8))+DX1</f>
        <v>289.25135804231047</v>
      </c>
      <c r="EF10" s="10">
        <f>IF(管理者入力シート!$B$14=1,EE7*管理者用人口入力シート!AR$4,IF(管理者入力シート!$B$14=2,EE7*管理者用人口入力シート!AR$8))+DX1</f>
        <v>369.98415304249181</v>
      </c>
      <c r="EG10" s="10">
        <f>IF(管理者入力シート!$B$14=1,EF7*管理者用人口入力シート!AS$4,IF(管理者入力シート!$B$14=2,EF7*管理者用人口入力シート!AS$8))+DX1</f>
        <v>422.5603397919848</v>
      </c>
      <c r="EH10" s="10">
        <f>IF(管理者入力シート!$B$14=1,EG7*管理者用人口入力シート!AT$4,IF(管理者入力シート!$B$14=2,EG7*管理者用人口入力シート!AT$8))</f>
        <v>396.91905365666099</v>
      </c>
      <c r="EI10" s="10">
        <f>IF(管理者入力シート!$B$14=1,EH7*管理者用人口入力シート!AU$4,IF(管理者入力シート!$B$14=2,EH7*管理者用人口入力シート!AU$8))</f>
        <v>363.05075384702707</v>
      </c>
      <c r="EJ10" s="10">
        <f>IF(管理者入力シート!$B$14=1,EI7*管理者用人口入力シート!AV$4,IF(管理者入力シート!$B$14=2,EI7*管理者用人口入力シート!AV$8))</f>
        <v>366.25190734491991</v>
      </c>
      <c r="EK10" s="10">
        <f>IF(管理者入力シート!$B$14=1,EJ7*管理者用人口入力シート!AW$4,IF(管理者入力シート!$B$14=2,EJ7*管理者用人口入力シート!AW$8))</f>
        <v>355.66420542248238</v>
      </c>
      <c r="EL10" s="10">
        <f>IF(管理者入力シート!$B$14=1,EK7*管理者用人口入力シート!AX$4,IF(管理者入力シート!$B$14=2,EK7*管理者用人口入力シート!AX$8))</f>
        <v>385.92129610049199</v>
      </c>
      <c r="EM10" s="10">
        <f>IF(管理者入力シート!$B$14=1,EL7*管理者用人口入力シート!AY$4,IF(管理者入力シート!$B$14=2,EL7*管理者用人口入力シート!AY$8))</f>
        <v>357.70622245643278</v>
      </c>
      <c r="EN10" s="10">
        <f>IF(管理者入力シート!$B$14=1,EM7*管理者用人口入力シート!AZ$4,IF(管理者入力シート!$B$14=2,EM7*管理者用人口入力シート!AZ$8))</f>
        <v>347.98838777596978</v>
      </c>
      <c r="EO10" s="10">
        <f>IF(管理者入力シート!$B$14=1,EN7*管理者用人口入力シート!BA$4,IF(管理者入力シート!$B$14=2,EN7*管理者用人口入力シート!BA$8))</f>
        <v>350.88026990855462</v>
      </c>
      <c r="EP10" s="10">
        <f>IF(管理者入力シート!$B$14=1,EO7*管理者用人口入力シート!BB$4,IF(管理者入力シート!$B$14=2,EO7*管理者用人口入力シート!BB$8))</f>
        <v>353.53904281196088</v>
      </c>
      <c r="EQ10" s="10">
        <f>IF(管理者入力シート!$B$14=1,EP7*管理者用人口入力シート!BC$4,IF(管理者入力シート!$B$14=2,EP7*管理者用人口入力シート!BC$8))</f>
        <v>308.4044298606758</v>
      </c>
      <c r="ER10" s="10">
        <f>IF(管理者入力シート!$B$14=1,EQ7*管理者用人口入力シート!BD$4,IF(管理者入力シート!$B$14=2,EQ7*管理者用人口入力シート!BD$8))</f>
        <v>146.52415093718798</v>
      </c>
      <c r="ES10" s="10">
        <f>IF(管理者入力シート!$B$14=1,ER7*管理者用人口入力シート!BE$4,IF(管理者入力シート!$B$14=2,ER7*管理者用人口入力シート!BE$8))</f>
        <v>48.49391288789446</v>
      </c>
      <c r="ET10" s="10">
        <f>IF(管理者入力シート!$B$14=1,ES7*管理者用人口入力シート!BF$4,IF(管理者入力シート!$B$14=2,ES7*管理者用人口入力シート!BF$8))</f>
        <v>12.003902398154327</v>
      </c>
      <c r="EU10" s="10">
        <f t="shared" si="71"/>
        <v>6048.9513542264358</v>
      </c>
      <c r="EV10" s="10">
        <f t="shared" si="41"/>
        <v>277.27196015701998</v>
      </c>
      <c r="EW10" s="10">
        <f t="shared" si="42"/>
        <v>124.18725171120914</v>
      </c>
      <c r="EX10" s="10">
        <f t="shared" si="10"/>
        <v>1925.5403190368311</v>
      </c>
      <c r="EY10" s="10">
        <f t="shared" si="43"/>
        <v>1219.8457088044283</v>
      </c>
      <c r="EZ10" s="14">
        <f t="shared" si="44"/>
        <v>0.31832630257332872</v>
      </c>
      <c r="FA10" s="14">
        <f t="shared" si="45"/>
        <v>0.2016623439949001</v>
      </c>
      <c r="FB10" s="10">
        <f t="shared" si="72"/>
        <v>1279.4309239503177</v>
      </c>
    </row>
    <row r="11" spans="1:158" x14ac:dyDescent="0.15">
      <c r="A11" s="7" t="str">
        <f t="shared" si="11"/>
        <v>2015_3</v>
      </c>
      <c r="B11" s="30">
        <v>2015</v>
      </c>
      <c r="C11" s="5" t="s">
        <v>23</v>
      </c>
      <c r="D11" s="11">
        <v>499.77438443946306</v>
      </c>
      <c r="E11" s="11">
        <v>497.06730118592287</v>
      </c>
      <c r="F11" s="11">
        <v>495.72765442099501</v>
      </c>
      <c r="G11" s="11">
        <v>489.50111468313332</v>
      </c>
      <c r="H11" s="11">
        <v>444.29926835469684</v>
      </c>
      <c r="I11" s="11">
        <v>575.96901066569785</v>
      </c>
      <c r="J11" s="11">
        <v>695.9835128474175</v>
      </c>
      <c r="K11" s="11">
        <v>661.18658483123795</v>
      </c>
      <c r="L11" s="11">
        <v>795.14551479734348</v>
      </c>
      <c r="M11" s="11">
        <v>708.67029748153868</v>
      </c>
      <c r="N11" s="11">
        <v>689.00477625240728</v>
      </c>
      <c r="O11" s="11">
        <v>797.75222405152476</v>
      </c>
      <c r="P11" s="11">
        <v>883.01933620842078</v>
      </c>
      <c r="Q11" s="11">
        <v>1021.8761870538792</v>
      </c>
      <c r="R11" s="11">
        <v>790.69792432559268</v>
      </c>
      <c r="S11" s="11">
        <v>733.83479664184586</v>
      </c>
      <c r="T11" s="11">
        <v>643.45953530951488</v>
      </c>
      <c r="U11" s="11">
        <v>432.87505860170353</v>
      </c>
      <c r="V11" s="11">
        <v>174.92596820480674</v>
      </c>
      <c r="W11" s="11">
        <v>38.183241808947955</v>
      </c>
      <c r="X11" s="11">
        <v>8.0463078339100544</v>
      </c>
      <c r="Y11" s="11">
        <f t="shared" si="68"/>
        <v>12077</v>
      </c>
      <c r="Z11" s="11">
        <f t="shared" si="12"/>
        <v>595.67697336415074</v>
      </c>
      <c r="AA11" s="11">
        <f t="shared" si="13"/>
        <v>296.19128470502466</v>
      </c>
      <c r="AB11" s="11">
        <f t="shared" si="0"/>
        <v>3843.8990197802009</v>
      </c>
      <c r="AC11" s="11">
        <f t="shared" si="14"/>
        <v>2031.3249084007291</v>
      </c>
      <c r="AD11" s="15">
        <f t="shared" si="15"/>
        <v>0.31828260493336102</v>
      </c>
      <c r="AE11" s="15">
        <f t="shared" si="16"/>
        <v>0.16819780644205756</v>
      </c>
      <c r="AF11" s="11">
        <f t="shared" si="17"/>
        <v>2377.4383766990504</v>
      </c>
      <c r="BH11" s="7" t="str">
        <f t="shared" si="19"/>
        <v>2035_3</v>
      </c>
      <c r="BI11" s="30">
        <f>BI10</f>
        <v>2035</v>
      </c>
      <c r="BJ11" s="5" t="s">
        <v>23</v>
      </c>
      <c r="BK11" s="16">
        <f>BK9+BK10</f>
        <v>365.66757764091278</v>
      </c>
      <c r="BL11" s="16">
        <f t="shared" ref="BL11" si="117">BL9+BL10</f>
        <v>378.45060153125775</v>
      </c>
      <c r="BM11" s="16">
        <f t="shared" ref="BM11" si="118">BM9+BM10</f>
        <v>406.3881514711772</v>
      </c>
      <c r="BN11" s="16">
        <f t="shared" ref="BN11" si="119">BN9+BN10</f>
        <v>429.98207780814585</v>
      </c>
      <c r="BO11" s="16">
        <f t="shared" ref="BO11" si="120">BO9+BO10</f>
        <v>355.7713605658023</v>
      </c>
      <c r="BP11" s="16">
        <f t="shared" ref="BP11" si="121">BP9+BP10</f>
        <v>428.83959912866965</v>
      </c>
      <c r="BQ11" s="16">
        <f t="shared" ref="BQ11" si="122">BQ9+BQ10</f>
        <v>424.00359020782457</v>
      </c>
      <c r="BR11" s="16">
        <f t="shared" ref="BR11" si="123">BR9+BR10</f>
        <v>416.64558020228105</v>
      </c>
      <c r="BS11" s="16">
        <f t="shared" ref="BS11" si="124">BS9+BS10</f>
        <v>506.29672737079346</v>
      </c>
      <c r="BT11" s="16">
        <f t="shared" ref="BT11" si="125">BT9+BT10</f>
        <v>559.63089310846362</v>
      </c>
      <c r="BU11" s="16">
        <f t="shared" ref="BU11" si="126">BU9+BU10</f>
        <v>684.02746313334796</v>
      </c>
      <c r="BV11" s="16">
        <f t="shared" ref="BV11" si="127">BV9+BV10</f>
        <v>690.56650790487106</v>
      </c>
      <c r="BW11" s="16">
        <f t="shared" ref="BW11" si="128">BW9+BW10</f>
        <v>790.37022510423208</v>
      </c>
      <c r="BX11" s="16">
        <f t="shared" ref="BX11" si="129">BX9+BX10</f>
        <v>660.05730894937392</v>
      </c>
      <c r="BY11" s="16">
        <f t="shared" ref="BY11" si="130">BY9+BY10</f>
        <v>616.75394617842619</v>
      </c>
      <c r="BZ11" s="16">
        <f t="shared" ref="BZ11" si="131">BZ9+BZ10</f>
        <v>618.26554275018952</v>
      </c>
      <c r="CA11" s="16">
        <f t="shared" ref="CA11" si="132">CA9+CA10</f>
        <v>584.71920040499947</v>
      </c>
      <c r="CB11" s="16">
        <f t="shared" ref="CB11" si="133">CB9+CB10</f>
        <v>505.31068202022908</v>
      </c>
      <c r="CC11" s="16">
        <f t="shared" ref="CC11" si="134">CC9+CC10</f>
        <v>222.37651129050437</v>
      </c>
      <c r="CD11" s="16">
        <f t="shared" ref="CD11" si="135">CD9+CD10</f>
        <v>69.379656357016927</v>
      </c>
      <c r="CE11" s="16">
        <f t="shared" ref="CE11" si="136">CE9+CE10</f>
        <v>15.914788654125585</v>
      </c>
      <c r="CF11" s="11">
        <f t="shared" si="2"/>
        <v>9729.4179917826441</v>
      </c>
      <c r="CG11" s="11">
        <f t="shared" si="20"/>
        <v>470.90325180146095</v>
      </c>
      <c r="CH11" s="11">
        <f t="shared" si="21"/>
        <v>248.55167615010004</v>
      </c>
      <c r="CI11" s="11">
        <f t="shared" si="3"/>
        <v>3292.7776366048647</v>
      </c>
      <c r="CJ11" s="11">
        <f t="shared" si="22"/>
        <v>2015.9663814770649</v>
      </c>
      <c r="CK11" s="15">
        <f t="shared" si="23"/>
        <v>0.33843521158058038</v>
      </c>
      <c r="CL11" s="15">
        <f t="shared" si="24"/>
        <v>0.20720318349768993</v>
      </c>
      <c r="CM11" s="11">
        <f t="shared" si="25"/>
        <v>1625.2601301045775</v>
      </c>
      <c r="CO11" s="7" t="str">
        <f t="shared" si="26"/>
        <v>2035_3</v>
      </c>
      <c r="CP11" s="30">
        <f>CP10</f>
        <v>2035</v>
      </c>
      <c r="CQ11" s="5" t="s">
        <v>23</v>
      </c>
      <c r="CR11" s="16">
        <f>CR9+CR10</f>
        <v>370.6905345597246</v>
      </c>
      <c r="CS11" s="16">
        <f t="shared" ref="CS11" si="137">CS9+CS10</f>
        <v>382.16076383454981</v>
      </c>
      <c r="CT11" s="16">
        <f t="shared" ref="CT11" si="138">CT9+CT10</f>
        <v>410.34034055712482</v>
      </c>
      <c r="CU11" s="16">
        <f t="shared" ref="CU11" si="139">CU9+CU10</f>
        <v>431.80612158603014</v>
      </c>
      <c r="CV11" s="16">
        <f t="shared" ref="CV11" si="140">CV9+CV10</f>
        <v>357.20143152279235</v>
      </c>
      <c r="CW11" s="16">
        <f t="shared" ref="CW11" si="141">CW9+CW10</f>
        <v>432.83959912866965</v>
      </c>
      <c r="CX11" s="16">
        <f t="shared" ref="CX11" si="142">CX9+CX10</f>
        <v>427.99299250490662</v>
      </c>
      <c r="CY11" s="16">
        <f t="shared" ref="CY11" si="143">CY9+CY10</f>
        <v>420.42219597963486</v>
      </c>
      <c r="CZ11" s="16">
        <f t="shared" ref="CZ11" si="144">CZ9+CZ10</f>
        <v>507.29672737079346</v>
      </c>
      <c r="DA11" s="16">
        <f t="shared" ref="DA11" si="145">DA9+DA10</f>
        <v>560.66061308343251</v>
      </c>
      <c r="DB11" s="16">
        <f t="shared" ref="DB11" si="146">DB9+DB10</f>
        <v>685.03842662375087</v>
      </c>
      <c r="DC11" s="16">
        <f t="shared" ref="DC11" si="147">DC9+DC10</f>
        <v>690.56650790487106</v>
      </c>
      <c r="DD11" s="16">
        <f t="shared" ref="DD11" si="148">DD9+DD10</f>
        <v>790.37022510423208</v>
      </c>
      <c r="DE11" s="16">
        <f t="shared" ref="DE11" si="149">DE9+DE10</f>
        <v>660.05730894937392</v>
      </c>
      <c r="DF11" s="16">
        <f t="shared" ref="DF11" si="150">DF9+DF10</f>
        <v>616.75394617842619</v>
      </c>
      <c r="DG11" s="16">
        <f t="shared" ref="DG11" si="151">DG9+DG10</f>
        <v>618.26554275018952</v>
      </c>
      <c r="DH11" s="16">
        <f t="shared" ref="DH11" si="152">DH9+DH10</f>
        <v>584.71920040499947</v>
      </c>
      <c r="DI11" s="16">
        <f t="shared" ref="DI11" si="153">DI9+DI10</f>
        <v>505.31068202022908</v>
      </c>
      <c r="DJ11" s="16">
        <f t="shared" ref="DJ11" si="154">DJ9+DJ10</f>
        <v>222.37651129050437</v>
      </c>
      <c r="DK11" s="16">
        <f t="shared" ref="DK11" si="155">DK9+DK10</f>
        <v>69.379656357016927</v>
      </c>
      <c r="DL11" s="16">
        <f t="shared" ref="DL11" si="156">DL9+DL10</f>
        <v>15.914788654125585</v>
      </c>
      <c r="DM11" s="11">
        <f t="shared" si="69"/>
        <v>9760.1641163653767</v>
      </c>
      <c r="DN11" s="11">
        <f t="shared" si="34"/>
        <v>475.50066263500474</v>
      </c>
      <c r="DO11" s="11">
        <f t="shared" si="35"/>
        <v>250.49736054005595</v>
      </c>
      <c r="DP11" s="11">
        <f t="shared" si="6"/>
        <v>3292.7776366048647</v>
      </c>
      <c r="DQ11" s="11">
        <f t="shared" si="36"/>
        <v>2015.9663814770649</v>
      </c>
      <c r="DR11" s="15">
        <f t="shared" si="37"/>
        <v>0.33736908491975998</v>
      </c>
      <c r="DS11" s="15">
        <f t="shared" si="38"/>
        <v>0.20655045934082081</v>
      </c>
      <c r="DT11" s="11">
        <f t="shared" si="70"/>
        <v>1638.4562191360035</v>
      </c>
      <c r="DW11" s="211"/>
      <c r="DX11" s="30">
        <f>DX10</f>
        <v>2035</v>
      </c>
      <c r="DY11" s="5" t="s">
        <v>23</v>
      </c>
      <c r="DZ11" s="16">
        <f>DZ9+DZ10</f>
        <v>571.01604255944596</v>
      </c>
      <c r="EA11" s="16">
        <f t="shared" ref="EA11" si="157">EA9+EA10</f>
        <v>546.64686811995944</v>
      </c>
      <c r="EB11" s="16">
        <f t="shared" ref="EB11" si="158">EB9+EB10</f>
        <v>406.3881514711772</v>
      </c>
      <c r="EC11" s="16">
        <f t="shared" ref="EC11" si="159">EC9+EC10</f>
        <v>429.98207780814585</v>
      </c>
      <c r="ED11" s="16">
        <f t="shared" ref="ED11" si="160">ED9+ED10</f>
        <v>355.7713605658023</v>
      </c>
      <c r="EE11" s="16">
        <f t="shared" ref="EE11" si="161">EE9+EE10</f>
        <v>584.83959912866965</v>
      </c>
      <c r="EF11" s="16">
        <f t="shared" ref="EF11" si="162">EF9+EF10</f>
        <v>735.59027979402413</v>
      </c>
      <c r="EG11" s="16">
        <f t="shared" ref="EG11" si="163">EG9+EG10</f>
        <v>867.66124735783501</v>
      </c>
      <c r="EH11" s="16">
        <f t="shared" ref="EH11" si="164">EH9+EH10</f>
        <v>816.46763605629621</v>
      </c>
      <c r="EI11" s="16">
        <f t="shared" ref="EI11" si="165">EI9+EI10</f>
        <v>721.07850247267311</v>
      </c>
      <c r="EJ11" s="16">
        <f t="shared" ref="EJ11" si="166">EJ9+EJ10</f>
        <v>684.02746313334796</v>
      </c>
      <c r="EK11" s="16">
        <f t="shared" ref="EK11" si="167">EK9+EK10</f>
        <v>690.56650790487106</v>
      </c>
      <c r="EL11" s="16">
        <f t="shared" ref="EL11" si="168">EL9+EL10</f>
        <v>790.37022510423208</v>
      </c>
      <c r="EM11" s="16">
        <f t="shared" ref="EM11" si="169">EM9+EM10</f>
        <v>660.05730894937392</v>
      </c>
      <c r="EN11" s="16">
        <f t="shared" ref="EN11" si="170">EN9+EN10</f>
        <v>616.75394617842619</v>
      </c>
      <c r="EO11" s="16">
        <f t="shared" ref="EO11" si="171">EO9+EO10</f>
        <v>618.26554275018952</v>
      </c>
      <c r="EP11" s="16">
        <f t="shared" ref="EP11" si="172">EP9+EP10</f>
        <v>584.71920040499947</v>
      </c>
      <c r="EQ11" s="16">
        <f t="shared" ref="EQ11" si="173">EQ9+EQ10</f>
        <v>505.31068202022908</v>
      </c>
      <c r="ER11" s="16">
        <f t="shared" ref="ER11" si="174">ER9+ER10</f>
        <v>222.37651129050437</v>
      </c>
      <c r="ES11" s="16">
        <f t="shared" ref="ES11" si="175">ES9+ES10</f>
        <v>69.379656357016927</v>
      </c>
      <c r="ET11" s="16">
        <f t="shared" ref="ET11" si="176">ET9+ET10</f>
        <v>15.914788654125585</v>
      </c>
      <c r="EU11" s="11">
        <f t="shared" si="71"/>
        <v>11493.183598081343</v>
      </c>
      <c r="EV11" s="11">
        <f t="shared" si="41"/>
        <v>571.82101175468188</v>
      </c>
      <c r="EW11" s="11">
        <f t="shared" si="42"/>
        <v>248.55167615010004</v>
      </c>
      <c r="EX11" s="11">
        <f t="shared" si="10"/>
        <v>3292.7776366048647</v>
      </c>
      <c r="EY11" s="11">
        <f t="shared" si="43"/>
        <v>2015.9663814770649</v>
      </c>
      <c r="EZ11" s="15">
        <f t="shared" si="44"/>
        <v>0.2864983064531012</v>
      </c>
      <c r="FA11" s="15">
        <f t="shared" si="45"/>
        <v>0.17540539262016208</v>
      </c>
      <c r="FB11" s="11">
        <f t="shared" si="72"/>
        <v>2543.8624868463312</v>
      </c>
    </row>
    <row r="12" spans="1:158" x14ac:dyDescent="0.15">
      <c r="A12" s="7" t="str">
        <f t="shared" si="11"/>
        <v>2020_1</v>
      </c>
      <c r="B12" s="28">
        <v>2020</v>
      </c>
      <c r="C12" s="3" t="s">
        <v>21</v>
      </c>
      <c r="D12" s="9">
        <v>245.80649410166529</v>
      </c>
      <c r="E12" s="9">
        <v>261.82843264494198</v>
      </c>
      <c r="F12" s="9">
        <v>259.47411212703008</v>
      </c>
      <c r="G12" s="9">
        <v>206.47225391235551</v>
      </c>
      <c r="H12" s="9">
        <v>163.95607817243234</v>
      </c>
      <c r="I12" s="9">
        <v>281.3013254480901</v>
      </c>
      <c r="J12" s="9">
        <v>290.48117267845885</v>
      </c>
      <c r="K12" s="9">
        <v>310.7873286356924</v>
      </c>
      <c r="L12" s="9">
        <v>334.06429886752977</v>
      </c>
      <c r="M12" s="9">
        <v>407.17795432218634</v>
      </c>
      <c r="N12" s="9">
        <v>341.69266840657099</v>
      </c>
      <c r="O12" s="9">
        <v>330.40588570561016</v>
      </c>
      <c r="P12" s="9">
        <v>376.01097857171465</v>
      </c>
      <c r="Q12" s="9">
        <v>376.82558480255034</v>
      </c>
      <c r="R12" s="9">
        <v>467.49096774189331</v>
      </c>
      <c r="S12" s="9">
        <v>305.52651438205822</v>
      </c>
      <c r="T12" s="9">
        <v>277.91722322906196</v>
      </c>
      <c r="U12" s="9">
        <v>152.33973050077751</v>
      </c>
      <c r="V12" s="9">
        <v>76.199517263905648</v>
      </c>
      <c r="W12" s="9">
        <v>10.210793110110572</v>
      </c>
      <c r="X12" s="9">
        <v>2.0306853753638312</v>
      </c>
      <c r="Y12" s="9">
        <f t="shared" ref="Y12:Y14" si="177">SUM(D12:X12)</f>
        <v>5478</v>
      </c>
      <c r="Z12" s="9">
        <f>E12*3/5+F12*3/5</f>
        <v>312.78152686318322</v>
      </c>
      <c r="AA12" s="9">
        <f>F12*2/5+G12*1/5</f>
        <v>145.08409563328314</v>
      </c>
      <c r="AB12" s="9">
        <f t="shared" ref="AB12:AB14" si="178">SUM(Q12:X12)</f>
        <v>1668.5410164057214</v>
      </c>
      <c r="AC12" s="9">
        <f>SUM(S12:X12)</f>
        <v>824.22446386127774</v>
      </c>
      <c r="AD12" s="13">
        <f>AB12/Y12</f>
        <v>0.3045894516987443</v>
      </c>
      <c r="AE12" s="13">
        <f>AC12/Y12</f>
        <v>0.15046083677642894</v>
      </c>
      <c r="AF12" s="9">
        <f>SUM(H12:K12)</f>
        <v>1046.5259049346737</v>
      </c>
      <c r="AK12" s="61">
        <f>管理者入力シート!B5</f>
        <v>2020</v>
      </c>
      <c r="AL12" s="62"/>
      <c r="BH12" s="7" t="str">
        <f t="shared" si="19"/>
        <v>2040_1</v>
      </c>
      <c r="BI12" s="28">
        <f>管理者入力シート!B11</f>
        <v>2040</v>
      </c>
      <c r="BJ12" s="3" t="s">
        <v>21</v>
      </c>
      <c r="BK12" s="9">
        <f>CM13*$AK$13</f>
        <v>180.14754619586031</v>
      </c>
      <c r="BL12" s="9">
        <f>IF(管理者入力シート!$B$14=1,BK9*管理者用人口入力シート!AM$3,IF(管理者入力シート!$B$14=2,BK9*管理者用人口入力シート!AM$7))</f>
        <v>182.09942441543123</v>
      </c>
      <c r="BM12" s="9">
        <f>IF(管理者入力シート!$B$14=1,BL9*管理者用人口入力シート!AN$3,IF(管理者入力シート!$B$14=2,BL9*管理者用人口入力シート!AN$7))</f>
        <v>197.52280274845697</v>
      </c>
      <c r="BN12" s="9">
        <f>IF(管理者入力シート!$B$14=1,BM9*管理者用人口入力シート!AO$3,IF(管理者入力シート!$B$14=2,BM9*管理者用人口入力シート!AO$7))</f>
        <v>169.5788894865251</v>
      </c>
      <c r="BO12" s="9">
        <f>IF(管理者入力シート!$B$14=1,BN9*管理者用人口入力シート!AP$3,IF(管理者入力シート!$B$14=2,BN9*管理者用人口入力シート!AP$7))</f>
        <v>145.99758912820363</v>
      </c>
      <c r="BP12" s="9">
        <f>IF(管理者入力シート!$B$14=1,BO9*管理者用人口入力シート!AQ$3,IF(管理者入力シート!$B$14=2,BO9*管理者用人口入力シート!AQ$7))</f>
        <v>224.60896022603922</v>
      </c>
      <c r="BQ12" s="9">
        <f>IF(管理者入力シート!$B$14=1,BP9*管理者用人口入力シート!AR$3,IF(管理者入力シート!$B$14=2,BP9*管理者用人口入力シート!AR$7))</f>
        <v>212.51511849446558</v>
      </c>
      <c r="BR12" s="9">
        <f>IF(管理者入力シート!$B$14=1,BQ9*管理者用人口入力シート!AS$3,IF(管理者入力シート!$B$14=2,BQ9*管理者用人口入力シート!AS$7))</f>
        <v>203.37714617027692</v>
      </c>
      <c r="BS12" s="9">
        <f>IF(管理者入力シート!$B$14=1,BR9*管理者用人口入力シート!AT$3,IF(管理者入力シート!$B$14=2,BR9*管理者用人口入力シート!AT$7))</f>
        <v>219.95862487300883</v>
      </c>
      <c r="BT12" s="9">
        <f>IF(管理者入力シート!$B$14=1,BS9*管理者用人口入力シート!AU$3,IF(管理者入力シート!$B$14=2,BS9*管理者用人口入力シート!AU$7))</f>
        <v>264.731139717009</v>
      </c>
      <c r="BU12" s="9">
        <f>IF(管理者入力シート!$B$14=1,BT9*管理者用人口入力シート!AV$3,IF(管理者入力シート!$B$14=2,BT9*管理者用人口入力シート!AV$7))</f>
        <v>285.7074508751262</v>
      </c>
      <c r="BV12" s="9">
        <f>IF(管理者入力シート!$B$14=1,BU9*管理者用人口入力シート!AW$3,IF(管理者入力シート!$B$14=2,BU9*管理者用人口入力シート!AW$7))</f>
        <v>313.23371657989361</v>
      </c>
      <c r="BW12" s="9">
        <f>IF(管理者入力シート!$B$14=1,BV9*管理者用人口入力シート!AX$3,IF(管理者入力シート!$B$14=2,BV9*管理者用人口入力シート!AX$7))</f>
        <v>330.61672081163397</v>
      </c>
      <c r="BX12" s="9">
        <f>IF(管理者入力シート!$B$14=1,BW9*管理者用人口入力シート!AY$3,IF(管理者入力シート!$B$14=2,BW9*管理者用人口入力シート!AY$7))</f>
        <v>367.77725388423971</v>
      </c>
      <c r="BY12" s="9">
        <f>IF(管理者入力シート!$B$14=1,BX9*管理者用人口入力シート!AZ$3,IF(管理者入力シート!$B$14=2,BX9*管理者用人口入力シート!AZ$7))</f>
        <v>273.97410451437594</v>
      </c>
      <c r="BZ12" s="9">
        <f>IF(管理者入力シート!$B$14=1,BY9*管理者用人口入力シート!BA$3,IF(管理者入力シート!$B$14=2,BY9*管理者用人口入力シート!BA$7))</f>
        <v>231.94841741202188</v>
      </c>
      <c r="CA12" s="9">
        <f>IF(管理者入力シート!$B$14=1,BZ9*管理者用人口入力シート!BB$3,IF(管理者入力シート!$B$14=2,BZ9*管理者用人口入力シート!BB$7))</f>
        <v>209.76444388347136</v>
      </c>
      <c r="CB12" s="9">
        <f>IF(管理者入力シート!$B$14=1,CA9*管理者用人口入力シート!BC$3,IF(管理者入力シート!$B$14=2,CA9*管理者用人口入力シート!BC$7))</f>
        <v>143.82177553947412</v>
      </c>
      <c r="CC12" s="9">
        <f>IF(管理者入力シート!$B$14=1,CB9*管理者用人口入力シート!BD$3,IF(管理者入力シート!$B$14=2,CB9*管理者用人口入力シート!BD$7))</f>
        <v>100.16389816306717</v>
      </c>
      <c r="CD12" s="9">
        <f>IF(管理者入力シート!$B$14=1,CC9*管理者用人口入力シート!BE$3,IF(管理者入力シート!$B$14=2,CC9*管理者用人口入力シート!BE$7))</f>
        <v>18.012656810237065</v>
      </c>
      <c r="CE12" s="9">
        <f>IF(管理者入力シート!$B$14=1,CD9*管理者用人口入力シート!BF$3,IF(管理者入力シート!$B$14=2,CD9*管理者用人口入力シート!BF$7))</f>
        <v>4.4386566801804088</v>
      </c>
      <c r="CF12" s="9">
        <f t="shared" si="2"/>
        <v>4279.9963366089978</v>
      </c>
      <c r="CG12" s="9">
        <f t="shared" si="20"/>
        <v>227.77333629833291</v>
      </c>
      <c r="CH12" s="9">
        <f t="shared" si="21"/>
        <v>112.9248989966878</v>
      </c>
      <c r="CI12" s="9">
        <f t="shared" si="3"/>
        <v>1349.9012068870677</v>
      </c>
      <c r="CJ12" s="9">
        <f t="shared" si="22"/>
        <v>708.14984848845211</v>
      </c>
      <c r="CK12" s="13">
        <f t="shared" si="23"/>
        <v>0.31539774820381788</v>
      </c>
      <c r="CL12" s="13">
        <f t="shared" si="24"/>
        <v>0.16545571369566003</v>
      </c>
      <c r="CM12" s="9">
        <f t="shared" si="25"/>
        <v>786.49881401898529</v>
      </c>
      <c r="CO12" s="7" t="str">
        <f t="shared" si="26"/>
        <v>2040_1</v>
      </c>
      <c r="CP12" s="28">
        <f>管理者入力シート!B11</f>
        <v>2040</v>
      </c>
      <c r="CQ12" s="3" t="s">
        <v>21</v>
      </c>
      <c r="CR12" s="9">
        <f>DT13*$AK$13+将来予測シート②!$G17</f>
        <v>182.86419389212486</v>
      </c>
      <c r="CS12" s="9">
        <f>IF(管理者入力シート!$B$14=1,CR9*管理者用人口入力シート!AM$3,IF(管理者入力シート!$B$14=2,CR9*管理者用人口入力シート!AM$7))+将来予測シート②!$G18</f>
        <v>184.5882486632689</v>
      </c>
      <c r="CT12" s="9">
        <f>IF(管理者入力シート!$B$14=1,CS9*管理者用人口入力シート!AN$3,IF(管理者入力シート!$B$14=2,CS9*管理者用人口入力シート!AN$7))+将来予測シート②!$G19</f>
        <v>200.4464726242546</v>
      </c>
      <c r="CU12" s="9">
        <f>IF(管理者入力シート!$B$14=1,CT9*管理者用人口入力シート!AO$3,IF(管理者入力シート!$B$14=2,CT9*管理者用人口入力シート!AO$7))+将来予測シート②!$G20</f>
        <v>171.18337918554391</v>
      </c>
      <c r="CV12" s="9">
        <f>IF(管理者入力シート!$B$14=1,CU9*管理者用人口入力シート!AP$3,IF(管理者入力シート!$B$14=2,CU9*管理者用人口入力シート!AP$7))+将来予測シート②!$G21</f>
        <v>146.5879884478733</v>
      </c>
      <c r="CW12" s="9">
        <f>IF(管理者入力シート!$B$14=1,CV9*管理者用人口入力シート!AQ$3,IF(管理者入力シート!$B$14=2,CV9*管理者用人口入力シート!AQ$7))+将来予測シート②!$G22</f>
        <v>227.44753421441393</v>
      </c>
      <c r="CX12" s="9">
        <f>IF(管理者入力シート!$B$14=1,CW9*管理者用人口入力シート!AR$3,IF(管理者入力シート!$B$14=2,CW9*管理者用人口入力シート!AR$7))+将来予測シート②!$G23</f>
        <v>214.46848800959594</v>
      </c>
      <c r="CY12" s="9">
        <f>IF(管理者入力シート!$B$14=1,CX9*管理者用人口入力シート!AS$3,IF(管理者入力シート!$B$14=2,CX9*管理者用人口入力シート!AS$7))+将来予測シート②!$G24</f>
        <v>205.25616356027487</v>
      </c>
      <c r="CZ12" s="9">
        <f>IF(管理者入力シート!$B$14=1,CY9*管理者用人口入力シート!AT$3,IF(管理者入力シート!$B$14=2,CY9*管理者用人口入力シート!AT$7))+将来予測シート②!$G25</f>
        <v>221.84769435291454</v>
      </c>
      <c r="DA12" s="9">
        <f>IF(管理者入力シート!$B$14=1,CZ9*管理者用人口入力シート!AU$3,IF(管理者入力シート!$B$14=2,CZ9*管理者用人口入力シート!AU$7))+将来予測シート②!$G26</f>
        <v>264.731139717009</v>
      </c>
      <c r="DB12" s="9">
        <f>IF(管理者入力シート!$B$14=1,DA9*管理者用人口入力シート!AV$3,IF(管理者入力シート!$B$14=2,DA9*管理者用人口入力シート!AV$7))+将来予測シート②!$G27</f>
        <v>285.7074508751262</v>
      </c>
      <c r="DC12" s="9">
        <f>IF(管理者入力シート!$B$14=1,DB9*管理者用人口入力シート!AW$3,IF(管理者入力シート!$B$14=2,DB9*管理者用人口入力シート!AW$7))+将来予測シート②!$G28</f>
        <v>313.23371657989361</v>
      </c>
      <c r="DD12" s="9">
        <f>IF(管理者入力シート!$B$14=1,DC9*管理者用人口入力シート!AX$3,IF(管理者入力シート!$B$14=2,DC9*管理者用人口入力シート!AX$7))+将来予測シート②!$G29</f>
        <v>330.61672081163397</v>
      </c>
      <c r="DE12" s="9">
        <f>IF(管理者入力シート!$B$14=1,DD9*管理者用人口入力シート!AY$3,IF(管理者入力シート!$B$14=2,DD9*管理者用人口入力シート!AY$7))</f>
        <v>367.77725388423971</v>
      </c>
      <c r="DF12" s="9">
        <f>IF(管理者入力シート!$B$14=1,DE9*管理者用人口入力シート!AZ$3,IF(管理者入力シート!$B$14=2,DE9*管理者用人口入力シート!AZ$7))</f>
        <v>273.97410451437594</v>
      </c>
      <c r="DG12" s="9">
        <f>IF(管理者入力シート!$B$14=1,DF9*管理者用人口入力シート!BA$3,IF(管理者入力シート!$B$14=2,DF9*管理者用人口入力シート!BA$7))</f>
        <v>231.94841741202188</v>
      </c>
      <c r="DH12" s="9">
        <f>IF(管理者入力シート!$B$14=1,DG9*管理者用人口入力シート!BB$3,IF(管理者入力シート!$B$14=2,DG9*管理者用人口入力シート!BB$7))</f>
        <v>209.76444388347136</v>
      </c>
      <c r="DI12" s="9">
        <f>IF(管理者入力シート!$B$14=1,DH9*管理者用人口入力シート!BC$3,IF(管理者入力シート!$B$14=2,DH9*管理者用人口入力シート!BC$7))</f>
        <v>143.82177553947412</v>
      </c>
      <c r="DJ12" s="9">
        <f>IF(管理者入力シート!$B$14=1,DI9*管理者用人口入力シート!BD$3,IF(管理者入力シート!$B$14=2,DI9*管理者用人口入力シート!BD$7))</f>
        <v>100.16389816306717</v>
      </c>
      <c r="DK12" s="9">
        <f>IF(管理者入力シート!$B$14=1,DJ9*管理者用人口入力シート!BE$3,IF(管理者入力シート!$B$14=2,DJ9*管理者用人口入力シート!BE$7))</f>
        <v>18.012656810237065</v>
      </c>
      <c r="DL12" s="9">
        <f>IF(管理者入力シート!$B$14=1,DK9*管理者用人口入力シート!BF$3,IF(管理者入力シート!$B$14=2,DK9*管理者用人口入力シート!BF$7))</f>
        <v>4.4386566801804088</v>
      </c>
      <c r="DM12" s="9">
        <f t="shared" si="69"/>
        <v>4298.8803978209944</v>
      </c>
      <c r="DN12" s="9">
        <f t="shared" si="34"/>
        <v>231.0208327725141</v>
      </c>
      <c r="DO12" s="9">
        <f t="shared" si="35"/>
        <v>114.41526488681063</v>
      </c>
      <c r="DP12" s="9">
        <f t="shared" si="6"/>
        <v>1349.9012068870677</v>
      </c>
      <c r="DQ12" s="9">
        <f t="shared" si="36"/>
        <v>708.14984848845211</v>
      </c>
      <c r="DR12" s="13">
        <f t="shared" si="37"/>
        <v>0.3140122734215407</v>
      </c>
      <c r="DS12" s="13">
        <f t="shared" si="38"/>
        <v>0.16472890216889899</v>
      </c>
      <c r="DT12" s="9">
        <f t="shared" si="70"/>
        <v>793.76017423215808</v>
      </c>
      <c r="DV12" s="212"/>
      <c r="DX12" s="28">
        <f>管理者入力シート!B11</f>
        <v>2040</v>
      </c>
      <c r="DY12" s="3" t="s">
        <v>21</v>
      </c>
      <c r="DZ12" s="9">
        <f>FB13*$AK$13</f>
        <v>284.13381134319968</v>
      </c>
      <c r="EA12" s="129">
        <f>IF(管理者入力シート!$B$14=1,DZ9*管理者用人口入力シート!AM$3,IF(管理者入力シート!$B$14=2,DZ9*管理者用人口入力シート!AM$7))</f>
        <v>284.36125880474691</v>
      </c>
      <c r="EB12" s="9">
        <f>IF(管理者入力シート!$B$14=1,EA9*管理者用人口入力シート!AN$3,IF(管理者入力シート!$B$14=2,EA9*管理者用人口入力シート!AN$7))</f>
        <v>285.30862698550214</v>
      </c>
      <c r="EC12" s="9">
        <f>IF(管理者入力シート!$B$14=1,EB9*管理者用人口入力シート!AO$3,IF(管理者入力シート!$B$14=2,EB9*管理者用人口入力シート!AO$7))</f>
        <v>169.5788894865251</v>
      </c>
      <c r="ED12" s="9">
        <f>IF(管理者入力シート!$B$14=1,EC9*管理者用人口入力シート!AP$3,IF(管理者入力シート!$B$14=2,EC9*管理者用人口入力シート!AP$7))</f>
        <v>145.99758912820363</v>
      </c>
      <c r="EE12" s="9">
        <f>IF(管理者入力シート!$B$14=1,ED9*管理者用人口入力シート!AQ$3,IF(管理者入力シート!$B$14=2,ED9*管理者用人口入力シート!AQ$7))+DX1</f>
        <v>302.60896022603924</v>
      </c>
      <c r="EF12" s="9">
        <f>IF(管理者入力シート!$B$14=1,EE9*管理者用人口入力シート!AR$3,IF(管理者入力シート!$B$14=2,EE9*管理者用人口入力シート!AR$7))+DX1</f>
        <v>366.69652958454998</v>
      </c>
      <c r="EG12" s="9">
        <f>IF(管理者入力シート!$B$14=1,EF9*管理者用人口入力シート!AS$3,IF(管理者入力シート!$B$14=2,EF9*管理者用人口入力シート!AS$7))+DX1</f>
        <v>429.6898695995435</v>
      </c>
      <c r="EH12" s="9">
        <f>IF(管理者入力シート!$B$14=1,EG9*管理者用人口入力シート!AT$3,IF(管理者入力シート!$B$14=2,EG9*管理者用人口入力シート!AT$7))</f>
        <v>447.4820427084577</v>
      </c>
      <c r="EI12" s="9">
        <f>IF(管理者入力シート!$B$14=1,EH9*管理者用人口入力シート!AU$3,IF(管理者入力シート!$B$14=2,EH9*管理者用人口入力シート!AU$7))</f>
        <v>418.02049288342795</v>
      </c>
      <c r="EJ12" s="9">
        <f>IF(管理者入力シート!$B$14=1,EI9*管理者用人口入力シート!AV$3,IF(管理者入力シート!$B$14=2,EI9*管理者用人口入力シート!AV$7))</f>
        <v>365.46132456201747</v>
      </c>
      <c r="EK12" s="9">
        <f>IF(管理者入力シート!$B$14=1,EJ9*管理者用人口入力シート!AW$3,IF(管理者入力シート!$B$14=2,EJ9*管理者用人口入力シート!AW$7))</f>
        <v>313.23371657989361</v>
      </c>
      <c r="EL12" s="9">
        <f>IF(管理者入力シート!$B$14=1,EK9*管理者用人口入力シート!AX$3,IF(管理者入力シート!$B$14=2,EK9*管理者用人口入力シート!AX$7))</f>
        <v>330.61672081163397</v>
      </c>
      <c r="EM12" s="9">
        <f>IF(管理者入力シート!$B$14=1,EL9*管理者用人口入力シート!AY$3,IF(管理者入力シート!$B$14=2,EL9*管理者用人口入力シート!AY$7))</f>
        <v>367.77725388423971</v>
      </c>
      <c r="EN12" s="9">
        <f>IF(管理者入力シート!$B$14=1,EM9*管理者用人口入力シート!AZ$3,IF(管理者入力シート!$B$14=2,EM9*管理者用人口入力シート!AZ$7))</f>
        <v>273.97410451437594</v>
      </c>
      <c r="EO12" s="9">
        <f>IF(管理者入力シート!$B$14=1,EN9*管理者用人口入力シート!BA$3,IF(管理者入力シート!$B$14=2,EN9*管理者用人口入力シート!BA$7))</f>
        <v>231.94841741202188</v>
      </c>
      <c r="EP12" s="9">
        <f>IF(管理者入力シート!$B$14=1,EO9*管理者用人口入力シート!BB$3,IF(管理者入力シート!$B$14=2,EO9*管理者用人口入力シート!BB$7))</f>
        <v>209.76444388347136</v>
      </c>
      <c r="EQ12" s="9">
        <f>IF(管理者入力シート!$B$14=1,EP9*管理者用人口入力シート!BC$3,IF(管理者入力シート!$B$14=2,EP9*管理者用人口入力シート!BC$7))</f>
        <v>143.82177553947412</v>
      </c>
      <c r="ER12" s="9">
        <f>IF(管理者入力シート!$B$14=1,EQ9*管理者用人口入力シート!BD$3,IF(管理者入力シート!$B$14=2,EQ9*管理者用人口入力シート!BD$7))</f>
        <v>100.16389816306717</v>
      </c>
      <c r="ES12" s="9">
        <f>IF(管理者入力シート!$B$14=1,ER9*管理者用人口入力シート!BE$3,IF(管理者入力シート!$B$14=2,ER9*管理者用人口入力シート!BE$7))</f>
        <v>18.012656810237065</v>
      </c>
      <c r="ET12" s="9">
        <f>IF(管理者入力シート!$B$14=1,ES9*管理者用人口入力シート!BF$3,IF(管理者入力シート!$B$14=2,ES9*管理者用人口入力シート!BF$7))</f>
        <v>4.4386566801804088</v>
      </c>
      <c r="EU12" s="9">
        <f t="shared" si="71"/>
        <v>5493.0910395908086</v>
      </c>
      <c r="EV12" s="9">
        <f t="shared" si="41"/>
        <v>341.80193147414946</v>
      </c>
      <c r="EW12" s="9">
        <f t="shared" si="42"/>
        <v>148.03922869150588</v>
      </c>
      <c r="EX12" s="9">
        <f t="shared" si="10"/>
        <v>1349.9012068870677</v>
      </c>
      <c r="EY12" s="9">
        <f t="shared" si="43"/>
        <v>708.14984848845211</v>
      </c>
      <c r="EZ12" s="13">
        <f t="shared" si="44"/>
        <v>0.24574528205664412</v>
      </c>
      <c r="FA12" s="13">
        <f t="shared" si="45"/>
        <v>0.12891645949148581</v>
      </c>
      <c r="FB12" s="9">
        <f t="shared" si="72"/>
        <v>1244.9929485383363</v>
      </c>
    </row>
    <row r="13" spans="1:158" x14ac:dyDescent="0.15">
      <c r="A13" s="7" t="str">
        <f t="shared" si="11"/>
        <v>2020_2</v>
      </c>
      <c r="B13" s="29">
        <v>2020</v>
      </c>
      <c r="C13" s="4" t="s">
        <v>22</v>
      </c>
      <c r="D13" s="10">
        <v>239.60363346915818</v>
      </c>
      <c r="E13" s="10">
        <v>240.9373735912219</v>
      </c>
      <c r="F13" s="10">
        <v>256.88694605545635</v>
      </c>
      <c r="G13" s="10">
        <v>260.07302515166197</v>
      </c>
      <c r="H13" s="10">
        <v>212.9266357002312</v>
      </c>
      <c r="I13" s="10">
        <v>244.45731194459074</v>
      </c>
      <c r="J13" s="10">
        <v>280.99165441096829</v>
      </c>
      <c r="K13" s="10">
        <v>349.244852930158</v>
      </c>
      <c r="L13" s="10">
        <v>342.41145938373461</v>
      </c>
      <c r="M13" s="10">
        <v>397.95856596195807</v>
      </c>
      <c r="N13" s="10">
        <v>370.08715496985866</v>
      </c>
      <c r="O13" s="10">
        <v>373.08000785030441</v>
      </c>
      <c r="P13" s="10">
        <v>401.37317400615052</v>
      </c>
      <c r="Q13" s="10">
        <v>463.96867460235796</v>
      </c>
      <c r="R13" s="10">
        <v>535.13298415993722</v>
      </c>
      <c r="S13" s="10">
        <v>414.64742183684126</v>
      </c>
      <c r="T13" s="10">
        <v>361.89496211120513</v>
      </c>
      <c r="U13" s="10">
        <v>324.90690673357602</v>
      </c>
      <c r="V13" s="10">
        <v>185.10410418084368</v>
      </c>
      <c r="W13" s="10">
        <v>57.095632816885328</v>
      </c>
      <c r="X13" s="10">
        <v>6.2175181329002598</v>
      </c>
      <c r="Y13" s="10">
        <f t="shared" si="177"/>
        <v>6318.9999999999991</v>
      </c>
      <c r="Z13" s="10">
        <f t="shared" ref="Z13:Z14" si="179">E13*3/5+F13*3/5</f>
        <v>298.69459178800696</v>
      </c>
      <c r="AA13" s="10">
        <f t="shared" ref="AA13:AA14" si="180">F13*2/5+G13*1/5</f>
        <v>154.76938345251494</v>
      </c>
      <c r="AB13" s="10">
        <f t="shared" si="178"/>
        <v>2348.9682045745467</v>
      </c>
      <c r="AC13" s="10">
        <f t="shared" ref="AC13:AC14" si="181">SUM(S13:X13)</f>
        <v>1349.8665458122518</v>
      </c>
      <c r="AD13" s="14">
        <f t="shared" ref="AD13:AD14" si="182">AB13/Y13</f>
        <v>0.37173100246471708</v>
      </c>
      <c r="AE13" s="14">
        <f t="shared" ref="AE13:AE14" si="183">AC13/Y13</f>
        <v>0.21362027944488876</v>
      </c>
      <c r="AF13" s="10">
        <f t="shared" ref="AF13:AF14" si="184">SUM(H13:K13)</f>
        <v>1087.6204549859483</v>
      </c>
      <c r="AI13" s="60" t="s">
        <v>47</v>
      </c>
      <c r="AJ13" s="1" t="s">
        <v>21</v>
      </c>
      <c r="AK13" s="8">
        <f>VLOOKUP(AK12&amp;"_1",A:D,4,FALSE)/VLOOKUP(AK12&amp;"_2",A:AF,32,FALSE)</f>
        <v>0.22600392717406279</v>
      </c>
      <c r="AL13" s="63"/>
      <c r="BH13" s="7" t="str">
        <f t="shared" si="19"/>
        <v>2040_2</v>
      </c>
      <c r="BI13" s="29">
        <f>BI12</f>
        <v>2040</v>
      </c>
      <c r="BJ13" s="4" t="s">
        <v>22</v>
      </c>
      <c r="BK13" s="10">
        <f>CM13*$AK$14</f>
        <v>175.60157141832295</v>
      </c>
      <c r="BL13" s="10">
        <f>IF(管理者入力シート!$B$14=1,BK10*管理者用人口入力シート!AM$4,IF(管理者入力シート!$B$14=2,BK10*管理者用人口入力シート!AM$8))</f>
        <v>174.81937053106711</v>
      </c>
      <c r="BM13" s="10">
        <f>IF(管理者入力シート!$B$14=1,BL10*管理者用人口入力シート!AN$4,IF(管理者入力シート!$B$14=2,BL10*管理者用人口入力シート!AN$8))</f>
        <v>181.08384068342784</v>
      </c>
      <c r="BN13" s="10">
        <f>IF(管理者入力シート!$B$14=1,BM10*管理者用人口入力シート!AO$4,IF(管理者入力シート!$B$14=2,BM10*管理者用人口入力シート!AO$8))</f>
        <v>199.07648058088853</v>
      </c>
      <c r="BO13" s="10">
        <f>IF(管理者入力シート!$B$14=1,BN10*管理者用人口入力シート!AP$4,IF(管理者入力シート!$B$14=2,BN10*管理者用人口入力シート!AP$8))</f>
        <v>190.35828230912469</v>
      </c>
      <c r="BP13" s="10">
        <f>IF(管理者入力シート!$B$14=1,BO10*管理者用人口入力シート!AQ$4,IF(管理者入力シート!$B$14=2,BO10*管理者用人口入力シート!AQ$8))</f>
        <v>193.55839341908893</v>
      </c>
      <c r="BQ13" s="10">
        <f>IF(管理者入力シート!$B$14=1,BP10*管理者用人口入力シート!AR$4,IF(管理者入力シート!$B$14=2,BP10*管理者用人口入力シート!AR$8))</f>
        <v>215.0573451029768</v>
      </c>
      <c r="BR13" s="10">
        <f>IF(管理者入力シート!$B$14=1,BQ10*管理者用人口入力シート!AS$4,IF(管理者入力シート!$B$14=2,BQ10*管理者用人口入力シート!AS$8))</f>
        <v>198.12516433967178</v>
      </c>
      <c r="BS13" s="10">
        <f>IF(管理者入力シート!$B$14=1,BR10*管理者用人口入力シート!AT$4,IF(管理者入力シート!$B$14=2,BR10*管理者用人口入力シート!AT$8))</f>
        <v>205.24221737813065</v>
      </c>
      <c r="BT13" s="10">
        <f>IF(管理者入力シート!$B$14=1,BS10*管理者用人口入力シート!AU$4,IF(管理者入力シート!$B$14=2,BS10*管理者用人口入力シート!AU$8))</f>
        <v>247.74841526170937</v>
      </c>
      <c r="BU13" s="10">
        <f>IF(管理者入力シート!$B$14=1,BT10*管理者用人口入力シート!AV$4,IF(管理者入力シート!$B$14=2,BT10*管理者用人口入力シート!AV$8))</f>
        <v>274.63939797960995</v>
      </c>
      <c r="BV13" s="10">
        <f>IF(管理者入力シート!$B$14=1,BU10*管理者用人口入力シート!AW$4,IF(管理者入力シート!$B$14=2,BU10*管理者用人口入力シート!AW$8))</f>
        <v>376.30179662980515</v>
      </c>
      <c r="BW13" s="10">
        <f>IF(管理者入力シート!$B$14=1,BV10*管理者用人口入力シート!AX$4,IF(管理者入力シート!$B$14=2,BV10*管理者用人口入力シート!AX$8))</f>
        <v>341.92300022438224</v>
      </c>
      <c r="BX13" s="10">
        <f>IF(管理者入力シート!$B$14=1,BW10*管理者用人口入力シート!AY$4,IF(管理者入力シート!$B$14=2,BW10*管理者用人口入力シート!AY$8))</f>
        <v>377.63885728889625</v>
      </c>
      <c r="BY13" s="10">
        <f>IF(管理者入力シート!$B$14=1,BX10*管理者用人口入力シート!AZ$4,IF(管理者入力シート!$B$14=2,BX10*管理者用人口入力シート!AZ$8))</f>
        <v>354.66896153062828</v>
      </c>
      <c r="BZ13" s="10">
        <f>IF(管理者入力シート!$B$14=1,BY10*管理者用人口入力シート!BA$4,IF(管理者入力シート!$B$14=2,BY10*管理者用人口入力シート!BA$8))</f>
        <v>313.54562049235852</v>
      </c>
      <c r="CA13" s="10">
        <f>IF(管理者入力シート!$B$14=1,BZ10*管理者用人口入力シート!BB$4,IF(管理者入力シート!$B$14=2,BZ10*管理者用人口入力シート!BB$8))</f>
        <v>299.27813930238369</v>
      </c>
      <c r="CB13" s="10">
        <f>IF(管理者入力シート!$B$14=1,CA10*管理者用人口入力シート!BC$4,IF(管理者入力シート!$B$14=2,CA10*管理者用人口入力シート!BC$8))</f>
        <v>265.12106460216245</v>
      </c>
      <c r="CC13" s="10">
        <f>IF(管理者入力シート!$B$14=1,CB10*管理者用人口入力シート!BD$4,IF(管理者入力シート!$B$14=2,CB10*管理者用人口入力シート!BD$8))</f>
        <v>170.38366338789174</v>
      </c>
      <c r="CD13" s="10">
        <f>IF(管理者入力シート!$B$14=1,CC10*管理者用人口入力シート!BE$4,IF(管理者入力シート!$B$14=2,CC10*管理者用人口入力シート!BE$8))</f>
        <v>47.391418350737297</v>
      </c>
      <c r="CE13" s="10">
        <f>IF(管理者入力シート!$B$14=1,CD10*管理者用人口入力シート!BF$4,IF(管理者入力シート!$B$14=2,CD10*管理者用人口入力シート!BF$8))</f>
        <v>10.026581833782172</v>
      </c>
      <c r="CF13" s="10">
        <f t="shared" si="2"/>
        <v>4811.5895826470469</v>
      </c>
      <c r="CG13" s="10">
        <f t="shared" si="20"/>
        <v>213.54192672869698</v>
      </c>
      <c r="CH13" s="10">
        <f t="shared" si="21"/>
        <v>112.24883238954884</v>
      </c>
      <c r="CI13" s="10">
        <f t="shared" si="3"/>
        <v>1838.0543067888404</v>
      </c>
      <c r="CJ13" s="10">
        <f t="shared" si="22"/>
        <v>1105.7464879693159</v>
      </c>
      <c r="CK13" s="14">
        <f t="shared" si="23"/>
        <v>0.38200562936992094</v>
      </c>
      <c r="CL13" s="14">
        <f t="shared" si="24"/>
        <v>0.22980897871197917</v>
      </c>
      <c r="CM13" s="10">
        <f t="shared" si="25"/>
        <v>797.09918517086214</v>
      </c>
      <c r="CO13" s="7" t="str">
        <f t="shared" si="26"/>
        <v>2040_2</v>
      </c>
      <c r="CP13" s="29">
        <f>CP12</f>
        <v>2040</v>
      </c>
      <c r="CQ13" s="4" t="s">
        <v>22</v>
      </c>
      <c r="CR13" s="10">
        <f>DT13*$AK$14+将来予測シート②!$H17</f>
        <v>178.2748999726179</v>
      </c>
      <c r="CS13" s="10">
        <f>IF(管理者入力シート!$B$14=1,CR10*管理者用人口入力シート!AM$4,IF(管理者入力シート!$B$14=2,CR10*管理者用人口入力シート!AM$8))+将来予測シート②!$H18</f>
        <v>177.23313632786218</v>
      </c>
      <c r="CT13" s="10">
        <f>IF(管理者入力シート!$B$14=1,CS10*管理者用人口入力シート!AN$4,IF(管理者入力シート!$B$14=2,CS10*管理者用人口入力シート!AN$8))+将来予測シート②!$H19</f>
        <v>183.87128822841396</v>
      </c>
      <c r="CU13" s="10">
        <f>IF(管理者入力シート!$B$14=1,CT10*管理者用人口入力シート!AO$4,IF(管理者入力シート!$B$14=2,CT10*管理者用人口入力シート!AO$8))+将来予測シート②!$H20</f>
        <v>201.06975956517942</v>
      </c>
      <c r="CV13" s="10">
        <f>IF(管理者入力シート!$B$14=1,CU10*管理者用人口入力シート!AP$4,IF(管理者入力シート!$B$14=2,CU10*管理者用人口入力シート!AP$8))+将来予測シート②!$H21</f>
        <v>191.19795394644504</v>
      </c>
      <c r="CW13" s="10">
        <f>IF(管理者入力シート!$B$14=1,CV10*管理者用人口入力シート!AQ$4,IF(管理者入力シート!$B$14=2,CV10*管理者用人口入力シート!AQ$8))+将来予測シート②!$H22</f>
        <v>196.38074489037274</v>
      </c>
      <c r="CX13" s="10">
        <f>IF(管理者入力シート!$B$14=1,CW10*管理者用人口入力シート!AR$4,IF(管理者入力シート!$B$14=2,CW10*管理者用人口入力シート!AR$8))+将来予測シート②!$H23</f>
        <v>217.09337788492846</v>
      </c>
      <c r="CY13" s="10">
        <f>IF(管理者入力シート!$B$14=1,CX10*管理者用人口入力シート!AS$4,IF(管理者入力シート!$B$14=2,CX10*管理者用人口入力シート!AS$8))+将来予測シート②!$H24</f>
        <v>200.0227627270277</v>
      </c>
      <c r="CZ13" s="10">
        <f>IF(管理者入力シート!$B$14=1,CY10*管理者用人口入力シート!AT$4,IF(管理者入力シート!$B$14=2,CY10*管理者用人口入力シート!AT$8))+将来予測シート②!$H25</f>
        <v>208.21064164964369</v>
      </c>
      <c r="DA13" s="10">
        <f>IF(管理者入力シート!$B$14=1,CZ10*管理者用人口入力シート!AU$4,IF(管理者入力シート!$B$14=2,CZ10*管理者用人口入力シート!AU$8))+将来予測シート②!$H26</f>
        <v>248.77813523667831</v>
      </c>
      <c r="DB13" s="10">
        <f>IF(管理者入力シート!$B$14=1,DA10*管理者用人口入力シート!AV$4,IF(管理者入力シート!$B$14=2,DA10*管理者用人口入力シート!AV$8))+将来予測シート②!$H27</f>
        <v>275.65036147001285</v>
      </c>
      <c r="DC13" s="10">
        <f>IF(管理者入力シート!$B$14=1,DB10*管理者用人口入力シート!AW$4,IF(管理者入力シート!$B$14=2,DB10*管理者用人口入力シート!AW$8))+将来予測シート②!$H28</f>
        <v>377.3405007843408</v>
      </c>
      <c r="DD13" s="10">
        <f>IF(管理者入力シート!$B$14=1,DC10*管理者用人口入力シート!AX$4,IF(管理者入力シート!$B$14=2,DC10*管理者用人口入力シート!AX$8))+将来予測シート②!$H29</f>
        <v>341.92300022438224</v>
      </c>
      <c r="DE13" s="10">
        <f>IF(管理者入力シート!$B$14=1,DD10*管理者用人口入力シート!AY$4,IF(管理者入力シート!$B$14=2,DD10*管理者用人口入力シート!AY$8))</f>
        <v>377.63885728889625</v>
      </c>
      <c r="DF13" s="10">
        <f>IF(管理者入力シート!$B$14=1,DE10*管理者用人口入力シート!AZ$4,IF(管理者入力シート!$B$14=2,DE10*管理者用人口入力シート!AZ$8))</f>
        <v>354.66896153062828</v>
      </c>
      <c r="DG13" s="10">
        <f>IF(管理者入力シート!$B$14=1,DF10*管理者用人口入力シート!BA$4,IF(管理者入力シート!$B$14=2,DF10*管理者用人口入力シート!BA$8))</f>
        <v>313.54562049235852</v>
      </c>
      <c r="DH13" s="10">
        <f>IF(管理者入力シート!$B$14=1,DG10*管理者用人口入力シート!BB$4,IF(管理者入力シート!$B$14=2,DG10*管理者用人口入力シート!BB$8))</f>
        <v>299.27813930238369</v>
      </c>
      <c r="DI13" s="10">
        <f>IF(管理者入力シート!$B$14=1,DH10*管理者用人口入力シート!BC$4,IF(管理者入力シート!$B$14=2,DH10*管理者用人口入力シート!BC$8))</f>
        <v>265.12106460216245</v>
      </c>
      <c r="DJ13" s="10">
        <f>IF(管理者入力シート!$B$14=1,DI10*管理者用人口入力シート!BD$4,IF(管理者入力シート!$B$14=2,DI10*管理者用人口入力シート!BD$8))</f>
        <v>170.38366338789174</v>
      </c>
      <c r="DK13" s="10">
        <f>IF(管理者入力シート!$B$14=1,DJ10*管理者用人口入力シート!BE$4,IF(管理者入力シート!$B$14=2,DJ10*管理者用人口入力シート!BE$8))</f>
        <v>47.391418350737297</v>
      </c>
      <c r="DL13" s="10">
        <f>IF(管理者入力シート!$B$14=1,DK10*管理者用人口入力シート!BF$4,IF(管理者入力シート!$B$14=2,DK10*管理者用人口入力シート!BF$8))</f>
        <v>10.026581833782172</v>
      </c>
      <c r="DM13" s="10">
        <f t="shared" si="69"/>
        <v>4835.1008696967456</v>
      </c>
      <c r="DN13" s="10">
        <f t="shared" si="34"/>
        <v>216.66265473376569</v>
      </c>
      <c r="DO13" s="10">
        <f t="shared" si="35"/>
        <v>113.76246720440147</v>
      </c>
      <c r="DP13" s="10">
        <f t="shared" si="6"/>
        <v>1838.0543067888404</v>
      </c>
      <c r="DQ13" s="10">
        <f t="shared" si="36"/>
        <v>1105.7464879693159</v>
      </c>
      <c r="DR13" s="14">
        <f t="shared" si="37"/>
        <v>0.38014807887640245</v>
      </c>
      <c r="DS13" s="14">
        <f t="shared" si="38"/>
        <v>0.22869150360428109</v>
      </c>
      <c r="DT13" s="10">
        <f t="shared" si="70"/>
        <v>804.69483944877402</v>
      </c>
      <c r="DV13" s="62"/>
      <c r="DX13" s="29">
        <f>DX12</f>
        <v>2040</v>
      </c>
      <c r="DY13" s="4" t="s">
        <v>22</v>
      </c>
      <c r="DZ13" s="10">
        <f>FB13*$AK$14</f>
        <v>276.96377118951688</v>
      </c>
      <c r="EA13" s="10">
        <f>IF(管理者入力シート!$B$14=1,DZ10*管理者用人口入力シート!AM$4,IF(管理者入力シート!$B$14=2,DZ10*管理者用人口入力シート!AM$8))</f>
        <v>272.99293464134149</v>
      </c>
      <c r="EB13" s="10">
        <f>IF(管理者入力シート!$B$14=1,EA10*管理者用人口入力シート!AN$4,IF(管理者入力シート!$B$14=2,EA10*管理者用人口入力シート!AN$8))</f>
        <v>261.56363334133488</v>
      </c>
      <c r="EC13" s="10">
        <f>IF(管理者入力シート!$B$14=1,EB10*管理者用人口入力シート!AO$4,IF(管理者入力シート!$B$14=2,EB10*管理者用人口入力シート!AO$8))</f>
        <v>199.07648058088853</v>
      </c>
      <c r="ED13" s="10">
        <f>IF(管理者入力シート!$B$14=1,EC10*管理者用人口入力シート!AP$4,IF(管理者入力シート!$B$14=2,EC10*管理者用人口入力シート!AP$8))</f>
        <v>190.35828230912469</v>
      </c>
      <c r="EE13" s="10">
        <f>IF(管理者入力シート!$B$14=1,ED10*管理者用人口入力シート!AQ$4,IF(管理者入力シート!$B$14=2,ED10*管理者用人口入力シート!AQ$8))+DX1</f>
        <v>271.55839341908893</v>
      </c>
      <c r="EF13" s="10">
        <f>IF(管理者入力シート!$B$14=1,EE10*管理者用人口入力シート!AR$4,IF(管理者入力シート!$B$14=2,EE10*管理者用人口入力シート!AR$8))+DX1</f>
        <v>372.46262359909184</v>
      </c>
      <c r="EG13" s="10">
        <f>IF(管理者入力シート!$B$14=1,EF10*管理者用人口入力シート!AS$4,IF(管理者入力シート!$B$14=2,EF10*管理者用人口入力シート!AS$8))+DX1</f>
        <v>422.82810806595927</v>
      </c>
      <c r="EH13" s="10">
        <f>IF(管理者入力シート!$B$14=1,EG10*管理者用人口入力シート!AT$4,IF(管理者入力シート!$B$14=2,EG10*管理者用人口入力シート!AT$8))</f>
        <v>438.3319645335169</v>
      </c>
      <c r="EI13" s="10">
        <f>IF(管理者入力シート!$B$14=1,EH10*管理者用人口入力シート!AU$4,IF(管理者入力シート!$B$14=2,EH10*管理者用人口入力シート!AU$8))</f>
        <v>408.71547799603616</v>
      </c>
      <c r="EJ13" s="10">
        <f>IF(管理者入力シート!$B$14=1,EI10*管理者用人口入力シート!AV$4,IF(管理者入力シート!$B$14=2,EI10*管理者用人口入力シート!AV$8))</f>
        <v>356.43773669017844</v>
      </c>
      <c r="EK13" s="10">
        <f>IF(管理者入力シート!$B$14=1,EJ10*管理者用人口入力シート!AW$4,IF(管理者入力シート!$B$14=2,EJ10*管理者用人口入力シート!AW$8))</f>
        <v>376.30179662980515</v>
      </c>
      <c r="EL13" s="10">
        <f>IF(管理者入力シート!$B$14=1,EK10*管理者用人口入力シート!AX$4,IF(管理者入力シート!$B$14=2,EK10*管理者用人口入力シート!AX$8))</f>
        <v>341.92300022438224</v>
      </c>
      <c r="EM13" s="10">
        <f>IF(管理者入力シート!$B$14=1,EL10*管理者用人口入力シート!AY$4,IF(管理者入力シート!$B$14=2,EL10*管理者用人口入力シート!AY$8))</f>
        <v>377.63885728889625</v>
      </c>
      <c r="EN13" s="10">
        <f>IF(管理者入力シート!$B$14=1,EM10*管理者用人口入力シート!AZ$4,IF(管理者入力シート!$B$14=2,EM10*管理者用人口入力シート!AZ$8))</f>
        <v>354.66896153062828</v>
      </c>
      <c r="EO13" s="10">
        <f>IF(管理者入力シート!$B$14=1,EN10*管理者用人口入力シート!BA$4,IF(管理者入力シート!$B$14=2,EN10*管理者用人口入力シート!BA$8))</f>
        <v>313.54562049235852</v>
      </c>
      <c r="EP13" s="10">
        <f>IF(管理者入力シート!$B$14=1,EO10*管理者用人口入力シート!BB$4,IF(管理者入力シート!$B$14=2,EO10*管理者用人口入力シート!BB$8))</f>
        <v>299.27813930238369</v>
      </c>
      <c r="EQ13" s="10">
        <f>IF(管理者入力シート!$B$14=1,EP10*管理者用人口入力シート!BC$4,IF(管理者入力シート!$B$14=2,EP10*管理者用人口入力シート!BC$8))</f>
        <v>265.12106460216245</v>
      </c>
      <c r="ER13" s="10">
        <f>IF(管理者入力シート!$B$14=1,EQ10*管理者用人口入力シート!BD$4,IF(管理者入力シート!$B$14=2,EQ10*管理者用人口入力シート!BD$8))</f>
        <v>170.38366338789174</v>
      </c>
      <c r="ES13" s="10">
        <f>IF(管理者入力シート!$B$14=1,ER10*管理者用人口入力シート!BE$4,IF(管理者入力シート!$B$14=2,ER10*管理者用人口入力シート!BE$8))</f>
        <v>47.391418350737297</v>
      </c>
      <c r="ET13" s="10">
        <f>IF(管理者入力シート!$B$14=1,ES10*管理者用人口入力シート!BF$4,IF(管理者入力シート!$B$14=2,ES10*管理者用人口入力シート!BF$8))</f>
        <v>10.026581833782172</v>
      </c>
      <c r="EU13" s="10">
        <f t="shared" si="71"/>
        <v>6027.5685100091068</v>
      </c>
      <c r="EV13" s="10">
        <f t="shared" si="41"/>
        <v>320.73394078960587</v>
      </c>
      <c r="EW13" s="10">
        <f t="shared" si="42"/>
        <v>144.44074945271166</v>
      </c>
      <c r="EX13" s="10">
        <f t="shared" si="10"/>
        <v>1838.0543067888404</v>
      </c>
      <c r="EY13" s="10">
        <f t="shared" si="43"/>
        <v>1105.7464879693159</v>
      </c>
      <c r="EZ13" s="14">
        <f t="shared" si="44"/>
        <v>0.3049412551241269</v>
      </c>
      <c r="FA13" s="14">
        <f t="shared" si="45"/>
        <v>0.18344818248571765</v>
      </c>
      <c r="FB13" s="10">
        <f t="shared" si="72"/>
        <v>1257.2074073932647</v>
      </c>
    </row>
    <row r="14" spans="1:158" x14ac:dyDescent="0.15">
      <c r="A14" s="7" t="str">
        <f t="shared" si="11"/>
        <v>2020_3</v>
      </c>
      <c r="B14" s="30">
        <v>2020</v>
      </c>
      <c r="C14" s="5" t="s">
        <v>23</v>
      </c>
      <c r="D14" s="11">
        <v>485.41012757082348</v>
      </c>
      <c r="E14" s="11">
        <v>502.76580623616388</v>
      </c>
      <c r="F14" s="11">
        <v>516.36105818248643</v>
      </c>
      <c r="G14" s="11">
        <v>466.54527906401745</v>
      </c>
      <c r="H14" s="11">
        <v>376.88271387266354</v>
      </c>
      <c r="I14" s="11">
        <v>525.75863739268084</v>
      </c>
      <c r="J14" s="11">
        <v>571.47282708942714</v>
      </c>
      <c r="K14" s="11">
        <v>660.03218156585035</v>
      </c>
      <c r="L14" s="11">
        <v>676.47575825126432</v>
      </c>
      <c r="M14" s="11">
        <v>805.13652028414435</v>
      </c>
      <c r="N14" s="11">
        <v>711.7798233764297</v>
      </c>
      <c r="O14" s="11">
        <v>703.48589355591457</v>
      </c>
      <c r="P14" s="11">
        <v>777.38415257786517</v>
      </c>
      <c r="Q14" s="11">
        <v>840.7942594049083</v>
      </c>
      <c r="R14" s="11">
        <v>1002.6239519018305</v>
      </c>
      <c r="S14" s="11">
        <v>720.17393621889948</v>
      </c>
      <c r="T14" s="11">
        <v>639.81218534026709</v>
      </c>
      <c r="U14" s="11">
        <v>477.24663723435356</v>
      </c>
      <c r="V14" s="11">
        <v>261.3036214447493</v>
      </c>
      <c r="W14" s="11">
        <v>67.3064259269959</v>
      </c>
      <c r="X14" s="11">
        <v>8.2482035082640905</v>
      </c>
      <c r="Y14" s="11">
        <f t="shared" si="177"/>
        <v>11797</v>
      </c>
      <c r="Z14" s="11">
        <f t="shared" si="179"/>
        <v>611.47611865119029</v>
      </c>
      <c r="AA14" s="11">
        <f t="shared" si="180"/>
        <v>299.85347908579809</v>
      </c>
      <c r="AB14" s="11">
        <f t="shared" si="178"/>
        <v>4017.5092209802679</v>
      </c>
      <c r="AC14" s="11">
        <f t="shared" si="181"/>
        <v>2174.0910096735292</v>
      </c>
      <c r="AD14" s="15">
        <f t="shared" si="182"/>
        <v>0.34055346452320656</v>
      </c>
      <c r="AE14" s="15">
        <f t="shared" si="183"/>
        <v>0.18429185468115022</v>
      </c>
      <c r="AF14" s="11">
        <f t="shared" si="184"/>
        <v>2134.1463599206218</v>
      </c>
      <c r="AI14" s="43"/>
      <c r="AJ14" s="1" t="s">
        <v>22</v>
      </c>
      <c r="AK14" s="8">
        <f>VLOOKUP(AK12&amp;"_2",A:D,4,FALSE)/VLOOKUP(AK12&amp;"_2",A:AF,32,FALSE)</f>
        <v>0.22030077898107736</v>
      </c>
      <c r="AL14" s="63"/>
      <c r="BH14" s="7" t="str">
        <f t="shared" si="19"/>
        <v>2040_3</v>
      </c>
      <c r="BI14" s="30">
        <f>BI13</f>
        <v>2040</v>
      </c>
      <c r="BJ14" s="5" t="s">
        <v>23</v>
      </c>
      <c r="BK14" s="16">
        <f>BK12+BK13</f>
        <v>355.74911761418326</v>
      </c>
      <c r="BL14" s="16">
        <f t="shared" ref="BL14" si="185">BL12+BL13</f>
        <v>356.91879494649834</v>
      </c>
      <c r="BM14" s="16">
        <f t="shared" ref="BM14" si="186">BM12+BM13</f>
        <v>378.60664343188478</v>
      </c>
      <c r="BN14" s="16">
        <f t="shared" ref="BN14" si="187">BN12+BN13</f>
        <v>368.65537006741363</v>
      </c>
      <c r="BO14" s="16">
        <f t="shared" ref="BO14" si="188">BO12+BO13</f>
        <v>336.35587143732835</v>
      </c>
      <c r="BP14" s="16">
        <f t="shared" ref="BP14" si="189">BP12+BP13</f>
        <v>418.16735364512817</v>
      </c>
      <c r="BQ14" s="16">
        <f t="shared" ref="BQ14" si="190">BQ12+BQ13</f>
        <v>427.57246359744238</v>
      </c>
      <c r="BR14" s="16">
        <f t="shared" ref="BR14" si="191">BR12+BR13</f>
        <v>401.5023105099487</v>
      </c>
      <c r="BS14" s="16">
        <f t="shared" ref="BS14" si="192">BS12+BS13</f>
        <v>425.20084225113948</v>
      </c>
      <c r="BT14" s="16">
        <f t="shared" ref="BT14" si="193">BT12+BT13</f>
        <v>512.4795549787184</v>
      </c>
      <c r="BU14" s="16">
        <f t="shared" ref="BU14" si="194">BU12+BU13</f>
        <v>560.34684885473621</v>
      </c>
      <c r="BV14" s="16">
        <f t="shared" ref="BV14" si="195">BV12+BV13</f>
        <v>689.53551320969882</v>
      </c>
      <c r="BW14" s="16">
        <f t="shared" ref="BW14" si="196">BW12+BW13</f>
        <v>672.5397210360162</v>
      </c>
      <c r="BX14" s="16">
        <f t="shared" ref="BX14" si="197">BX12+BX13</f>
        <v>745.41611117313596</v>
      </c>
      <c r="BY14" s="16">
        <f t="shared" ref="BY14" si="198">BY12+BY13</f>
        <v>628.64306604500416</v>
      </c>
      <c r="BZ14" s="16">
        <f t="shared" ref="BZ14" si="199">BZ12+BZ13</f>
        <v>545.49403790438043</v>
      </c>
      <c r="CA14" s="16">
        <f t="shared" ref="CA14" si="200">CA12+CA13</f>
        <v>509.04258318585505</v>
      </c>
      <c r="CB14" s="16">
        <f t="shared" ref="CB14" si="201">CB12+CB13</f>
        <v>408.94284014163657</v>
      </c>
      <c r="CC14" s="16">
        <f t="shared" ref="CC14" si="202">CC12+CC13</f>
        <v>270.5475615509589</v>
      </c>
      <c r="CD14" s="16">
        <f t="shared" ref="CD14" si="203">CD12+CD13</f>
        <v>65.404075160974358</v>
      </c>
      <c r="CE14" s="16">
        <f t="shared" ref="CE14" si="204">CE12+CE13</f>
        <v>14.465238513962582</v>
      </c>
      <c r="CF14" s="11">
        <f t="shared" si="2"/>
        <v>9091.5859192560456</v>
      </c>
      <c r="CG14" s="11">
        <f t="shared" si="20"/>
        <v>441.31526302702991</v>
      </c>
      <c r="CH14" s="11">
        <f t="shared" si="21"/>
        <v>225.17373138623662</v>
      </c>
      <c r="CI14" s="11">
        <f t="shared" si="3"/>
        <v>3187.9555136759086</v>
      </c>
      <c r="CJ14" s="11">
        <f t="shared" si="22"/>
        <v>1813.8963364577678</v>
      </c>
      <c r="CK14" s="15">
        <f t="shared" si="23"/>
        <v>0.3506490002941946</v>
      </c>
      <c r="CL14" s="15">
        <f t="shared" si="24"/>
        <v>0.19951374298909963</v>
      </c>
      <c r="CM14" s="11">
        <f t="shared" si="25"/>
        <v>1583.5979991898478</v>
      </c>
      <c r="CO14" s="7" t="str">
        <f t="shared" si="26"/>
        <v>2040_3</v>
      </c>
      <c r="CP14" s="30">
        <f>CP13</f>
        <v>2040</v>
      </c>
      <c r="CQ14" s="5" t="s">
        <v>23</v>
      </c>
      <c r="CR14" s="16">
        <f>CR12+CR13</f>
        <v>361.13909386474279</v>
      </c>
      <c r="CS14" s="16">
        <f t="shared" ref="CS14" si="205">CS12+CS13</f>
        <v>361.82138499113108</v>
      </c>
      <c r="CT14" s="16">
        <f t="shared" ref="CT14" si="206">CT12+CT13</f>
        <v>384.31776085266858</v>
      </c>
      <c r="CU14" s="16">
        <f t="shared" ref="CU14" si="207">CU12+CU13</f>
        <v>372.25313875072334</v>
      </c>
      <c r="CV14" s="16">
        <f t="shared" ref="CV14" si="208">CV12+CV13</f>
        <v>337.78594239431834</v>
      </c>
      <c r="CW14" s="16">
        <f t="shared" ref="CW14" si="209">CW12+CW13</f>
        <v>423.8282791047867</v>
      </c>
      <c r="CX14" s="16">
        <f t="shared" ref="CX14" si="210">CX12+CX13</f>
        <v>431.56186589452443</v>
      </c>
      <c r="CY14" s="16">
        <f t="shared" ref="CY14" si="211">CY12+CY13</f>
        <v>405.27892628730257</v>
      </c>
      <c r="CZ14" s="16">
        <f t="shared" ref="CZ14" si="212">CZ12+CZ13</f>
        <v>430.05833600255824</v>
      </c>
      <c r="DA14" s="16">
        <f t="shared" ref="DA14" si="213">DA12+DA13</f>
        <v>513.50927495368728</v>
      </c>
      <c r="DB14" s="16">
        <f t="shared" ref="DB14" si="214">DB12+DB13</f>
        <v>561.35781234513911</v>
      </c>
      <c r="DC14" s="16">
        <f t="shared" ref="DC14" si="215">DC12+DC13</f>
        <v>690.57421736423441</v>
      </c>
      <c r="DD14" s="16">
        <f t="shared" ref="DD14" si="216">DD12+DD13</f>
        <v>672.5397210360162</v>
      </c>
      <c r="DE14" s="16">
        <f t="shared" ref="DE14" si="217">DE12+DE13</f>
        <v>745.41611117313596</v>
      </c>
      <c r="DF14" s="16">
        <f t="shared" ref="DF14" si="218">DF12+DF13</f>
        <v>628.64306604500416</v>
      </c>
      <c r="DG14" s="16">
        <f t="shared" ref="DG14" si="219">DG12+DG13</f>
        <v>545.49403790438043</v>
      </c>
      <c r="DH14" s="16">
        <f t="shared" ref="DH14" si="220">DH12+DH13</f>
        <v>509.04258318585505</v>
      </c>
      <c r="DI14" s="16">
        <f t="shared" ref="DI14" si="221">DI12+DI13</f>
        <v>408.94284014163657</v>
      </c>
      <c r="DJ14" s="16">
        <f t="shared" ref="DJ14" si="222">DJ12+DJ13</f>
        <v>270.5475615509589</v>
      </c>
      <c r="DK14" s="16">
        <f t="shared" ref="DK14" si="223">DK12+DK13</f>
        <v>65.404075160974358</v>
      </c>
      <c r="DL14" s="16">
        <f t="shared" ref="DL14" si="224">DL12+DL13</f>
        <v>14.465238513962582</v>
      </c>
      <c r="DM14" s="11">
        <f t="shared" si="69"/>
        <v>9133.9812675177418</v>
      </c>
      <c r="DN14" s="11">
        <f t="shared" si="34"/>
        <v>447.68348750627979</v>
      </c>
      <c r="DO14" s="11">
        <f t="shared" si="35"/>
        <v>228.17773209121211</v>
      </c>
      <c r="DP14" s="11">
        <f t="shared" si="6"/>
        <v>3187.9555136759086</v>
      </c>
      <c r="DQ14" s="11">
        <f t="shared" si="36"/>
        <v>1813.8963364577678</v>
      </c>
      <c r="DR14" s="15">
        <f t="shared" si="37"/>
        <v>0.34902146394945149</v>
      </c>
      <c r="DS14" s="15">
        <f t="shared" si="38"/>
        <v>0.19858770051437971</v>
      </c>
      <c r="DT14" s="11">
        <f t="shared" si="70"/>
        <v>1598.4550136809321</v>
      </c>
      <c r="DX14" s="30">
        <f>DX13</f>
        <v>2040</v>
      </c>
      <c r="DY14" s="5" t="s">
        <v>23</v>
      </c>
      <c r="DZ14" s="16">
        <f>DZ12+DZ13</f>
        <v>561.09758253271661</v>
      </c>
      <c r="EA14" s="16">
        <f t="shared" ref="EA14" si="225">EA12+EA13</f>
        <v>557.3541934460884</v>
      </c>
      <c r="EB14" s="16">
        <f t="shared" ref="EB14" si="226">EB12+EB13</f>
        <v>546.87226032683702</v>
      </c>
      <c r="EC14" s="16">
        <f t="shared" ref="EC14" si="227">EC12+EC13</f>
        <v>368.65537006741363</v>
      </c>
      <c r="ED14" s="16">
        <f t="shared" ref="ED14" si="228">ED12+ED13</f>
        <v>336.35587143732835</v>
      </c>
      <c r="EE14" s="16">
        <f t="shared" ref="EE14" si="229">EE12+EE13</f>
        <v>574.16735364512817</v>
      </c>
      <c r="EF14" s="16">
        <f t="shared" ref="EF14" si="230">EF12+EF13</f>
        <v>739.15915318364182</v>
      </c>
      <c r="EG14" s="16">
        <f t="shared" ref="EG14" si="231">EG12+EG13</f>
        <v>852.51797766550271</v>
      </c>
      <c r="EH14" s="16">
        <f t="shared" ref="EH14" si="232">EH12+EH13</f>
        <v>885.81400724197465</v>
      </c>
      <c r="EI14" s="16">
        <f t="shared" ref="EI14" si="233">EI12+EI13</f>
        <v>826.73597087946405</v>
      </c>
      <c r="EJ14" s="16">
        <f t="shared" ref="EJ14" si="234">EJ12+EJ13</f>
        <v>721.89906125219591</v>
      </c>
      <c r="EK14" s="16">
        <f t="shared" ref="EK14" si="235">EK12+EK13</f>
        <v>689.53551320969882</v>
      </c>
      <c r="EL14" s="16">
        <f t="shared" ref="EL14" si="236">EL12+EL13</f>
        <v>672.5397210360162</v>
      </c>
      <c r="EM14" s="16">
        <f t="shared" ref="EM14" si="237">EM12+EM13</f>
        <v>745.41611117313596</v>
      </c>
      <c r="EN14" s="16">
        <f t="shared" ref="EN14" si="238">EN12+EN13</f>
        <v>628.64306604500416</v>
      </c>
      <c r="EO14" s="16">
        <f t="shared" ref="EO14" si="239">EO12+EO13</f>
        <v>545.49403790438043</v>
      </c>
      <c r="EP14" s="16">
        <f t="shared" ref="EP14" si="240">EP12+EP13</f>
        <v>509.04258318585505</v>
      </c>
      <c r="EQ14" s="16">
        <f t="shared" ref="EQ14" si="241">EQ12+EQ13</f>
        <v>408.94284014163657</v>
      </c>
      <c r="ER14" s="16">
        <f t="shared" ref="ER14" si="242">ER12+ER13</f>
        <v>270.5475615509589</v>
      </c>
      <c r="ES14" s="16">
        <f t="shared" ref="ES14" si="243">ES12+ES13</f>
        <v>65.404075160974358</v>
      </c>
      <c r="ET14" s="16">
        <f t="shared" ref="ET14" si="244">ET12+ET13</f>
        <v>14.465238513962582</v>
      </c>
      <c r="EU14" s="11">
        <f t="shared" si="71"/>
        <v>11520.659549599915</v>
      </c>
      <c r="EV14" s="11">
        <f t="shared" si="41"/>
        <v>662.53587226375521</v>
      </c>
      <c r="EW14" s="11">
        <f t="shared" si="42"/>
        <v>292.47997814421751</v>
      </c>
      <c r="EX14" s="11">
        <f t="shared" si="10"/>
        <v>3187.9555136759086</v>
      </c>
      <c r="EY14" s="11">
        <f t="shared" si="43"/>
        <v>1813.8963364577678</v>
      </c>
      <c r="EZ14" s="15">
        <f t="shared" si="44"/>
        <v>0.27671640672574327</v>
      </c>
      <c r="FA14" s="15">
        <f t="shared" si="45"/>
        <v>0.15744726494593445</v>
      </c>
      <c r="FB14" s="11">
        <f t="shared" si="72"/>
        <v>2502.2003559316008</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168.85219946704262</v>
      </c>
      <c r="BL15" s="9">
        <f>IF(管理者入力シート!$B$14=1,BK12*管理者用人口入力シート!AM$3,IF(管理者入力シート!$B$14=2,BK12*管理者用人口入力シート!AM$7))</f>
        <v>177.16011348825751</v>
      </c>
      <c r="BM15" s="9">
        <f>IF(管理者入力シート!$B$14=1,BL12*管理者用人口入力シート!AN$3,IF(管理者入力シート!$B$14=2,BL12*管理者用人口入力シート!AN$7))</f>
        <v>186.28481615879082</v>
      </c>
      <c r="BN15" s="9">
        <f>IF(管理者入力シート!$B$14=1,BM12*管理者用人口入力シート!AO$3,IF(管理者入力シート!$B$14=2,BM12*管理者用人口入力シート!AO$7))</f>
        <v>157.98613693084855</v>
      </c>
      <c r="BO15" s="9">
        <f>IF(管理者入力シート!$B$14=1,BN12*管理者用人口入力シート!AP$3,IF(管理者入力シート!$B$14=2,BN12*管理者用人口入力シート!AP$7))</f>
        <v>125.17450848968491</v>
      </c>
      <c r="BP15" s="9">
        <f>IF(管理者入力シート!$B$14=1,BO12*管理者用人口入力シート!AQ$3,IF(管理者入力シート!$B$14=2,BO12*管理者用人口入力シート!AQ$7))</f>
        <v>207.36775353472822</v>
      </c>
      <c r="BQ15" s="9">
        <f>IF(管理者入力シート!$B$14=1,BP12*管理者用人口入力シート!AR$3,IF(管理者入力シート!$B$14=2,BP12*管理者用人口入力シート!AR$7))</f>
        <v>219.37214786533724</v>
      </c>
      <c r="BR15" s="9">
        <f>IF(管理者入力シート!$B$14=1,BQ12*管理者用人口入力シート!AS$3,IF(管理者入力シート!$B$14=2,BQ12*管理者用人口入力シート!AS$7))</f>
        <v>204.42604443016737</v>
      </c>
      <c r="BS15" s="9">
        <f>IF(管理者入力シート!$B$14=1,BR12*管理者用人口入力シート!AT$3,IF(管理者入力シート!$B$14=2,BR12*管理者用人口入力シート!AT$7))</f>
        <v>204.46514321031358</v>
      </c>
      <c r="BT15" s="9">
        <f>IF(管理者入力シート!$B$14=1,BS12*管理者用人口入力シート!AU$3,IF(管理者入力シート!$B$14=2,BS12*管理者用人口入力シート!AU$7))</f>
        <v>219.15748650008106</v>
      </c>
      <c r="BU15" s="9">
        <f>IF(管理者入力シート!$B$14=1,BT12*管理者用人口入力シート!AV$3,IF(管理者入力シート!$B$14=2,BT12*管理者用人口入力シート!AV$7))</f>
        <v>270.22763834696912</v>
      </c>
      <c r="BV15" s="9">
        <f>IF(管理者入力シート!$B$14=1,BU12*管理者用人口入力シート!AW$3,IF(管理者入力シート!$B$14=2,BU12*管理者用人口入力シート!AW$7))</f>
        <v>281.62394829313706</v>
      </c>
      <c r="BW15" s="9">
        <f>IF(管理者入力シート!$B$14=1,BV12*管理者用人口入力シート!AX$3,IF(管理者入力シート!$B$14=2,BV12*管理者用人口入力シート!AX$7))</f>
        <v>309.22541725054595</v>
      </c>
      <c r="BX15" s="9">
        <f>IF(管理者入力シート!$B$14=1,BW12*管理者用人口入力シート!AY$3,IF(管理者入力シート!$B$14=2,BW12*管理者用人口入力シート!AY$7))</f>
        <v>300.63946508111701</v>
      </c>
      <c r="BY15" s="9">
        <f>IF(管理者入力シート!$B$14=1,BX12*管理者用人口入力シート!AZ$3,IF(管理者入力シート!$B$14=2,BX12*管理者用人口入力シート!AZ$7))</f>
        <v>333.25973775206961</v>
      </c>
      <c r="BZ15" s="9">
        <f>IF(管理者入力シート!$B$14=1,BY12*管理者用人口入力シート!BA$3,IF(管理者入力シート!$B$14=2,BY12*管理者用人口入力シート!BA$7))</f>
        <v>236.44346519589087</v>
      </c>
      <c r="CA15" s="9">
        <f>IF(管理者入力シート!$B$14=1,BZ12*管理者用人口入力シート!BB$3,IF(管理者入力シート!$B$14=2,BZ12*管理者用人口入力シート!BB$7))</f>
        <v>181.96413837983076</v>
      </c>
      <c r="CB15" s="9">
        <f>IF(管理者入力シート!$B$14=1,CA12*管理者用人口入力シート!BC$3,IF(管理者入力シート!$B$14=2,CA12*管理者用人口入力シート!BC$7))</f>
        <v>130.4986339592308</v>
      </c>
      <c r="CC15" s="9">
        <f>IF(管理者入力シート!$B$14=1,CB12*管理者用人口入力シート!BD$3,IF(管理者入力シート!$B$14=2,CB12*管理者用人口入力シート!BD$7))</f>
        <v>73.160448288327586</v>
      </c>
      <c r="CD15" s="9">
        <f>IF(管理者入力シート!$B$14=1,CC12*管理者用人口入力シート!BE$3,IF(管理者入力シート!$B$14=2,CC12*管理者用人口入力シート!BE$7))</f>
        <v>23.785916667364202</v>
      </c>
      <c r="CE15" s="9">
        <f>IF(管理者入力シート!$B$14=1,CD12*管理者用人口入力シート!BF$3,IF(管理者入力シート!$B$14=2,CD12*管理者用人口入力シート!BF$7))</f>
        <v>3.8280657615448122</v>
      </c>
      <c r="CF15" s="9">
        <f t="shared" ref="CF15:CF20" si="252">SUM(BK15:CE15)</f>
        <v>4014.9032250512796</v>
      </c>
      <c r="CG15" s="9">
        <f t="shared" ref="CG15:CG20" si="253">BL15*3/5+BM15*3/5</f>
        <v>218.06695778822899</v>
      </c>
      <c r="CH15" s="9">
        <f t="shared" ref="CH15:CH20" si="254">BM15*2/5+BN15*1/5</f>
        <v>106.11115384968603</v>
      </c>
      <c r="CI15" s="9">
        <f t="shared" ref="CI15:CI20" si="255">SUM(BX15:CE15)</f>
        <v>1283.5798710853758</v>
      </c>
      <c r="CJ15" s="9">
        <f t="shared" ref="CJ15:CJ20" si="256">SUM(BZ15:CE15)</f>
        <v>649.68066825218909</v>
      </c>
      <c r="CK15" s="13">
        <f t="shared" ref="CK15:CK20" si="257">CI15/CF15</f>
        <v>0.31970381330149783</v>
      </c>
      <c r="CL15" s="13">
        <f t="shared" ref="CL15:CL20" si="258">CJ15/CF15</f>
        <v>0.16181726727520093</v>
      </c>
      <c r="CM15" s="9">
        <f t="shared" ref="CM15:CM20" si="259">SUM(BO15:BR15)</f>
        <v>756.34045431991785</v>
      </c>
      <c r="CO15" s="7" t="str">
        <f t="shared" si="26"/>
        <v>2045_1</v>
      </c>
      <c r="CP15" s="28">
        <f>管理者入力シート!B12</f>
        <v>2045</v>
      </c>
      <c r="CQ15" s="3" t="s">
        <v>21</v>
      </c>
      <c r="CR15" s="9">
        <f>DT16*$AK$13+将来予測シート②!$G17</f>
        <v>171.93760395746489</v>
      </c>
      <c r="CS15" s="9">
        <f>IF(管理者入力シート!$B$14=1,CR12*管理者用人口入力シート!AM$3,IF(管理者入力シート!$B$14=2,CR12*管理者用人口入力シート!AM$7))+将来予測シート②!$G18</f>
        <v>179.83171032285762</v>
      </c>
      <c r="CT15" s="9">
        <f>IF(管理者入力シート!$B$14=1,CS12*管理者用人口入力シート!AN$3,IF(管理者入力シート!$B$14=2,CS12*管理者用人口入力シート!AN$7))+将来予測シート②!$G19</f>
        <v>189.83084379697974</v>
      </c>
      <c r="CU15" s="9">
        <f>IF(管理者入力シート!$B$14=1,CT12*管理者用人口入力シート!AO$3,IF(管理者入力シート!$B$14=2,CT12*管理者用人口入力シート!AO$7))+将来予測シート②!$G20</f>
        <v>160.32459761949411</v>
      </c>
      <c r="CV15" s="9">
        <f>IF(管理者入力シート!$B$14=1,CU12*管理者用人口入力シート!AP$3,IF(管理者入力シート!$B$14=2,CU12*管理者用人口入力シート!AP$7))+将来予測シート②!$G21</f>
        <v>126.35886115327162</v>
      </c>
      <c r="CW15" s="9">
        <f>IF(管理者入力シート!$B$14=1,CV12*管理者用人口入力シート!AQ$3,IF(管理者入力シート!$B$14=2,CV12*管理者用人口入力シート!AQ$7))+将来予測シート②!$G22</f>
        <v>210.20632752310294</v>
      </c>
      <c r="CX15" s="9">
        <f>IF(管理者入力シート!$B$14=1,CW12*管理者用人口入力シート!AR$3,IF(管理者入力シート!$B$14=2,CW12*管理者用人口入力シート!AR$7))+将来予測シート②!$G23</f>
        <v>222.14453981300386</v>
      </c>
      <c r="CY15" s="9">
        <f>IF(管理者入力シート!$B$14=1,CX12*管理者用人口入力シート!AS$3,IF(管理者入力シート!$B$14=2,CX12*管理者用人口入力シート!AS$7))+将来予測シート②!$G24</f>
        <v>206.30506182016529</v>
      </c>
      <c r="CZ15" s="9">
        <f>IF(管理者入力シート!$B$14=1,CY12*管理者用人口入力シート!AT$3,IF(管理者入力シート!$B$14=2,CY12*管理者用人口入力シート!AT$7))+将来予測シート②!$G25</f>
        <v>206.35421269021936</v>
      </c>
      <c r="DA15" s="9">
        <f>IF(管理者入力シート!$B$14=1,CZ12*管理者用人口入力シート!AU$3,IF(管理者入力シート!$B$14=2,CZ12*管理者用人口入力シート!AU$7))+将来予測シート②!$G26</f>
        <v>221.03967556758943</v>
      </c>
      <c r="DB15" s="9">
        <f>IF(管理者入力シート!$B$14=1,DA12*管理者用人口入力シート!AV$3,IF(管理者入力シート!$B$14=2,DA12*管理者用人口入力シート!AV$7))+将来予測シート②!$G27</f>
        <v>270.22763834696912</v>
      </c>
      <c r="DC15" s="9">
        <f>IF(管理者入力シート!$B$14=1,DB12*管理者用人口入力シート!AW$3,IF(管理者入力シート!$B$14=2,DB12*管理者用人口入力シート!AW$7))+将来予測シート②!$G28</f>
        <v>281.62394829313706</v>
      </c>
      <c r="DD15" s="9">
        <f>IF(管理者入力シート!$B$14=1,DC12*管理者用人口入力シート!AX$3,IF(管理者入力シート!$B$14=2,DC12*管理者用人口入力シート!AX$7))+将来予測シート②!$G29</f>
        <v>309.22541725054595</v>
      </c>
      <c r="DE15" s="9">
        <f>IF(管理者入力シート!$B$14=1,DD12*管理者用人口入力シート!AY$3,IF(管理者入力シート!$B$14=2,DD12*管理者用人口入力シート!AY$7))</f>
        <v>300.63946508111701</v>
      </c>
      <c r="DF15" s="9">
        <f>IF(管理者入力シート!$B$14=1,DE12*管理者用人口入力シート!AZ$3,IF(管理者入力シート!$B$14=2,DE12*管理者用人口入力シート!AZ$7))</f>
        <v>333.25973775206961</v>
      </c>
      <c r="DG15" s="9">
        <f>IF(管理者入力シート!$B$14=1,DF12*管理者用人口入力シート!BA$3,IF(管理者入力シート!$B$14=2,DF12*管理者用人口入力シート!BA$7))</f>
        <v>236.44346519589087</v>
      </c>
      <c r="DH15" s="9">
        <f>IF(管理者入力シート!$B$14=1,DG12*管理者用人口入力シート!BB$3,IF(管理者入力シート!$B$14=2,DG12*管理者用人口入力シート!BB$7))</f>
        <v>181.96413837983076</v>
      </c>
      <c r="DI15" s="9">
        <f>IF(管理者入力シート!$B$14=1,DH12*管理者用人口入力シート!BC$3,IF(管理者入力シート!$B$14=2,DH12*管理者用人口入力シート!BC$7))</f>
        <v>130.4986339592308</v>
      </c>
      <c r="DJ15" s="9">
        <f>IF(管理者入力シート!$B$14=1,DI12*管理者用人口入力シート!BD$3,IF(管理者入力シート!$B$14=2,DI12*管理者用人口入力シート!BD$7))</f>
        <v>73.160448288327586</v>
      </c>
      <c r="DK15" s="9">
        <f>IF(管理者入力シート!$B$14=1,DJ12*管理者用人口入力シート!BE$3,IF(管理者入力シート!$B$14=2,DJ12*管理者用人口入力シート!BE$7))</f>
        <v>23.785916667364202</v>
      </c>
      <c r="DL15" s="9">
        <f>IF(管理者入力シート!$B$14=1,DK12*管理者用人口入力シート!BF$3,IF(管理者入力シート!$B$14=2,DK12*管理者用人口入力シート!BF$7))</f>
        <v>3.8280657615448122</v>
      </c>
      <c r="DM15" s="9">
        <f t="shared" ref="DM15:DM20" si="260">SUM(CR15:DL15)</f>
        <v>4038.9903092401769</v>
      </c>
      <c r="DN15" s="9">
        <f t="shared" ref="DN15:DN20" si="261">CS15*3/5+CT15*3/5</f>
        <v>221.79753247190243</v>
      </c>
      <c r="DO15" s="9">
        <f t="shared" ref="DO15:DO20" si="262">CT15*2/5+CU15*1/5</f>
        <v>107.99725704269072</v>
      </c>
      <c r="DP15" s="9">
        <f t="shared" ref="DP15:DP20" si="263">SUM(DE15:DL15)</f>
        <v>1283.5798710853758</v>
      </c>
      <c r="DQ15" s="9">
        <f t="shared" ref="DQ15:DQ20" si="264">SUM(DG15:DL15)</f>
        <v>649.68066825218909</v>
      </c>
      <c r="DR15" s="13">
        <f t="shared" ref="DR15:DR20" si="265">DP15/DM15</f>
        <v>0.31779721485067031</v>
      </c>
      <c r="DS15" s="13">
        <f t="shared" ref="DS15:DS20" si="266">DQ15/DM15</f>
        <v>0.16085224734654249</v>
      </c>
      <c r="DT15" s="9">
        <f t="shared" ref="DT15:DT20" si="267">SUM(CV15:CY15)</f>
        <v>765.01479030954374</v>
      </c>
      <c r="DV15" s="62" t="s">
        <v>404</v>
      </c>
      <c r="DW15" s="211">
        <f>AK13+AK14</f>
        <v>0.44630470615514017</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164.59125972005137</v>
      </c>
      <c r="BL16" s="10">
        <f>IF(管理者入力シート!$B$14=1,BK13*管理者用人口入力シート!AM$4,IF(管理者入力シート!$B$14=2,BK13*管理者用人口入力シート!AM$8))</f>
        <v>170.07752563003203</v>
      </c>
      <c r="BM16" s="10">
        <f>IF(管理者入力シート!$B$14=1,BL13*管理者用人口入力シート!AN$4,IF(管理者入力シート!$B$14=2,BL13*管理者用人口入力シート!AN$8))</f>
        <v>170.78114274228341</v>
      </c>
      <c r="BN16" s="10">
        <f>IF(管理者入力シート!$B$14=1,BM13*管理者用人口入力シート!AO$4,IF(管理者入力シート!$B$14=2,BM13*管理者用人口入力シート!AO$8))</f>
        <v>185.46721361365448</v>
      </c>
      <c r="BO16" s="10">
        <f>IF(管理者入力シート!$B$14=1,BN13*管理者用人口入力シート!AP$4,IF(管理者入力シート!$B$14=2,BN13*管理者用人口入力シート!AP$8))</f>
        <v>163.20820478796733</v>
      </c>
      <c r="BP16" s="10">
        <f>IF(管理者入力シート!$B$14=1,BO13*管理者用人口入力シート!AQ$4,IF(管理者入力シート!$B$14=2,BO13*管理者用人口入力シート!AQ$8))</f>
        <v>186.43170326383867</v>
      </c>
      <c r="BQ16" s="10">
        <f>IF(管理者入力シート!$B$14=1,BP13*管理者用人口入力シート!AR$4,IF(管理者入力シート!$B$14=2,BP13*管理者用人口入力シート!AR$8))</f>
        <v>197.04561711158166</v>
      </c>
      <c r="BR16" s="10">
        <f>IF(管理者入力シート!$B$14=1,BQ13*管理者用人口入力シート!AS$4,IF(管理者入力シート!$B$14=2,BQ13*管理者用人口入力シート!AS$8))</f>
        <v>200.43511817391467</v>
      </c>
      <c r="BS16" s="10">
        <f>IF(管理者入力シート!$B$14=1,BR13*管理者用人口入力シート!AT$4,IF(管理者入力シート!$B$14=2,BR13*管理者用人口入力シート!AT$8))</f>
        <v>205.51997982414889</v>
      </c>
      <c r="BT16" s="10">
        <f>IF(管理者入力シート!$B$14=1,BS13*管理者用人口入力シート!AU$4,IF(管理者入力シート!$B$14=2,BS13*管理者用人口入力シート!AU$8))</f>
        <v>211.3420109411804</v>
      </c>
      <c r="BU16" s="10">
        <f>IF(管理者入力シート!$B$14=1,BT13*管理者用人口入力シート!AV$4,IF(管理者入力シート!$B$14=2,BT13*管理者用人口入力シート!AV$8))</f>
        <v>243.23564534360014</v>
      </c>
      <c r="BV16" s="10">
        <f>IF(管理者入力シート!$B$14=1,BU13*管理者用人口入力シート!AW$4,IF(管理者入力シート!$B$14=2,BU13*管理者用人口入力シート!AW$8))</f>
        <v>282.17545577920328</v>
      </c>
      <c r="BW16" s="10">
        <f>IF(管理者入力シート!$B$14=1,BV13*管理者用人口入力シート!AX$4,IF(管理者入力シート!$B$14=2,BV13*管理者用人口入力シート!AX$8))</f>
        <v>361.76325121233299</v>
      </c>
      <c r="BX16" s="10">
        <f>IF(管理者入力シート!$B$14=1,BW13*管理者用人口入力シート!AY$4,IF(管理者入力シート!$B$14=2,BW13*管理者用人口入力シート!AY$8))</f>
        <v>334.58482957598596</v>
      </c>
      <c r="BY16" s="10">
        <f>IF(管理者入力シート!$B$14=1,BX13*管理者用人口入力シート!AZ$4,IF(管理者入力シート!$B$14=2,BX13*管理者用人口入力シート!AZ$8))</f>
        <v>374.43234962058546</v>
      </c>
      <c r="BZ16" s="10">
        <f>IF(管理者入力シート!$B$14=1,BY13*管理者用人口入力シート!BA$4,IF(管理者入力シート!$B$14=2,BY13*管理者用人口入力シート!BA$8))</f>
        <v>319.56497262228612</v>
      </c>
      <c r="CA16" s="10">
        <f>IF(管理者入力シート!$B$14=1,BZ13*管理者用人口入力シート!BB$4,IF(管理者入力シート!$B$14=2,BZ13*管理者用人口入力シート!BB$8))</f>
        <v>267.43410198532973</v>
      </c>
      <c r="CB16" s="10">
        <f>IF(管理者入力シート!$B$14=1,CA13*管理者用人口入力シート!BC$4,IF(管理者入力シート!$B$14=2,CA13*管理者用人口入力シート!BC$8))</f>
        <v>224.43048516767058</v>
      </c>
      <c r="CC16" s="10">
        <f>IF(管理者入力シート!$B$14=1,CB13*管理者用人口入力シート!BD$4,IF(管理者入力シート!$B$14=2,CB13*管理者用人口入力シート!BD$8))</f>
        <v>146.47097724446209</v>
      </c>
      <c r="CD16" s="10">
        <f>IF(管理者入力シート!$B$14=1,CC13*管理者用人口入力シート!BE$4,IF(管理者入力シート!$B$14=2,CC13*管理者用人口入力シート!BE$8))</f>
        <v>55.108481571807594</v>
      </c>
      <c r="CE16" s="10">
        <f>IF(管理者入力シート!$B$14=1,CD13*管理者用人口入力シート!BF$4,IF(管理者入力シート!$B$14=2,CD13*管理者用人口入力シート!BF$8))</f>
        <v>9.7986305087641501</v>
      </c>
      <c r="CF16" s="10">
        <f t="shared" si="252"/>
        <v>4473.8989564406811</v>
      </c>
      <c r="CG16" s="10">
        <f t="shared" si="253"/>
        <v>204.51520102338924</v>
      </c>
      <c r="CH16" s="10">
        <f t="shared" si="254"/>
        <v>105.40589981964426</v>
      </c>
      <c r="CI16" s="10">
        <f t="shared" si="255"/>
        <v>1731.8248282968916</v>
      </c>
      <c r="CJ16" s="10">
        <f t="shared" si="256"/>
        <v>1022.8076491003203</v>
      </c>
      <c r="CK16" s="14">
        <f t="shared" si="257"/>
        <v>0.38709520379393791</v>
      </c>
      <c r="CL16" s="14">
        <f t="shared" si="258"/>
        <v>0.22861661809055245</v>
      </c>
      <c r="CM16" s="10">
        <f t="shared" si="259"/>
        <v>747.12064333730234</v>
      </c>
      <c r="CO16" s="7" t="str">
        <f t="shared" si="26"/>
        <v>2045_2</v>
      </c>
      <c r="CP16" s="29">
        <f>CP15</f>
        <v>2045</v>
      </c>
      <c r="CQ16" s="4" t="s">
        <v>22</v>
      </c>
      <c r="CR16" s="10">
        <f>DT16*$AK$14+将来予測シート②!$H17</f>
        <v>167.62403959018536</v>
      </c>
      <c r="CS16" s="10">
        <f>IF(管理者入力シート!$B$14=1,CR13*管理者用人口入力シート!AM$4,IF(管理者入力シート!$B$14=2,CR13*管理者用人口入力シート!AM$8))+将来予測シート②!$H18</f>
        <v>172.6667570477137</v>
      </c>
      <c r="CT16" s="10">
        <f>IF(管理者入力シート!$B$14=1,CS13*管理者用人口入力シート!AN$4,IF(管理者入力シート!$B$14=2,CS13*管理者用人口入力シート!AN$8))+将来予測シート②!$H19</f>
        <v>174.1391519253427</v>
      </c>
      <c r="CU16" s="10">
        <f>IF(管理者入力シート!$B$14=1,CT13*管理者用人口入力シート!AO$4,IF(管理者入力シート!$B$14=2,CT13*管理者用人口入力シート!AO$8))+将来予測シート②!$H20</f>
        <v>188.32213499875246</v>
      </c>
      <c r="CV16" s="10">
        <f>IF(管理者入力シート!$B$14=1,CU13*管理者用人口入力シート!AP$4,IF(管理者入力シート!$B$14=2,CU13*管理者用人口入力シート!AP$8))+将来予測シート②!$H21</f>
        <v>164.84234802637724</v>
      </c>
      <c r="CW16" s="10">
        <f>IF(管理者入力シート!$B$14=1,CV13*管理者用人口入力シート!AQ$4,IF(管理者入力シート!$B$14=2,CV13*管理者用人口入力シート!AQ$8))+将来予測シート②!$H22</f>
        <v>189.25405473512248</v>
      </c>
      <c r="CX16" s="10">
        <f>IF(管理者入力シート!$B$14=1,CW13*管理者用人口入力シート!AR$4,IF(管理者入力シート!$B$14=2,CW13*管理者用人口入力シート!AR$8))+将来予測シート②!$H23</f>
        <v>199.91881717044333</v>
      </c>
      <c r="CY16" s="10">
        <f>IF(管理者入力シート!$B$14=1,CX13*管理者用人口入力シート!AS$4,IF(管理者入力シート!$B$14=2,CX13*管理者用人口入力シート!AS$8))+将来予測シート②!$H24</f>
        <v>202.33271656127053</v>
      </c>
      <c r="CZ16" s="10">
        <f>IF(管理者入力シート!$B$14=1,CY13*管理者用人口入力シート!AT$4,IF(管理者入力シート!$B$14=2,CY13*管理者用人口入力シート!AT$8))+将来予測シート②!$H25</f>
        <v>208.48840409566196</v>
      </c>
      <c r="DA16" s="10">
        <f>IF(管理者入力シート!$B$14=1,CZ13*管理者用人口入力シート!AU$4,IF(管理者入力シート!$B$14=2,CZ13*管理者用人口入力シート!AU$8))+将来予測シート②!$H26</f>
        <v>214.39865670774003</v>
      </c>
      <c r="DB16" s="10">
        <f>IF(管理者入力シート!$B$14=1,DA13*管理者用人口入力シート!AV$4,IF(管理者入力シート!$B$14=2,DA13*管理者用人口入力シート!AV$8))+将来予測シート②!$H27</f>
        <v>244.24660883400304</v>
      </c>
      <c r="DC16" s="10">
        <f>IF(管理者入力シート!$B$14=1,DB13*管理者用人口入力シート!AW$4,IF(管理者入力シート!$B$14=2,DB13*管理者用人口入力シート!AW$8))+将来予測シート②!$H28</f>
        <v>283.21415993373887</v>
      </c>
      <c r="DD16" s="10">
        <f>IF(管理者入力シート!$B$14=1,DC13*管理者用人口入力シート!AX$4,IF(管理者入力シート!$B$14=2,DC13*管理者用人口入力シート!AX$8))+将来予測シート②!$H29</f>
        <v>362.76182468542817</v>
      </c>
      <c r="DE16" s="10">
        <f>IF(管理者入力シート!$B$14=1,DD13*管理者用人口入力シート!AY$4,IF(管理者入力シート!$B$14=2,DD13*管理者用人口入力シート!AY$8))</f>
        <v>334.58482957598596</v>
      </c>
      <c r="DF16" s="10">
        <f>IF(管理者入力シート!$B$14=1,DE13*管理者用人口入力シート!AZ$4,IF(管理者入力シート!$B$14=2,DE13*管理者用人口入力シート!AZ$8))</f>
        <v>374.43234962058546</v>
      </c>
      <c r="DG16" s="10">
        <f>IF(管理者入力シート!$B$14=1,DF13*管理者用人口入力シート!BA$4,IF(管理者入力シート!$B$14=2,DF13*管理者用人口入力シート!BA$8))</f>
        <v>319.56497262228612</v>
      </c>
      <c r="DH16" s="10">
        <f>IF(管理者入力シート!$B$14=1,DG13*管理者用人口入力シート!BB$4,IF(管理者入力シート!$B$14=2,DG13*管理者用人口入力シート!BB$8))</f>
        <v>267.43410198532973</v>
      </c>
      <c r="DI16" s="10">
        <f>IF(管理者入力シート!$B$14=1,DH13*管理者用人口入力シート!BC$4,IF(管理者入力シート!$B$14=2,DH13*管理者用人口入力シート!BC$8))</f>
        <v>224.43048516767058</v>
      </c>
      <c r="DJ16" s="10">
        <f>IF(管理者入力シート!$B$14=1,DI13*管理者用人口入力シート!BD$4,IF(管理者入力シート!$B$14=2,DI13*管理者用人口入力シート!BD$8))</f>
        <v>146.47097724446209</v>
      </c>
      <c r="DK16" s="10">
        <f>IF(管理者入力シート!$B$14=1,DJ13*管理者用人口入力シート!BE$4,IF(管理者入力シート!$B$14=2,DJ13*管理者用人口入力シート!BE$8))</f>
        <v>55.108481571807594</v>
      </c>
      <c r="DL16" s="10">
        <f>IF(管理者入力シート!$B$14=1,DK13*管理者用人口入力シート!BF$4,IF(管理者入力シート!$B$14=2,DK13*管理者用人口入力シート!BF$8))</f>
        <v>9.7986305087641501</v>
      </c>
      <c r="DM16" s="10">
        <f t="shared" si="260"/>
        <v>4504.0345026086716</v>
      </c>
      <c r="DN16" s="10">
        <f t="shared" si="261"/>
        <v>208.08354538383384</v>
      </c>
      <c r="DO16" s="10">
        <f t="shared" si="262"/>
        <v>107.32008776988756</v>
      </c>
      <c r="DP16" s="10">
        <f t="shared" si="263"/>
        <v>1731.8248282968916</v>
      </c>
      <c r="DQ16" s="10">
        <f t="shared" si="264"/>
        <v>1022.8076491003203</v>
      </c>
      <c r="DR16" s="14">
        <f t="shared" si="265"/>
        <v>0.38450523131957443</v>
      </c>
      <c r="DS16" s="14">
        <f t="shared" si="266"/>
        <v>0.22708699245263883</v>
      </c>
      <c r="DT16" s="10">
        <f t="shared" si="267"/>
        <v>756.34793649321352</v>
      </c>
      <c r="DV16" s="212" t="s">
        <v>406</v>
      </c>
      <c r="DW16" s="7">
        <f>IF(DW10&lt;0,ABS(DW10)/DW15,0)</f>
        <v>137.14879091965739</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333.44345918709399</v>
      </c>
      <c r="BL17" s="16">
        <f t="shared" ref="BL17:CE17" si="268">BL15+BL16</f>
        <v>347.23763911828951</v>
      </c>
      <c r="BM17" s="16">
        <f t="shared" si="268"/>
        <v>357.06595890107423</v>
      </c>
      <c r="BN17" s="16">
        <f t="shared" si="268"/>
        <v>343.453350544503</v>
      </c>
      <c r="BO17" s="16">
        <f t="shared" si="268"/>
        <v>288.38271327765221</v>
      </c>
      <c r="BP17" s="16">
        <f t="shared" si="268"/>
        <v>393.79945679856689</v>
      </c>
      <c r="BQ17" s="16">
        <f t="shared" si="268"/>
        <v>416.41776497691887</v>
      </c>
      <c r="BR17" s="16">
        <f t="shared" si="268"/>
        <v>404.86116260408204</v>
      </c>
      <c r="BS17" s="16">
        <f t="shared" si="268"/>
        <v>409.9851230344625</v>
      </c>
      <c r="BT17" s="16">
        <f t="shared" si="268"/>
        <v>430.4994974412615</v>
      </c>
      <c r="BU17" s="16">
        <f t="shared" si="268"/>
        <v>513.46328369056926</v>
      </c>
      <c r="BV17" s="16">
        <f t="shared" si="268"/>
        <v>563.79940407234039</v>
      </c>
      <c r="BW17" s="16">
        <f t="shared" si="268"/>
        <v>670.98866846287888</v>
      </c>
      <c r="BX17" s="16">
        <f t="shared" si="268"/>
        <v>635.22429465710297</v>
      </c>
      <c r="BY17" s="16">
        <f t="shared" si="268"/>
        <v>707.69208737265512</v>
      </c>
      <c r="BZ17" s="16">
        <f t="shared" si="268"/>
        <v>556.00843781817696</v>
      </c>
      <c r="CA17" s="16">
        <f t="shared" si="268"/>
        <v>449.39824036516052</v>
      </c>
      <c r="CB17" s="16">
        <f t="shared" si="268"/>
        <v>354.92911912690136</v>
      </c>
      <c r="CC17" s="16">
        <f t="shared" si="268"/>
        <v>219.63142553278968</v>
      </c>
      <c r="CD17" s="16">
        <f t="shared" si="268"/>
        <v>78.894398239171792</v>
      </c>
      <c r="CE17" s="16">
        <f t="shared" si="268"/>
        <v>13.626696270308962</v>
      </c>
      <c r="CF17" s="11">
        <f t="shared" si="252"/>
        <v>8488.8021814919612</v>
      </c>
      <c r="CG17" s="11">
        <f t="shared" si="253"/>
        <v>422.58215881161823</v>
      </c>
      <c r="CH17" s="11">
        <f t="shared" si="254"/>
        <v>211.51705366933029</v>
      </c>
      <c r="CI17" s="11">
        <f t="shared" si="255"/>
        <v>3015.4046993822672</v>
      </c>
      <c r="CJ17" s="11">
        <f t="shared" si="256"/>
        <v>1672.4883173525093</v>
      </c>
      <c r="CK17" s="15">
        <f t="shared" si="257"/>
        <v>0.35522145938996197</v>
      </c>
      <c r="CL17" s="15">
        <f t="shared" si="258"/>
        <v>0.19702288751633493</v>
      </c>
      <c r="CM17" s="11">
        <f t="shared" si="259"/>
        <v>1503.4610976572199</v>
      </c>
      <c r="CO17" s="7" t="str">
        <f t="shared" si="26"/>
        <v>2045_3</v>
      </c>
      <c r="CP17" s="30">
        <f>CP16</f>
        <v>2045</v>
      </c>
      <c r="CQ17" s="5" t="s">
        <v>23</v>
      </c>
      <c r="CR17" s="16">
        <f>CR15+CR16</f>
        <v>339.56164354765025</v>
      </c>
      <c r="CS17" s="16">
        <f>CS15+CS16</f>
        <v>352.49846737057135</v>
      </c>
      <c r="CT17" s="16">
        <f t="shared" ref="CT17:DL17" si="269">CT15+CT16</f>
        <v>363.96999572232244</v>
      </c>
      <c r="CU17" s="16">
        <f t="shared" si="269"/>
        <v>348.64673261824657</v>
      </c>
      <c r="CV17" s="16">
        <f t="shared" si="269"/>
        <v>291.20120917964886</v>
      </c>
      <c r="CW17" s="16">
        <f t="shared" si="269"/>
        <v>399.46038225822542</v>
      </c>
      <c r="CX17" s="16">
        <f t="shared" si="269"/>
        <v>422.06335698344719</v>
      </c>
      <c r="CY17" s="16">
        <f t="shared" si="269"/>
        <v>408.63777838143585</v>
      </c>
      <c r="CZ17" s="16">
        <f t="shared" si="269"/>
        <v>414.84261678588132</v>
      </c>
      <c r="DA17" s="16">
        <f t="shared" si="269"/>
        <v>435.43833227532946</v>
      </c>
      <c r="DB17" s="16">
        <f t="shared" si="269"/>
        <v>514.47424718097216</v>
      </c>
      <c r="DC17" s="16">
        <f t="shared" si="269"/>
        <v>564.83810822687587</v>
      </c>
      <c r="DD17" s="16">
        <f t="shared" si="269"/>
        <v>671.98724193597411</v>
      </c>
      <c r="DE17" s="16">
        <f t="shared" si="269"/>
        <v>635.22429465710297</v>
      </c>
      <c r="DF17" s="16">
        <f t="shared" si="269"/>
        <v>707.69208737265512</v>
      </c>
      <c r="DG17" s="16">
        <f t="shared" si="269"/>
        <v>556.00843781817696</v>
      </c>
      <c r="DH17" s="16">
        <f t="shared" si="269"/>
        <v>449.39824036516052</v>
      </c>
      <c r="DI17" s="16">
        <f t="shared" si="269"/>
        <v>354.92911912690136</v>
      </c>
      <c r="DJ17" s="16">
        <f t="shared" si="269"/>
        <v>219.63142553278968</v>
      </c>
      <c r="DK17" s="16">
        <f t="shared" si="269"/>
        <v>78.894398239171792</v>
      </c>
      <c r="DL17" s="16">
        <f t="shared" si="269"/>
        <v>13.626696270308962</v>
      </c>
      <c r="DM17" s="11">
        <f t="shared" si="260"/>
        <v>8543.0248118488489</v>
      </c>
      <c r="DN17" s="11">
        <f t="shared" si="261"/>
        <v>429.88107785573629</v>
      </c>
      <c r="DO17" s="11">
        <f t="shared" si="262"/>
        <v>215.31734481257831</v>
      </c>
      <c r="DP17" s="11">
        <f t="shared" si="263"/>
        <v>3015.4046993822672</v>
      </c>
      <c r="DQ17" s="11">
        <f t="shared" si="264"/>
        <v>1672.4883173525093</v>
      </c>
      <c r="DR17" s="15">
        <f t="shared" si="265"/>
        <v>0.35296686663019122</v>
      </c>
      <c r="DS17" s="15">
        <f t="shared" si="266"/>
        <v>0.19577238205288036</v>
      </c>
      <c r="DT17" s="11">
        <f t="shared" si="267"/>
        <v>1521.3627268027572</v>
      </c>
      <c r="DV17" s="62" t="s">
        <v>407</v>
      </c>
      <c r="DW17" s="7">
        <f>IF(DW9&gt;=0,0,IF(AND(DW10&lt;=0,DW9&lt;=0,DW16*2&gt;=ABS(DW9)),ROUND(DW16/3,0),ROUND(ABS(DW9)/6,0)))</f>
        <v>78</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154.88754286273536</v>
      </c>
      <c r="BL18" s="9">
        <f>IF(管理者入力シート!$B$14=1,BK15*管理者用人口入力シート!AM$3,IF(管理者入力シート!$B$14=2,BK15*管理者用人口入力シート!AM$7))</f>
        <v>166.05208037527277</v>
      </c>
      <c r="BM18" s="9">
        <f>IF(管理者入力シート!$B$14=1,BL15*管理者用人口入力シート!AN$3,IF(管理者入力シート!$B$14=2,BL15*管理者用人口入力シート!AN$7))</f>
        <v>181.23197960549913</v>
      </c>
      <c r="BN18" s="9">
        <f>IF(管理者入力シート!$B$14=1,BM15*管理者用人口入力シート!AO$3,IF(管理者入力シート!$B$14=2,BM15*管理者用人口入力シート!AO$7))</f>
        <v>148.99757427642405</v>
      </c>
      <c r="BO18" s="9">
        <f>IF(管理者入力シート!$B$14=1,BN15*管理者用人口入力シート!AP$3,IF(管理者入力シート!$B$14=2,BN15*管理者用人口入力シート!AP$7))</f>
        <v>116.61732836193877</v>
      </c>
      <c r="BP18" s="9">
        <f>IF(管理者入力シート!$B$14=1,BO15*管理者用人口入力シート!AQ$3,IF(管理者入力シート!$B$14=2,BO15*管理者用人口入力シート!AQ$7))</f>
        <v>177.79167985113912</v>
      </c>
      <c r="BQ18" s="9">
        <f>IF(管理者入力シート!$B$14=1,BP15*管理者用人口入力シート!AR$3,IF(管理者入力シート!$B$14=2,BP15*管理者用人口入力シート!AR$7))</f>
        <v>202.53292408790293</v>
      </c>
      <c r="BR18" s="9">
        <f>IF(管理者入力シート!$B$14=1,BQ15*管理者用人口入力シート!AS$3,IF(管理者入力シート!$B$14=2,BQ15*管理者用人口入力シート!AS$7))</f>
        <v>211.02207110704248</v>
      </c>
      <c r="BS18" s="9">
        <f>IF(管理者入力シート!$B$14=1,BR15*管理者用人口入力シート!AT$3,IF(管理者入力シート!$B$14=2,BR15*管理者用人口入力シート!AT$7))</f>
        <v>205.51965271130734</v>
      </c>
      <c r="BT18" s="9">
        <f>IF(管理者入力シート!$B$14=1,BS15*管理者用人口入力シート!AU$3,IF(管理者入力シート!$B$14=2,BS15*管理者用人口入力シート!AU$7))</f>
        <v>203.720435553378</v>
      </c>
      <c r="BU18" s="9">
        <f>IF(管理者入力シート!$B$14=1,BT15*管理者用人口入力シート!AV$3,IF(管理者入力シート!$B$14=2,BT15*管理者用人口入力シート!AV$7))</f>
        <v>223.70775899760773</v>
      </c>
      <c r="BV18" s="9">
        <f>IF(管理者入力シート!$B$14=1,BU15*管理者用人口入力シート!AW$3,IF(管理者入力シート!$B$14=2,BU15*管理者用人口入力シート!AW$7))</f>
        <v>266.36538254812763</v>
      </c>
      <c r="BW18" s="9">
        <f>IF(管理者入力シート!$B$14=1,BV15*管理者用人口入力シート!AX$3,IF(管理者入力シート!$B$14=2,BV15*管理者用人口入力シート!AX$7))</f>
        <v>278.02014377491014</v>
      </c>
      <c r="BX18" s="9">
        <f>IF(管理者入力シート!$B$14=1,BW15*管理者用人口入力シート!AY$3,IF(管理者入力シート!$B$14=2,BW15*管理者用人口入力シート!AY$7))</f>
        <v>281.18772639044943</v>
      </c>
      <c r="BY18" s="9">
        <f>IF(管理者入力シート!$B$14=1,BX15*管理者用人口入力シート!AZ$3,IF(管理者入力シート!$B$14=2,BX15*管理者用人口入力シート!AZ$7))</f>
        <v>272.42312631544996</v>
      </c>
      <c r="BZ18" s="9">
        <f>IF(管理者入力シート!$B$14=1,BY15*管理者用人口入力シート!BA$3,IF(管理者入力シート!$B$14=2,BY15*管理者用人口入力シート!BA$7))</f>
        <v>287.60779178033067</v>
      </c>
      <c r="CA18" s="9">
        <f>IF(管理者入力シート!$B$14=1,BZ15*管理者用人口入力シート!BB$3,IF(管理者入力シート!$B$14=2,BZ15*管理者用人口入力シート!BB$7))</f>
        <v>185.49051508933397</v>
      </c>
      <c r="CB18" s="9">
        <f>IF(管理者入力シート!$B$14=1,CA15*管理者用人口入力シート!BC$3,IF(管理者入力シート!$B$14=2,CA15*管理者用人口入力シート!BC$7))</f>
        <v>113.20351079770127</v>
      </c>
      <c r="CC18" s="9">
        <f>IF(管理者入力シート!$B$14=1,CB15*管理者用人口入力シート!BD$3,IF(管理者入力シート!$B$14=2,CB15*管理者用人口入力シート!BD$7))</f>
        <v>66.383122622841498</v>
      </c>
      <c r="CD18" s="9">
        <f>IF(管理者入力シート!$B$14=1,CC15*管理者用人口入力シート!BE$3,IF(管理者入力シート!$B$14=2,CC15*管理者用人口入力シート!BE$7))</f>
        <v>17.373408565830129</v>
      </c>
      <c r="CE18" s="9">
        <f>IF(管理者入力シート!$B$14=1,CD15*管理者用人口入力シート!BF$3,IF(管理者入力シート!$B$14=2,CD15*管理者用人口入力シート!BF$7))</f>
        <v>5.0550040541241303</v>
      </c>
      <c r="CF18" s="9">
        <f t="shared" si="252"/>
        <v>3765.1907597293471</v>
      </c>
      <c r="CG18" s="9">
        <f t="shared" si="253"/>
        <v>208.37043598846313</v>
      </c>
      <c r="CH18" s="9">
        <f t="shared" si="254"/>
        <v>102.29230669748446</v>
      </c>
      <c r="CI18" s="9">
        <f t="shared" si="255"/>
        <v>1228.724205616061</v>
      </c>
      <c r="CJ18" s="9">
        <f t="shared" si="256"/>
        <v>675.11335291016155</v>
      </c>
      <c r="CK18" s="13">
        <f t="shared" si="257"/>
        <v>0.3263378362546458</v>
      </c>
      <c r="CL18" s="13">
        <f t="shared" si="258"/>
        <v>0.17930389082296874</v>
      </c>
      <c r="CM18" s="9">
        <f t="shared" si="259"/>
        <v>707.96400340802325</v>
      </c>
      <c r="CO18" s="7" t="str">
        <f t="shared" si="26"/>
        <v>2050_1</v>
      </c>
      <c r="CP18" s="28">
        <f>管理者入力シート!B13</f>
        <v>2050</v>
      </c>
      <c r="CQ18" s="3" t="s">
        <v>21</v>
      </c>
      <c r="CR18" s="9">
        <f>DT19*$AK$13+将来予測シート②!$G17</f>
        <v>158.48478468669407</v>
      </c>
      <c r="CS18" s="9">
        <f>IF(管理者入力シート!$B$14=1,CR15*管理者用人口入力シート!AM$3,IF(管理者入力シート!$B$14=2,CR15*管理者用人口入力シート!AM$7))+将来予測シート②!$G18</f>
        <v>169.08631881605675</v>
      </c>
      <c r="CT18" s="9">
        <f>IF(管理者入力シート!$B$14=1,CS15*管理者用人口入力シート!AN$3,IF(管理者入力シート!$B$14=2,CS15*管理者用人口入力シート!AN$7))+将来予測シート②!$G19</f>
        <v>184.96498069422591</v>
      </c>
      <c r="CU18" s="9">
        <f>IF(管理者入力シート!$B$14=1,CT15*管理者用人口入力シート!AO$3,IF(管理者入力シート!$B$14=2,CT15*管理者用人口入力シート!AO$7))+将来予測シート②!$G20</f>
        <v>151.83382001723061</v>
      </c>
      <c r="CV18" s="9">
        <f>IF(管理者入力シート!$B$14=1,CU15*管理者用人口入力シート!AP$3,IF(管理者入力シート!$B$14=2,CU15*管理者用人口入力シート!AP$7))+将来予測シート②!$G21</f>
        <v>118.34346106754845</v>
      </c>
      <c r="CW18" s="9">
        <f>IF(管理者入力シート!$B$14=1,CV15*管理者用人口入力シート!AQ$3,IF(管理者入力シート!$B$14=2,CV15*管理者用人口入力シート!AQ$7))+将来予測シート②!$G22</f>
        <v>181.4738757881226</v>
      </c>
      <c r="CX18" s="9">
        <f>IF(管理者入力シート!$B$14=1,CW15*管理者用人口入力シート!AR$3,IF(管理者入力シート!$B$14=2,CW15*管理者用人口入力シート!AR$7))+将来予測シート②!$G23</f>
        <v>205.30531603556955</v>
      </c>
      <c r="CY18" s="9">
        <f>IF(管理者入力シート!$B$14=1,CX15*管理者用人口入力シート!AS$3,IF(管理者入力シート!$B$14=2,CX15*管理者用人口入力シート!AS$7))+将来予測シート②!$G24</f>
        <v>213.68893605051846</v>
      </c>
      <c r="CZ18" s="9">
        <f>IF(管理者入力シート!$B$14=1,CY15*管理者用人口入力シート!AT$3,IF(管理者入力シート!$B$14=2,CY15*管理者用人口入力シート!AT$7))+将来予測シート②!$G25</f>
        <v>207.40872219121306</v>
      </c>
      <c r="DA18" s="9">
        <f>IF(管理者入力シート!$B$14=1,CZ15*管理者用人口入力シート!AU$3,IF(管理者入力シート!$B$14=2,CZ15*管理者用人口入力シート!AU$7))+将来予測シート②!$G26</f>
        <v>205.60262462088642</v>
      </c>
      <c r="DB18" s="9">
        <f>IF(管理者入力シート!$B$14=1,DA15*管理者用人口入力シート!AV$3,IF(管理者入力シート!$B$14=2,DA15*管理者用人口入力シート!AV$7))+将来予測シート②!$G27</f>
        <v>225.6290271460355</v>
      </c>
      <c r="DC18" s="9">
        <f>IF(管理者入力シート!$B$14=1,DB15*管理者用人口入力シート!AW$3,IF(管理者入力シート!$B$14=2,DB15*管理者用人口入力シート!AW$7))+将来予測シート②!$G28</f>
        <v>266.36538254812763</v>
      </c>
      <c r="DD18" s="9">
        <f>IF(管理者入力シート!$B$14=1,DC15*管理者用人口入力シート!AX$3,IF(管理者入力シート!$B$14=2,DC15*管理者用人口入力シート!AX$7))+将来予測シート②!$G29</f>
        <v>278.02014377491014</v>
      </c>
      <c r="DE18" s="9">
        <f>IF(管理者入力シート!$B$14=1,DD15*管理者用人口入力シート!AY$3,IF(管理者入力シート!$B$14=2,DD15*管理者用人口入力シート!AY$7))</f>
        <v>281.18772639044943</v>
      </c>
      <c r="DF18" s="9">
        <f>IF(管理者入力シート!$B$14=1,DE15*管理者用人口入力シート!AZ$3,IF(管理者入力シート!$B$14=2,DE15*管理者用人口入力シート!AZ$7))</f>
        <v>272.42312631544996</v>
      </c>
      <c r="DG18" s="9">
        <f>IF(管理者入力シート!$B$14=1,DF15*管理者用人口入力シート!BA$3,IF(管理者入力シート!$B$14=2,DF15*管理者用人口入力シート!BA$7))</f>
        <v>287.60779178033067</v>
      </c>
      <c r="DH18" s="9">
        <f>IF(管理者入力シート!$B$14=1,DG15*管理者用人口入力シート!BB$3,IF(管理者入力シート!$B$14=2,DG15*管理者用人口入力シート!BB$7))</f>
        <v>185.49051508933397</v>
      </c>
      <c r="DI18" s="9">
        <f>IF(管理者入力シート!$B$14=1,DH15*管理者用人口入力シート!BC$3,IF(管理者入力シート!$B$14=2,DH15*管理者用人口入力シート!BC$7))</f>
        <v>113.20351079770127</v>
      </c>
      <c r="DJ18" s="9">
        <f>IF(管理者入力シート!$B$14=1,DI15*管理者用人口入力シート!BD$3,IF(管理者入力シート!$B$14=2,DI15*管理者用人口入力シート!BD$7))</f>
        <v>66.383122622841498</v>
      </c>
      <c r="DK18" s="9">
        <f>IF(管理者入力シート!$B$14=1,DJ15*管理者用人口入力シート!BE$3,IF(管理者入力シート!$B$14=2,DJ15*管理者用人口入力シート!BE$7))</f>
        <v>17.373408565830129</v>
      </c>
      <c r="DL18" s="9">
        <f>IF(管理者入力シート!$B$14=1,DK15*管理者用人口入力シート!BF$3,IF(管理者入力シート!$B$14=2,DK15*管理者用人口入力シート!BF$7))</f>
        <v>5.0550040541241303</v>
      </c>
      <c r="DM18" s="9">
        <f t="shared" si="260"/>
        <v>3794.9315990532009</v>
      </c>
      <c r="DN18" s="9">
        <f t="shared" si="261"/>
        <v>212.43077970616957</v>
      </c>
      <c r="DO18" s="9">
        <f t="shared" si="262"/>
        <v>104.35275628113649</v>
      </c>
      <c r="DP18" s="9">
        <f t="shared" si="263"/>
        <v>1228.724205616061</v>
      </c>
      <c r="DQ18" s="9">
        <f t="shared" si="264"/>
        <v>675.11335291016155</v>
      </c>
      <c r="DR18" s="13">
        <f t="shared" si="265"/>
        <v>0.32378033003878537</v>
      </c>
      <c r="DS18" s="13">
        <f t="shared" si="266"/>
        <v>0.17789868810246695</v>
      </c>
      <c r="DT18" s="9">
        <f t="shared" si="267"/>
        <v>718.81158894175906</v>
      </c>
      <c r="DX18" s="287">
        <f>DX1</f>
        <v>78</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150.97899746160508</v>
      </c>
      <c r="BL19" s="10">
        <f>IF(管理者入力シート!$B$14=1,BK16*管理者用人口入力シート!AM$4,IF(管理者入力シート!$B$14=2,BK16*管理者用人口入力シート!AM$8))</f>
        <v>159.41357453362383</v>
      </c>
      <c r="BM19" s="10">
        <f>IF(管理者入力シート!$B$14=1,BL16*管理者用人口入力シート!AN$4,IF(管理者入力シート!$B$14=2,BL16*管理者用人口入力シート!AN$8))</f>
        <v>166.14883175497479</v>
      </c>
      <c r="BN19" s="10">
        <f>IF(管理者入力シート!$B$14=1,BM16*管理者用人口入力シート!AO$4,IF(管理者入力シート!$B$14=2,BM16*管理者用人口入力シート!AO$8))</f>
        <v>174.915125295693</v>
      </c>
      <c r="BO19" s="10">
        <f>IF(管理者入力シート!$B$14=1,BN16*管理者用人口入力シート!AP$4,IF(管理者入力シート!$B$14=2,BN16*管理者用人口入力シート!AP$8))</f>
        <v>152.05096499891067</v>
      </c>
      <c r="BP19" s="10">
        <f>IF(管理者入力シート!$B$14=1,BO16*管理者用人口入力シート!AQ$4,IF(管理者入力シート!$B$14=2,BO16*管理者用人口入力シート!AQ$8))</f>
        <v>159.84165877186859</v>
      </c>
      <c r="BQ19" s="10">
        <f>IF(管理者入力シート!$B$14=1,BP16*管理者用人口入力シート!AR$4,IF(管理者入力シート!$B$14=2,BP16*管理者用人口入力シート!AR$8))</f>
        <v>189.79052972013076</v>
      </c>
      <c r="BR19" s="10">
        <f>IF(管理者入力シート!$B$14=1,BQ16*管理者用人口入力シート!AS$4,IF(管理者入力シート!$B$14=2,BQ16*管理者用人口入力シート!AS$8))</f>
        <v>183.64804760562967</v>
      </c>
      <c r="BS19" s="10">
        <f>IF(管理者入力シート!$B$14=1,BR16*管理者用人口入力シート!AT$4,IF(管理者入力シート!$B$14=2,BR16*管理者用人口入力シート!AT$8))</f>
        <v>207.91615028028741</v>
      </c>
      <c r="BT19" s="10">
        <f>IF(管理者入力シート!$B$14=1,BS16*管理者用人口入力シート!AU$4,IF(管理者入力シート!$B$14=2,BS16*管理者用人口入力シート!AU$8))</f>
        <v>211.62802848014164</v>
      </c>
      <c r="BU19" s="10">
        <f>IF(管理者入力シート!$B$14=1,BT16*管理者用人口入力シート!AV$4,IF(管理者入力シート!$B$14=2,BT16*管理者用人口入力シート!AV$8))</f>
        <v>207.49238845862854</v>
      </c>
      <c r="BV19" s="10">
        <f>IF(管理者入力シート!$B$14=1,BU16*管理者用人口入力シート!AW$4,IF(管理者入力シート!$B$14=2,BU16*管理者用人口入力シート!AW$8))</f>
        <v>249.9099895772226</v>
      </c>
      <c r="BW19" s="10">
        <f>IF(管理者入力シート!$B$14=1,BV16*管理者用人口入力シート!AX$4,IF(管理者入力シート!$B$14=2,BV16*管理者用人口入力シート!AX$8))</f>
        <v>271.27351293363751</v>
      </c>
      <c r="BX19" s="10">
        <f>IF(管理者入力シート!$B$14=1,BW16*管理者用人口入力シート!AY$4,IF(管理者入力シート!$B$14=2,BW16*管理者用人口入力シート!AY$8))</f>
        <v>353.99927958722247</v>
      </c>
      <c r="BY19" s="10">
        <f>IF(管理者入力シート!$B$14=1,BX16*管理者用人口入力シート!AZ$4,IF(管理者入力シート!$B$14=2,BX16*管理者用人口入力シート!AZ$8))</f>
        <v>331.74389093572546</v>
      </c>
      <c r="BZ19" s="10">
        <f>IF(管理者入力シート!$B$14=1,BY16*管理者用人口入力シート!BA$4,IF(管理者入力シート!$B$14=2,BY16*管理者用人口入力シート!BA$8))</f>
        <v>337.37224435713</v>
      </c>
      <c r="CA19" s="10">
        <f>IF(管理者入力シート!$B$14=1,BZ16*管理者用人口入力シート!BB$4,IF(管理者入力シート!$B$14=2,BZ16*管理者用人口入力シート!BB$8))</f>
        <v>272.5682194029892</v>
      </c>
      <c r="CB19" s="10">
        <f>IF(管理者入力シート!$B$14=1,CA16*管理者用人口入力シート!BC$4,IF(管理者入力シート!$B$14=2,CA16*管理者用人口入力シート!BC$8))</f>
        <v>200.55044915360378</v>
      </c>
      <c r="CC19" s="10">
        <f>IF(管理者入力シート!$B$14=1,CB16*管理者用人口入力シート!BD$4,IF(管理者入力シート!$B$14=2,CB16*管理者用人口入力シート!BD$8))</f>
        <v>123.99072301284558</v>
      </c>
      <c r="CD19" s="10">
        <f>IF(管理者入力シート!$B$14=1,CC16*管理者用人口入力シート!BE$4,IF(管理者入力シート!$B$14=2,CC16*管理者用人口入力シート!BE$8))</f>
        <v>47.374219979676219</v>
      </c>
      <c r="CE19" s="10">
        <f>IF(管理者入力シート!$B$14=1,CD16*管理者用人口入力シート!BF$4,IF(管理者入力シート!$B$14=2,CD16*管理者用人口入力シート!BF$8))</f>
        <v>11.394207382121534</v>
      </c>
      <c r="CF19" s="10">
        <f t="shared" si="252"/>
        <v>4164.0010336836685</v>
      </c>
      <c r="CG19" s="10">
        <f t="shared" si="253"/>
        <v>195.33744377315918</v>
      </c>
      <c r="CH19" s="10">
        <f t="shared" si="254"/>
        <v>101.44255776112851</v>
      </c>
      <c r="CI19" s="10">
        <f t="shared" si="255"/>
        <v>1678.993233811314</v>
      </c>
      <c r="CJ19" s="10">
        <f t="shared" si="256"/>
        <v>993.25006328836628</v>
      </c>
      <c r="CK19" s="14">
        <f t="shared" si="257"/>
        <v>0.40321633453726563</v>
      </c>
      <c r="CL19" s="14">
        <f t="shared" si="258"/>
        <v>0.23853261688787122</v>
      </c>
      <c r="CM19" s="10">
        <f t="shared" si="259"/>
        <v>685.33120109653976</v>
      </c>
      <c r="CO19" s="7" t="str">
        <f t="shared" si="26"/>
        <v>2050_2</v>
      </c>
      <c r="CP19" s="29">
        <f>CP18</f>
        <v>2050</v>
      </c>
      <c r="CQ19" s="4" t="s">
        <v>22</v>
      </c>
      <c r="CR19" s="10">
        <f>DT19*$AK$14+将来予測シート②!$H17</f>
        <v>154.51069858810661</v>
      </c>
      <c r="CS19" s="10">
        <f>IF(管理者入力シート!$B$14=1,CR16*管理者用人口入力シート!AM$4,IF(管理者入力シート!$B$14=2,CR16*管理者用人口入力シート!AM$8))+将来予測シート②!$H18</f>
        <v>162.35094970587778</v>
      </c>
      <c r="CT19" s="10">
        <f>IF(管理者入力シート!$B$14=1,CS16*管理者用人口入力シート!AN$4,IF(管理者入力シート!$B$14=2,CS16*管理者用人口入力シート!AN$8))+将来予測シート②!$H19</f>
        <v>169.67825340311714</v>
      </c>
      <c r="CU19" s="10">
        <f>IF(管理者入力シート!$B$14=1,CT16*管理者用人口入力シート!AO$4,IF(管理者入力シート!$B$14=2,CT16*管理者用人口入力シート!AO$8))+将来予測シート②!$H20</f>
        <v>178.35441951499254</v>
      </c>
      <c r="CV19" s="10">
        <f>IF(管理者入力シート!$B$14=1,CU16*管理者用人口入力シート!AP$4,IF(管理者入力シート!$B$14=2,CU16*管理者用人口入力シート!AP$8))+将来予測シート②!$H21</f>
        <v>154.39150564295375</v>
      </c>
      <c r="CW19" s="10">
        <f>IF(管理者入力シート!$B$14=1,CV16*管理者用人口入力シート!AQ$4,IF(管理者入力シート!$B$14=2,CV16*管理者用人口入力シート!AQ$8))+将来予測シート②!$H22</f>
        <v>163.44209403330424</v>
      </c>
      <c r="CX19" s="10">
        <f>IF(管理者入力シート!$B$14=1,CW16*管理者用人口入力シート!AR$4,IF(管理者入力シート!$B$14=2,CW16*管理者用人口入力シート!AR$8))+将来予測シート②!$H23</f>
        <v>192.66372977899246</v>
      </c>
      <c r="CY19" s="10">
        <f>IF(管理者入力シート!$B$14=1,CX16*管理者用人口入力シート!AS$4,IF(管理者入力シート!$B$14=2,CX16*管理者用人口入力シート!AS$8))+将来予測シート②!$H24</f>
        <v>186.32589240585949</v>
      </c>
      <c r="CZ19" s="10">
        <f>IF(管理者入力シート!$B$14=1,CY16*管理者用人口入力シート!AT$4,IF(管理者入力シート!$B$14=2,CY16*管理者用人口入力シート!AT$8))+将来予測シート②!$H25</f>
        <v>210.88457455180043</v>
      </c>
      <c r="DA19" s="10">
        <f>IF(管理者入力シート!$B$14=1,CZ16*管理者用人口入力シート!AU$4,IF(管理者入力シート!$B$14=2,CZ16*管理者用人口入力シート!AU$8))+将来予測シート②!$H26</f>
        <v>214.68467424670129</v>
      </c>
      <c r="DB19" s="10">
        <f>IF(管理者入力シート!$B$14=1,DA16*管理者用人口入力シート!AV$4,IF(管理者入力シート!$B$14=2,DA16*管理者用人口入力シート!AV$8))+将来予測シート②!$H27</f>
        <v>210.49335702115411</v>
      </c>
      <c r="DC19" s="10">
        <f>IF(管理者入力シート!$B$14=1,DB16*管理者用人口入力シート!AW$4,IF(管理者入力シート!$B$14=2,DB16*管理者用人口入力シート!AW$8))+将来予測シート②!$H28</f>
        <v>250.9486937317582</v>
      </c>
      <c r="DD19" s="10">
        <f>IF(管理者入力シート!$B$14=1,DC16*管理者用人口入力シート!AX$4,IF(管理者入力シート!$B$14=2,DC16*管理者用人口入力シート!AX$8))+将来予測シート②!$H29</f>
        <v>272.27208640673257</v>
      </c>
      <c r="DE19" s="10">
        <f>IF(管理者入力シート!$B$14=1,DD16*管理者用人口入力シート!AY$4,IF(管理者入力シート!$B$14=2,DD16*管理者用人口入力シート!AY$8))</f>
        <v>354.97642220440645</v>
      </c>
      <c r="DF19" s="10">
        <f>IF(管理者入力シート!$B$14=1,DE16*管理者用人口入力シート!AZ$4,IF(管理者入力シート!$B$14=2,DE16*管理者用人口入力シート!AZ$8))</f>
        <v>331.74389093572546</v>
      </c>
      <c r="DG19" s="10">
        <f>IF(管理者入力シート!$B$14=1,DF16*管理者用人口入力シート!BA$4,IF(管理者入力シート!$B$14=2,DF16*管理者用人口入力シート!BA$8))</f>
        <v>337.37224435713</v>
      </c>
      <c r="DH19" s="10">
        <f>IF(管理者入力シート!$B$14=1,DG16*管理者用人口入力シート!BB$4,IF(管理者入力シート!$B$14=2,DG16*管理者用人口入力シート!BB$8))</f>
        <v>272.5682194029892</v>
      </c>
      <c r="DI19" s="10">
        <f>IF(管理者入力シート!$B$14=1,DH16*管理者用人口入力シート!BC$4,IF(管理者入力シート!$B$14=2,DH16*管理者用人口入力シート!BC$8))</f>
        <v>200.55044915360378</v>
      </c>
      <c r="DJ19" s="10">
        <f>IF(管理者入力シート!$B$14=1,DI16*管理者用人口入力シート!BD$4,IF(管理者入力シート!$B$14=2,DI16*管理者用人口入力シート!BD$8))</f>
        <v>123.99072301284558</v>
      </c>
      <c r="DK19" s="10">
        <f>IF(管理者入力シート!$B$14=1,DJ16*管理者用人口入力シート!BE$4,IF(管理者入力シート!$B$14=2,DJ16*管理者用人口入力シート!BE$8))</f>
        <v>47.374219979676219</v>
      </c>
      <c r="DL19" s="10">
        <f>IF(管理者入力シート!$B$14=1,DK16*管理者用人口入力シート!BF$4,IF(管理者入力シート!$B$14=2,DK16*管理者用人口入力シート!BF$8))</f>
        <v>11.394207382121534</v>
      </c>
      <c r="DM19" s="10">
        <f t="shared" si="260"/>
        <v>4200.9713054598496</v>
      </c>
      <c r="DN19" s="10">
        <f t="shared" si="261"/>
        <v>199.21752186539698</v>
      </c>
      <c r="DO19" s="10">
        <f t="shared" si="262"/>
        <v>103.54218526424536</v>
      </c>
      <c r="DP19" s="10">
        <f t="shared" si="263"/>
        <v>1679.970376428498</v>
      </c>
      <c r="DQ19" s="10">
        <f t="shared" si="264"/>
        <v>993.25006328836628</v>
      </c>
      <c r="DR19" s="14">
        <f t="shared" si="265"/>
        <v>0.39990046450569694</v>
      </c>
      <c r="DS19" s="14">
        <f t="shared" si="266"/>
        <v>0.23643343195357591</v>
      </c>
      <c r="DT19" s="10">
        <f t="shared" si="267"/>
        <v>696.82322186110991</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305.86654032434046</v>
      </c>
      <c r="BL20" s="16">
        <f t="shared" ref="BL20:CE20" si="276">BL18+BL19</f>
        <v>325.46565490889657</v>
      </c>
      <c r="BM20" s="16">
        <f t="shared" si="276"/>
        <v>347.3808113604739</v>
      </c>
      <c r="BN20" s="16">
        <f t="shared" si="276"/>
        <v>323.91269957211705</v>
      </c>
      <c r="BO20" s="16">
        <f t="shared" si="276"/>
        <v>268.66829336084947</v>
      </c>
      <c r="BP20" s="16">
        <f t="shared" si="276"/>
        <v>337.63333862300772</v>
      </c>
      <c r="BQ20" s="16">
        <f t="shared" si="276"/>
        <v>392.32345380803372</v>
      </c>
      <c r="BR20" s="16">
        <f t="shared" si="276"/>
        <v>394.67011871267215</v>
      </c>
      <c r="BS20" s="16">
        <f t="shared" si="276"/>
        <v>413.43580299159476</v>
      </c>
      <c r="BT20" s="16">
        <f t="shared" si="276"/>
        <v>415.34846403351963</v>
      </c>
      <c r="BU20" s="16">
        <f t="shared" si="276"/>
        <v>431.20014745623627</v>
      </c>
      <c r="BV20" s="16">
        <f t="shared" si="276"/>
        <v>516.27537212535026</v>
      </c>
      <c r="BW20" s="16">
        <f t="shared" si="276"/>
        <v>549.29365670854759</v>
      </c>
      <c r="BX20" s="16">
        <f t="shared" si="276"/>
        <v>635.1870059776719</v>
      </c>
      <c r="BY20" s="16">
        <f t="shared" si="276"/>
        <v>604.16701725117537</v>
      </c>
      <c r="BZ20" s="16">
        <f t="shared" si="276"/>
        <v>624.98003613746073</v>
      </c>
      <c r="CA20" s="16">
        <f t="shared" si="276"/>
        <v>458.0587344923232</v>
      </c>
      <c r="CB20" s="16">
        <f t="shared" si="276"/>
        <v>313.75395995130503</v>
      </c>
      <c r="CC20" s="16">
        <f t="shared" si="276"/>
        <v>190.37384563568708</v>
      </c>
      <c r="CD20" s="16">
        <f t="shared" si="276"/>
        <v>64.747628545506345</v>
      </c>
      <c r="CE20" s="16">
        <f t="shared" si="276"/>
        <v>16.449211436245665</v>
      </c>
      <c r="CF20" s="11">
        <f t="shared" si="252"/>
        <v>7929.1917934130133</v>
      </c>
      <c r="CG20" s="11">
        <f t="shared" si="253"/>
        <v>403.70787976162228</v>
      </c>
      <c r="CH20" s="11">
        <f t="shared" si="254"/>
        <v>203.73486445861298</v>
      </c>
      <c r="CI20" s="11">
        <f t="shared" si="255"/>
        <v>2907.7174394273757</v>
      </c>
      <c r="CJ20" s="11">
        <f t="shared" si="256"/>
        <v>1668.3634161985278</v>
      </c>
      <c r="CK20" s="15">
        <f t="shared" si="257"/>
        <v>0.36671044353384069</v>
      </c>
      <c r="CL20" s="15">
        <f t="shared" si="258"/>
        <v>0.21040775146648374</v>
      </c>
      <c r="CM20" s="11">
        <f t="shared" si="259"/>
        <v>1393.2952045045631</v>
      </c>
      <c r="CO20" s="7" t="str">
        <f t="shared" si="26"/>
        <v>2050_3</v>
      </c>
      <c r="CP20" s="30">
        <f>CP19</f>
        <v>2050</v>
      </c>
      <c r="CQ20" s="5" t="s">
        <v>23</v>
      </c>
      <c r="CR20" s="16">
        <f>CR18+CR19</f>
        <v>312.99548327480068</v>
      </c>
      <c r="CS20" s="16">
        <f t="shared" ref="CS20:DL20" si="277">CS18+CS19</f>
        <v>331.43726852193453</v>
      </c>
      <c r="CT20" s="16">
        <f t="shared" si="277"/>
        <v>354.64323409734305</v>
      </c>
      <c r="CU20" s="16">
        <f t="shared" si="277"/>
        <v>330.18823953222318</v>
      </c>
      <c r="CV20" s="16">
        <f t="shared" si="277"/>
        <v>272.73496671050219</v>
      </c>
      <c r="CW20" s="16">
        <f t="shared" si="277"/>
        <v>344.91596982142687</v>
      </c>
      <c r="CX20" s="16">
        <f t="shared" si="277"/>
        <v>397.96904581456204</v>
      </c>
      <c r="CY20" s="16">
        <f t="shared" si="277"/>
        <v>400.01482845637793</v>
      </c>
      <c r="CZ20" s="16">
        <f t="shared" si="277"/>
        <v>418.29329674301346</v>
      </c>
      <c r="DA20" s="16">
        <f t="shared" si="277"/>
        <v>420.28729886758771</v>
      </c>
      <c r="DB20" s="16">
        <f t="shared" si="277"/>
        <v>436.12238416718958</v>
      </c>
      <c r="DC20" s="16">
        <f t="shared" si="277"/>
        <v>517.31407627988585</v>
      </c>
      <c r="DD20" s="16">
        <f t="shared" si="277"/>
        <v>550.29223018164271</v>
      </c>
      <c r="DE20" s="16">
        <f t="shared" si="277"/>
        <v>636.16414859485587</v>
      </c>
      <c r="DF20" s="16">
        <f t="shared" si="277"/>
        <v>604.16701725117537</v>
      </c>
      <c r="DG20" s="16">
        <f t="shared" si="277"/>
        <v>624.98003613746073</v>
      </c>
      <c r="DH20" s="16">
        <f t="shared" si="277"/>
        <v>458.0587344923232</v>
      </c>
      <c r="DI20" s="16">
        <f t="shared" si="277"/>
        <v>313.75395995130503</v>
      </c>
      <c r="DJ20" s="16">
        <f t="shared" si="277"/>
        <v>190.37384563568708</v>
      </c>
      <c r="DK20" s="16">
        <f t="shared" si="277"/>
        <v>64.747628545506345</v>
      </c>
      <c r="DL20" s="16">
        <f t="shared" si="277"/>
        <v>16.449211436245665</v>
      </c>
      <c r="DM20" s="11">
        <f t="shared" si="260"/>
        <v>7995.9029045130474</v>
      </c>
      <c r="DN20" s="11">
        <f t="shared" si="261"/>
        <v>411.64830157156655</v>
      </c>
      <c r="DO20" s="11">
        <f t="shared" si="262"/>
        <v>207.89494154538187</v>
      </c>
      <c r="DP20" s="11">
        <f t="shared" si="263"/>
        <v>2908.6945820445594</v>
      </c>
      <c r="DQ20" s="11">
        <f t="shared" si="264"/>
        <v>1668.3634161985278</v>
      </c>
      <c r="DR20" s="15">
        <f t="shared" si="265"/>
        <v>0.36377312440885617</v>
      </c>
      <c r="DS20" s="15">
        <f t="shared" si="266"/>
        <v>0.20865228556700835</v>
      </c>
      <c r="DT20" s="11">
        <f t="shared" si="267"/>
        <v>1415.6348108028692</v>
      </c>
      <c r="DX20" s="28">
        <f>DX3</f>
        <v>2025</v>
      </c>
      <c r="DY20" s="3" t="s">
        <v>21</v>
      </c>
      <c r="DZ20" s="9">
        <f t="shared" ref="DZ20:ET20" si="278">ROUND(DZ3,0)</f>
        <v>211</v>
      </c>
      <c r="EA20" s="9">
        <f t="shared" si="278"/>
        <v>242</v>
      </c>
      <c r="EB20" s="9">
        <f t="shared" si="278"/>
        <v>268</v>
      </c>
      <c r="EC20" s="9">
        <f t="shared" si="278"/>
        <v>208</v>
      </c>
      <c r="ED20" s="9">
        <f t="shared" si="278"/>
        <v>152</v>
      </c>
      <c r="EE20" s="9">
        <f t="shared" si="278"/>
        <v>311</v>
      </c>
      <c r="EF20" s="9">
        <f t="shared" si="278"/>
        <v>353</v>
      </c>
      <c r="EG20" s="9">
        <f t="shared" si="278"/>
        <v>357</v>
      </c>
      <c r="EH20" s="9">
        <f t="shared" si="278"/>
        <v>312</v>
      </c>
      <c r="EI20" s="9">
        <f t="shared" si="278"/>
        <v>333</v>
      </c>
      <c r="EJ20" s="9">
        <f t="shared" si="278"/>
        <v>416</v>
      </c>
      <c r="EK20" s="9">
        <f t="shared" si="278"/>
        <v>337</v>
      </c>
      <c r="EL20" s="9">
        <f t="shared" si="278"/>
        <v>326</v>
      </c>
      <c r="EM20" s="9">
        <f t="shared" si="278"/>
        <v>342</v>
      </c>
      <c r="EN20" s="9">
        <f t="shared" si="278"/>
        <v>341</v>
      </c>
      <c r="EO20" s="9">
        <f t="shared" si="278"/>
        <v>403</v>
      </c>
      <c r="EP20" s="9">
        <f t="shared" si="278"/>
        <v>240</v>
      </c>
      <c r="EQ20" s="9">
        <f t="shared" si="278"/>
        <v>173</v>
      </c>
      <c r="ER20" s="9">
        <f t="shared" si="278"/>
        <v>77</v>
      </c>
      <c r="ES20" s="9">
        <f t="shared" si="278"/>
        <v>18</v>
      </c>
      <c r="ET20" s="9">
        <f t="shared" si="278"/>
        <v>2</v>
      </c>
      <c r="EU20" s="9">
        <f t="shared" ref="EU20:EU21" si="279">SUM(DZ20:ET20)</f>
        <v>5422</v>
      </c>
      <c r="EV20" s="9">
        <f>EA20*3/5+EB20*3/5</f>
        <v>306</v>
      </c>
      <c r="EW20" s="9">
        <f>EB20*2/5+EC20*1/5</f>
        <v>148.80000000000001</v>
      </c>
      <c r="EX20" s="9">
        <f t="shared" ref="EX20:EX31" si="280">SUM(EM20:ET20)</f>
        <v>1596</v>
      </c>
      <c r="EY20" s="9">
        <f>SUM(EO20:ET20)</f>
        <v>913</v>
      </c>
      <c r="EZ20" s="13">
        <f>EX20/EU20</f>
        <v>0.29435632607893764</v>
      </c>
      <c r="FA20" s="13">
        <f>EY20/EU20</f>
        <v>0.1683880486905201</v>
      </c>
      <c r="FB20" s="9">
        <f>SUM(ED20:EG20)</f>
        <v>1173</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205</v>
      </c>
      <c r="EA21" s="10">
        <f t="shared" si="281"/>
        <v>232</v>
      </c>
      <c r="EB21" s="10">
        <f t="shared" si="281"/>
        <v>235</v>
      </c>
      <c r="EC21" s="10">
        <f t="shared" si="281"/>
        <v>263</v>
      </c>
      <c r="ED21" s="10">
        <f t="shared" si="281"/>
        <v>213</v>
      </c>
      <c r="EE21" s="10">
        <f t="shared" si="281"/>
        <v>287</v>
      </c>
      <c r="EF21" s="10">
        <f t="shared" si="281"/>
        <v>327</v>
      </c>
      <c r="EG21" s="10">
        <f t="shared" si="281"/>
        <v>340</v>
      </c>
      <c r="EH21" s="10">
        <f t="shared" si="281"/>
        <v>362</v>
      </c>
      <c r="EI21" s="10">
        <f t="shared" si="281"/>
        <v>353</v>
      </c>
      <c r="EJ21" s="10">
        <f t="shared" si="281"/>
        <v>391</v>
      </c>
      <c r="EK21" s="10">
        <f t="shared" si="281"/>
        <v>380</v>
      </c>
      <c r="EL21" s="10">
        <f t="shared" si="281"/>
        <v>359</v>
      </c>
      <c r="EM21" s="10">
        <f t="shared" si="281"/>
        <v>393</v>
      </c>
      <c r="EN21" s="10">
        <f t="shared" si="281"/>
        <v>460</v>
      </c>
      <c r="EO21" s="10">
        <f t="shared" si="281"/>
        <v>482</v>
      </c>
      <c r="EP21" s="10">
        <f t="shared" si="281"/>
        <v>354</v>
      </c>
      <c r="EQ21" s="10">
        <f t="shared" si="281"/>
        <v>271</v>
      </c>
      <c r="ER21" s="10">
        <f t="shared" si="281"/>
        <v>180</v>
      </c>
      <c r="ES21" s="10">
        <f t="shared" si="281"/>
        <v>60</v>
      </c>
      <c r="ET21" s="10">
        <f t="shared" si="281"/>
        <v>12</v>
      </c>
      <c r="EU21" s="10">
        <f t="shared" si="279"/>
        <v>6159</v>
      </c>
      <c r="EV21" s="10">
        <f t="shared" ref="EV21:EV31" si="282">EA21*3/5+EB21*3/5</f>
        <v>280.2</v>
      </c>
      <c r="EW21" s="10">
        <f t="shared" ref="EW21:EW31" si="283">EB21*2/5+EC21*1/5</f>
        <v>146.6</v>
      </c>
      <c r="EX21" s="10">
        <f t="shared" si="280"/>
        <v>2212</v>
      </c>
      <c r="EY21" s="10">
        <f t="shared" ref="EY21:EY31" si="284">SUM(EO21:ET21)</f>
        <v>1359</v>
      </c>
      <c r="EZ21" s="14">
        <f t="shared" ref="EZ21:EZ31" si="285">EX21/EU21</f>
        <v>0.35914921253450233</v>
      </c>
      <c r="FA21" s="14">
        <f t="shared" ref="FA21:FA31" si="286">EY21/EU21</f>
        <v>0.2206527033609352</v>
      </c>
      <c r="FB21" s="10">
        <f>SUM(ED21:EG21)</f>
        <v>1167</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416</v>
      </c>
      <c r="EA22" s="16">
        <f t="shared" ref="EA22:ET22" si="287">EA20+EA21</f>
        <v>474</v>
      </c>
      <c r="EB22" s="16">
        <f t="shared" si="287"/>
        <v>503</v>
      </c>
      <c r="EC22" s="16">
        <f t="shared" si="287"/>
        <v>471</v>
      </c>
      <c r="ED22" s="16">
        <f t="shared" si="287"/>
        <v>365</v>
      </c>
      <c r="EE22" s="16">
        <f t="shared" si="287"/>
        <v>598</v>
      </c>
      <c r="EF22" s="16">
        <f t="shared" si="287"/>
        <v>680</v>
      </c>
      <c r="EG22" s="16">
        <f t="shared" si="287"/>
        <v>697</v>
      </c>
      <c r="EH22" s="16">
        <f t="shared" si="287"/>
        <v>674</v>
      </c>
      <c r="EI22" s="16">
        <f t="shared" si="287"/>
        <v>686</v>
      </c>
      <c r="EJ22" s="16">
        <f t="shared" si="287"/>
        <v>807</v>
      </c>
      <c r="EK22" s="16">
        <f t="shared" si="287"/>
        <v>717</v>
      </c>
      <c r="EL22" s="16">
        <f t="shared" si="287"/>
        <v>685</v>
      </c>
      <c r="EM22" s="16">
        <f t="shared" si="287"/>
        <v>735</v>
      </c>
      <c r="EN22" s="16">
        <f t="shared" si="287"/>
        <v>801</v>
      </c>
      <c r="EO22" s="16">
        <f t="shared" si="287"/>
        <v>885</v>
      </c>
      <c r="EP22" s="16">
        <f t="shared" si="287"/>
        <v>594</v>
      </c>
      <c r="EQ22" s="16">
        <f t="shared" si="287"/>
        <v>444</v>
      </c>
      <c r="ER22" s="16">
        <f t="shared" si="287"/>
        <v>257</v>
      </c>
      <c r="ES22" s="16">
        <f t="shared" si="287"/>
        <v>78</v>
      </c>
      <c r="ET22" s="16">
        <f t="shared" si="287"/>
        <v>14</v>
      </c>
      <c r="EU22" s="11">
        <f>SUM(DZ22:ET22)</f>
        <v>11581</v>
      </c>
      <c r="EV22" s="11">
        <f t="shared" si="282"/>
        <v>586.20000000000005</v>
      </c>
      <c r="EW22" s="11">
        <f t="shared" si="283"/>
        <v>295.39999999999998</v>
      </c>
      <c r="EX22" s="11">
        <f t="shared" si="280"/>
        <v>3808</v>
      </c>
      <c r="EY22" s="11">
        <f t="shared" si="284"/>
        <v>2272</v>
      </c>
      <c r="EZ22" s="15">
        <f t="shared" si="285"/>
        <v>0.32881443744063554</v>
      </c>
      <c r="FA22" s="15">
        <f t="shared" si="286"/>
        <v>0.19618340385113547</v>
      </c>
      <c r="FB22" s="11">
        <f>SUM(ED22:EG22)</f>
        <v>2340</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284</v>
      </c>
      <c r="EA23" s="9">
        <f t="shared" si="288"/>
        <v>207</v>
      </c>
      <c r="EB23" s="9">
        <f t="shared" si="288"/>
        <v>247</v>
      </c>
      <c r="EC23" s="9">
        <f t="shared" si="288"/>
        <v>214</v>
      </c>
      <c r="ED23" s="9">
        <f t="shared" si="288"/>
        <v>153</v>
      </c>
      <c r="EE23" s="9">
        <f t="shared" si="288"/>
        <v>294</v>
      </c>
      <c r="EF23" s="9">
        <f t="shared" si="288"/>
        <v>382</v>
      </c>
      <c r="EG23" s="9">
        <f t="shared" si="288"/>
        <v>417</v>
      </c>
      <c r="EH23" s="9">
        <f t="shared" si="288"/>
        <v>359</v>
      </c>
      <c r="EI23" s="9">
        <f t="shared" si="288"/>
        <v>311</v>
      </c>
      <c r="EJ23" s="9">
        <f t="shared" si="288"/>
        <v>340</v>
      </c>
      <c r="EK23" s="9">
        <f t="shared" si="288"/>
        <v>410</v>
      </c>
      <c r="EL23" s="9">
        <f t="shared" si="288"/>
        <v>332</v>
      </c>
      <c r="EM23" s="9">
        <f t="shared" si="288"/>
        <v>297</v>
      </c>
      <c r="EN23" s="9">
        <f t="shared" si="288"/>
        <v>310</v>
      </c>
      <c r="EO23" s="9">
        <f t="shared" si="288"/>
        <v>295</v>
      </c>
      <c r="EP23" s="9">
        <f t="shared" si="288"/>
        <v>317</v>
      </c>
      <c r="EQ23" s="9">
        <f t="shared" si="288"/>
        <v>149</v>
      </c>
      <c r="ER23" s="9">
        <f t="shared" si="288"/>
        <v>88</v>
      </c>
      <c r="ES23" s="9">
        <f t="shared" si="288"/>
        <v>18</v>
      </c>
      <c r="ET23" s="9">
        <f t="shared" si="288"/>
        <v>4</v>
      </c>
      <c r="EU23" s="9">
        <f t="shared" ref="EU23:EU31" si="289">SUM(DZ23:ET23)</f>
        <v>5428</v>
      </c>
      <c r="EV23" s="9">
        <f t="shared" si="282"/>
        <v>272.39999999999998</v>
      </c>
      <c r="EW23" s="9">
        <f t="shared" si="283"/>
        <v>141.6</v>
      </c>
      <c r="EX23" s="9">
        <f t="shared" si="280"/>
        <v>1478</v>
      </c>
      <c r="EY23" s="9">
        <f t="shared" si="284"/>
        <v>871</v>
      </c>
      <c r="EZ23" s="13">
        <f t="shared" si="285"/>
        <v>0.27229182019159914</v>
      </c>
      <c r="FA23" s="13">
        <f t="shared" si="286"/>
        <v>0.16046425939572587</v>
      </c>
      <c r="FB23" s="9">
        <f t="shared" ref="FB23:FB31" si="290">SUM(ED23:EG23)</f>
        <v>1246</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276</v>
      </c>
      <c r="EA24" s="10">
        <f t="shared" si="291"/>
        <v>199</v>
      </c>
      <c r="EB24" s="10">
        <f t="shared" si="291"/>
        <v>227</v>
      </c>
      <c r="EC24" s="10">
        <f t="shared" si="291"/>
        <v>241</v>
      </c>
      <c r="ED24" s="10">
        <f t="shared" si="291"/>
        <v>216</v>
      </c>
      <c r="EE24" s="10">
        <f t="shared" si="291"/>
        <v>287</v>
      </c>
      <c r="EF24" s="10">
        <f t="shared" si="291"/>
        <v>370</v>
      </c>
      <c r="EG24" s="10">
        <f t="shared" si="291"/>
        <v>383</v>
      </c>
      <c r="EH24" s="10">
        <f t="shared" si="291"/>
        <v>353</v>
      </c>
      <c r="EI24" s="10">
        <f t="shared" si="291"/>
        <v>373</v>
      </c>
      <c r="EJ24" s="10">
        <f t="shared" si="291"/>
        <v>346</v>
      </c>
      <c r="EK24" s="10">
        <f t="shared" si="291"/>
        <v>401</v>
      </c>
      <c r="EL24" s="10">
        <f t="shared" si="291"/>
        <v>366</v>
      </c>
      <c r="EM24" s="10">
        <f t="shared" si="291"/>
        <v>351</v>
      </c>
      <c r="EN24" s="10">
        <f t="shared" si="291"/>
        <v>389</v>
      </c>
      <c r="EO24" s="10">
        <f t="shared" si="291"/>
        <v>414</v>
      </c>
      <c r="EP24" s="10">
        <f t="shared" si="291"/>
        <v>411</v>
      </c>
      <c r="EQ24" s="10">
        <f t="shared" si="291"/>
        <v>265</v>
      </c>
      <c r="ER24" s="10">
        <f t="shared" si="291"/>
        <v>150</v>
      </c>
      <c r="ES24" s="10">
        <f t="shared" si="291"/>
        <v>58</v>
      </c>
      <c r="ET24" s="10">
        <f t="shared" si="291"/>
        <v>12</v>
      </c>
      <c r="EU24" s="10">
        <f t="shared" si="289"/>
        <v>6088</v>
      </c>
      <c r="EV24" s="10">
        <f t="shared" si="282"/>
        <v>255.6</v>
      </c>
      <c r="EW24" s="10">
        <f t="shared" si="283"/>
        <v>139</v>
      </c>
      <c r="EX24" s="10">
        <f t="shared" si="280"/>
        <v>2050</v>
      </c>
      <c r="EY24" s="10">
        <f t="shared" si="284"/>
        <v>1310</v>
      </c>
      <c r="EZ24" s="14">
        <f t="shared" si="285"/>
        <v>0.33672798948751642</v>
      </c>
      <c r="FA24" s="14">
        <f t="shared" si="286"/>
        <v>0.21517739816031536</v>
      </c>
      <c r="FB24" s="10">
        <f t="shared" si="290"/>
        <v>1256</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560</v>
      </c>
      <c r="EA25" s="16">
        <f t="shared" ref="EA25:ET25" si="292">EA23+EA24</f>
        <v>406</v>
      </c>
      <c r="EB25" s="16">
        <f t="shared" si="292"/>
        <v>474</v>
      </c>
      <c r="EC25" s="16">
        <f t="shared" si="292"/>
        <v>455</v>
      </c>
      <c r="ED25" s="16">
        <f t="shared" si="292"/>
        <v>369</v>
      </c>
      <c r="EE25" s="16">
        <f t="shared" si="292"/>
        <v>581</v>
      </c>
      <c r="EF25" s="16">
        <f t="shared" si="292"/>
        <v>752</v>
      </c>
      <c r="EG25" s="16">
        <f t="shared" si="292"/>
        <v>800</v>
      </c>
      <c r="EH25" s="16">
        <f t="shared" si="292"/>
        <v>712</v>
      </c>
      <c r="EI25" s="16">
        <f t="shared" si="292"/>
        <v>684</v>
      </c>
      <c r="EJ25" s="16">
        <f t="shared" si="292"/>
        <v>686</v>
      </c>
      <c r="EK25" s="16">
        <f t="shared" si="292"/>
        <v>811</v>
      </c>
      <c r="EL25" s="16">
        <f t="shared" si="292"/>
        <v>698</v>
      </c>
      <c r="EM25" s="16">
        <f t="shared" si="292"/>
        <v>648</v>
      </c>
      <c r="EN25" s="16">
        <f t="shared" si="292"/>
        <v>699</v>
      </c>
      <c r="EO25" s="16">
        <f t="shared" si="292"/>
        <v>709</v>
      </c>
      <c r="EP25" s="16">
        <f t="shared" si="292"/>
        <v>728</v>
      </c>
      <c r="EQ25" s="16">
        <f t="shared" si="292"/>
        <v>414</v>
      </c>
      <c r="ER25" s="16">
        <f t="shared" si="292"/>
        <v>238</v>
      </c>
      <c r="ES25" s="16">
        <f t="shared" si="292"/>
        <v>76</v>
      </c>
      <c r="ET25" s="16">
        <f t="shared" si="292"/>
        <v>16</v>
      </c>
      <c r="EU25" s="11">
        <f t="shared" si="289"/>
        <v>11516</v>
      </c>
      <c r="EV25" s="11">
        <f t="shared" si="282"/>
        <v>528</v>
      </c>
      <c r="EW25" s="11">
        <f t="shared" si="283"/>
        <v>280.60000000000002</v>
      </c>
      <c r="EX25" s="11">
        <f t="shared" si="280"/>
        <v>3528</v>
      </c>
      <c r="EY25" s="11">
        <f t="shared" si="284"/>
        <v>2181</v>
      </c>
      <c r="EZ25" s="15">
        <f t="shared" si="285"/>
        <v>0.30635637374088226</v>
      </c>
      <c r="FA25" s="15">
        <f t="shared" si="286"/>
        <v>0.18938867662382772</v>
      </c>
      <c r="FB25" s="11">
        <f t="shared" si="290"/>
        <v>2502</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289</v>
      </c>
      <c r="EA26" s="9">
        <f t="shared" si="293"/>
        <v>279</v>
      </c>
      <c r="EB26" s="9">
        <f t="shared" si="293"/>
        <v>212</v>
      </c>
      <c r="EC26" s="9">
        <f t="shared" si="293"/>
        <v>198</v>
      </c>
      <c r="ED26" s="9">
        <f t="shared" si="293"/>
        <v>158</v>
      </c>
      <c r="EE26" s="9">
        <f t="shared" si="293"/>
        <v>296</v>
      </c>
      <c r="EF26" s="9">
        <f t="shared" si="293"/>
        <v>366</v>
      </c>
      <c r="EG26" s="9">
        <f t="shared" si="293"/>
        <v>445</v>
      </c>
      <c r="EH26" s="9">
        <f t="shared" si="293"/>
        <v>420</v>
      </c>
      <c r="EI26" s="9">
        <f t="shared" si="293"/>
        <v>358</v>
      </c>
      <c r="EJ26" s="9">
        <f t="shared" si="293"/>
        <v>318</v>
      </c>
      <c r="EK26" s="9">
        <f t="shared" si="293"/>
        <v>335</v>
      </c>
      <c r="EL26" s="9">
        <f t="shared" si="293"/>
        <v>404</v>
      </c>
      <c r="EM26" s="9">
        <f t="shared" si="293"/>
        <v>302</v>
      </c>
      <c r="EN26" s="9">
        <f t="shared" si="293"/>
        <v>269</v>
      </c>
      <c r="EO26" s="9">
        <f t="shared" si="293"/>
        <v>267</v>
      </c>
      <c r="EP26" s="9">
        <f t="shared" si="293"/>
        <v>231</v>
      </c>
      <c r="EQ26" s="9">
        <f t="shared" si="293"/>
        <v>197</v>
      </c>
      <c r="ER26" s="9">
        <f t="shared" si="293"/>
        <v>76</v>
      </c>
      <c r="ES26" s="9">
        <f t="shared" si="293"/>
        <v>21</v>
      </c>
      <c r="ET26" s="9">
        <f t="shared" si="293"/>
        <v>4</v>
      </c>
      <c r="EU26" s="9">
        <f t="shared" si="289"/>
        <v>5445</v>
      </c>
      <c r="EV26" s="9">
        <f t="shared" si="282"/>
        <v>294.60000000000002</v>
      </c>
      <c r="EW26" s="9">
        <f t="shared" si="283"/>
        <v>124.4</v>
      </c>
      <c r="EX26" s="9">
        <f t="shared" si="280"/>
        <v>1367</v>
      </c>
      <c r="EY26" s="9">
        <f t="shared" si="284"/>
        <v>796</v>
      </c>
      <c r="EZ26" s="13">
        <f t="shared" si="285"/>
        <v>0.25105601469237832</v>
      </c>
      <c r="FA26" s="13">
        <f t="shared" si="286"/>
        <v>0.14618916437098256</v>
      </c>
      <c r="FB26" s="9">
        <f t="shared" si="290"/>
        <v>1265</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282</v>
      </c>
      <c r="EA27" s="10">
        <f t="shared" si="294"/>
        <v>268</v>
      </c>
      <c r="EB27" s="10">
        <f t="shared" si="294"/>
        <v>194</v>
      </c>
      <c r="EC27" s="10">
        <f t="shared" si="294"/>
        <v>232</v>
      </c>
      <c r="ED27" s="10">
        <f t="shared" si="294"/>
        <v>198</v>
      </c>
      <c r="EE27" s="10">
        <f t="shared" si="294"/>
        <v>289</v>
      </c>
      <c r="EF27" s="10">
        <f t="shared" si="294"/>
        <v>370</v>
      </c>
      <c r="EG27" s="10">
        <f t="shared" si="294"/>
        <v>423</v>
      </c>
      <c r="EH27" s="10">
        <f t="shared" si="294"/>
        <v>397</v>
      </c>
      <c r="EI27" s="10">
        <f t="shared" si="294"/>
        <v>363</v>
      </c>
      <c r="EJ27" s="10">
        <f t="shared" si="294"/>
        <v>366</v>
      </c>
      <c r="EK27" s="10">
        <f t="shared" si="294"/>
        <v>356</v>
      </c>
      <c r="EL27" s="10">
        <f t="shared" si="294"/>
        <v>386</v>
      </c>
      <c r="EM27" s="10">
        <f t="shared" si="294"/>
        <v>358</v>
      </c>
      <c r="EN27" s="10">
        <f t="shared" si="294"/>
        <v>348</v>
      </c>
      <c r="EO27" s="10">
        <f t="shared" si="294"/>
        <v>351</v>
      </c>
      <c r="EP27" s="10">
        <f t="shared" si="294"/>
        <v>354</v>
      </c>
      <c r="EQ27" s="10">
        <f t="shared" si="294"/>
        <v>308</v>
      </c>
      <c r="ER27" s="10">
        <f t="shared" si="294"/>
        <v>147</v>
      </c>
      <c r="ES27" s="10">
        <f t="shared" si="294"/>
        <v>48</v>
      </c>
      <c r="ET27" s="10">
        <f t="shared" si="294"/>
        <v>12</v>
      </c>
      <c r="EU27" s="10">
        <f t="shared" si="289"/>
        <v>6050</v>
      </c>
      <c r="EV27" s="10">
        <f t="shared" si="282"/>
        <v>277.20000000000005</v>
      </c>
      <c r="EW27" s="10">
        <f t="shared" si="283"/>
        <v>124</v>
      </c>
      <c r="EX27" s="10">
        <f t="shared" si="280"/>
        <v>1926</v>
      </c>
      <c r="EY27" s="10">
        <f t="shared" si="284"/>
        <v>1220</v>
      </c>
      <c r="EZ27" s="14">
        <f t="shared" si="285"/>
        <v>0.31834710743801653</v>
      </c>
      <c r="FA27" s="14">
        <f t="shared" si="286"/>
        <v>0.20165289256198346</v>
      </c>
      <c r="FB27" s="10">
        <f t="shared" si="290"/>
        <v>1280</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571</v>
      </c>
      <c r="EA28" s="16">
        <f t="shared" ref="EA28:ET28" si="295">EA26+EA27</f>
        <v>547</v>
      </c>
      <c r="EB28" s="16">
        <f t="shared" si="295"/>
        <v>406</v>
      </c>
      <c r="EC28" s="16">
        <f t="shared" si="295"/>
        <v>430</v>
      </c>
      <c r="ED28" s="16">
        <f t="shared" si="295"/>
        <v>356</v>
      </c>
      <c r="EE28" s="16">
        <f t="shared" si="295"/>
        <v>585</v>
      </c>
      <c r="EF28" s="16">
        <f t="shared" si="295"/>
        <v>736</v>
      </c>
      <c r="EG28" s="16">
        <f t="shared" si="295"/>
        <v>868</v>
      </c>
      <c r="EH28" s="16">
        <f t="shared" si="295"/>
        <v>817</v>
      </c>
      <c r="EI28" s="16">
        <f t="shared" si="295"/>
        <v>721</v>
      </c>
      <c r="EJ28" s="16">
        <f t="shared" si="295"/>
        <v>684</v>
      </c>
      <c r="EK28" s="16">
        <f t="shared" si="295"/>
        <v>691</v>
      </c>
      <c r="EL28" s="16">
        <f t="shared" si="295"/>
        <v>790</v>
      </c>
      <c r="EM28" s="16">
        <f t="shared" si="295"/>
        <v>660</v>
      </c>
      <c r="EN28" s="16">
        <f t="shared" si="295"/>
        <v>617</v>
      </c>
      <c r="EO28" s="16">
        <f t="shared" si="295"/>
        <v>618</v>
      </c>
      <c r="EP28" s="16">
        <f t="shared" si="295"/>
        <v>585</v>
      </c>
      <c r="EQ28" s="16">
        <f t="shared" si="295"/>
        <v>505</v>
      </c>
      <c r="ER28" s="16">
        <f t="shared" si="295"/>
        <v>223</v>
      </c>
      <c r="ES28" s="16">
        <f t="shared" si="295"/>
        <v>69</v>
      </c>
      <c r="ET28" s="16">
        <f t="shared" si="295"/>
        <v>16</v>
      </c>
      <c r="EU28" s="11">
        <f t="shared" si="289"/>
        <v>11495</v>
      </c>
      <c r="EV28" s="11">
        <f t="shared" si="282"/>
        <v>571.79999999999995</v>
      </c>
      <c r="EW28" s="11">
        <f t="shared" si="283"/>
        <v>248.4</v>
      </c>
      <c r="EX28" s="11">
        <f t="shared" si="280"/>
        <v>3293</v>
      </c>
      <c r="EY28" s="11">
        <f t="shared" si="284"/>
        <v>2016</v>
      </c>
      <c r="EZ28" s="15">
        <f t="shared" si="285"/>
        <v>0.2864723792953458</v>
      </c>
      <c r="FA28" s="15">
        <f t="shared" si="286"/>
        <v>0.17538060026098304</v>
      </c>
      <c r="FB28" s="11">
        <f t="shared" si="290"/>
        <v>2545</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284</v>
      </c>
      <c r="EA29" s="9">
        <f t="shared" si="296"/>
        <v>284</v>
      </c>
      <c r="EB29" s="9">
        <f t="shared" si="296"/>
        <v>285</v>
      </c>
      <c r="EC29" s="9">
        <f t="shared" si="296"/>
        <v>170</v>
      </c>
      <c r="ED29" s="9">
        <f t="shared" si="296"/>
        <v>146</v>
      </c>
      <c r="EE29" s="9">
        <f t="shared" si="296"/>
        <v>303</v>
      </c>
      <c r="EF29" s="9">
        <f t="shared" si="296"/>
        <v>367</v>
      </c>
      <c r="EG29" s="9">
        <f t="shared" si="296"/>
        <v>430</v>
      </c>
      <c r="EH29" s="9">
        <f t="shared" si="296"/>
        <v>447</v>
      </c>
      <c r="EI29" s="9">
        <f t="shared" si="296"/>
        <v>418</v>
      </c>
      <c r="EJ29" s="9">
        <f t="shared" si="296"/>
        <v>365</v>
      </c>
      <c r="EK29" s="9">
        <f t="shared" si="296"/>
        <v>313</v>
      </c>
      <c r="EL29" s="9">
        <f t="shared" si="296"/>
        <v>331</v>
      </c>
      <c r="EM29" s="9">
        <f t="shared" si="296"/>
        <v>368</v>
      </c>
      <c r="EN29" s="9">
        <f t="shared" si="296"/>
        <v>274</v>
      </c>
      <c r="EO29" s="9">
        <f t="shared" si="296"/>
        <v>232</v>
      </c>
      <c r="EP29" s="9">
        <f t="shared" si="296"/>
        <v>210</v>
      </c>
      <c r="EQ29" s="9">
        <f t="shared" si="296"/>
        <v>144</v>
      </c>
      <c r="ER29" s="9">
        <f t="shared" si="296"/>
        <v>100</v>
      </c>
      <c r="ES29" s="9">
        <f t="shared" si="296"/>
        <v>18</v>
      </c>
      <c r="ET29" s="9">
        <f t="shared" si="296"/>
        <v>4</v>
      </c>
      <c r="EU29" s="9">
        <f t="shared" si="289"/>
        <v>5493</v>
      </c>
      <c r="EV29" s="9">
        <f t="shared" si="282"/>
        <v>341.4</v>
      </c>
      <c r="EW29" s="9">
        <f t="shared" si="283"/>
        <v>148</v>
      </c>
      <c r="EX29" s="9">
        <f t="shared" si="280"/>
        <v>1350</v>
      </c>
      <c r="EY29" s="9">
        <f t="shared" si="284"/>
        <v>708</v>
      </c>
      <c r="EZ29" s="13">
        <f t="shared" si="285"/>
        <v>0.24576734025122884</v>
      </c>
      <c r="FA29" s="13">
        <f t="shared" si="286"/>
        <v>0.12889131622064445</v>
      </c>
      <c r="FB29" s="9">
        <f t="shared" si="290"/>
        <v>1246</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277</v>
      </c>
      <c r="EA30" s="10">
        <f t="shared" si="297"/>
        <v>273</v>
      </c>
      <c r="EB30" s="10">
        <f t="shared" si="297"/>
        <v>262</v>
      </c>
      <c r="EC30" s="10">
        <f t="shared" si="297"/>
        <v>199</v>
      </c>
      <c r="ED30" s="10">
        <f t="shared" si="297"/>
        <v>190</v>
      </c>
      <c r="EE30" s="10">
        <f t="shared" si="297"/>
        <v>272</v>
      </c>
      <c r="EF30" s="10">
        <f t="shared" si="297"/>
        <v>372</v>
      </c>
      <c r="EG30" s="10">
        <f t="shared" si="297"/>
        <v>423</v>
      </c>
      <c r="EH30" s="10">
        <f t="shared" si="297"/>
        <v>438</v>
      </c>
      <c r="EI30" s="10">
        <f t="shared" si="297"/>
        <v>409</v>
      </c>
      <c r="EJ30" s="10">
        <f t="shared" si="297"/>
        <v>356</v>
      </c>
      <c r="EK30" s="10">
        <f t="shared" si="297"/>
        <v>376</v>
      </c>
      <c r="EL30" s="10">
        <f t="shared" si="297"/>
        <v>342</v>
      </c>
      <c r="EM30" s="10">
        <f t="shared" si="297"/>
        <v>378</v>
      </c>
      <c r="EN30" s="10">
        <f t="shared" si="297"/>
        <v>355</v>
      </c>
      <c r="EO30" s="10">
        <f t="shared" si="297"/>
        <v>314</v>
      </c>
      <c r="EP30" s="10">
        <f t="shared" si="297"/>
        <v>299</v>
      </c>
      <c r="EQ30" s="10">
        <f t="shared" si="297"/>
        <v>265</v>
      </c>
      <c r="ER30" s="10">
        <f t="shared" si="297"/>
        <v>170</v>
      </c>
      <c r="ES30" s="10">
        <f t="shared" si="297"/>
        <v>47</v>
      </c>
      <c r="ET30" s="10">
        <f t="shared" si="297"/>
        <v>10</v>
      </c>
      <c r="EU30" s="10">
        <f t="shared" si="289"/>
        <v>6027</v>
      </c>
      <c r="EV30" s="10">
        <f t="shared" si="282"/>
        <v>321</v>
      </c>
      <c r="EW30" s="10">
        <f t="shared" si="283"/>
        <v>144.6</v>
      </c>
      <c r="EX30" s="10">
        <f t="shared" si="280"/>
        <v>1838</v>
      </c>
      <c r="EY30" s="10">
        <f t="shared" si="284"/>
        <v>1105</v>
      </c>
      <c r="EZ30" s="14">
        <f t="shared" si="285"/>
        <v>0.30496100879376142</v>
      </c>
      <c r="FA30" s="14">
        <f t="shared" si="286"/>
        <v>0.18334162933466069</v>
      </c>
      <c r="FB30" s="10">
        <f t="shared" si="290"/>
        <v>1257</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561</v>
      </c>
      <c r="EA31" s="16">
        <f t="shared" ref="EA31:ET31" si="298">EA29+EA30</f>
        <v>557</v>
      </c>
      <c r="EB31" s="16">
        <f t="shared" si="298"/>
        <v>547</v>
      </c>
      <c r="EC31" s="16">
        <f t="shared" si="298"/>
        <v>369</v>
      </c>
      <c r="ED31" s="16">
        <f t="shared" si="298"/>
        <v>336</v>
      </c>
      <c r="EE31" s="16">
        <f t="shared" si="298"/>
        <v>575</v>
      </c>
      <c r="EF31" s="16">
        <f t="shared" si="298"/>
        <v>739</v>
      </c>
      <c r="EG31" s="16">
        <f t="shared" si="298"/>
        <v>853</v>
      </c>
      <c r="EH31" s="16">
        <f t="shared" si="298"/>
        <v>885</v>
      </c>
      <c r="EI31" s="16">
        <f t="shared" si="298"/>
        <v>827</v>
      </c>
      <c r="EJ31" s="16">
        <f t="shared" si="298"/>
        <v>721</v>
      </c>
      <c r="EK31" s="16">
        <f t="shared" si="298"/>
        <v>689</v>
      </c>
      <c r="EL31" s="16">
        <f t="shared" si="298"/>
        <v>673</v>
      </c>
      <c r="EM31" s="16">
        <f t="shared" si="298"/>
        <v>746</v>
      </c>
      <c r="EN31" s="16">
        <f t="shared" si="298"/>
        <v>629</v>
      </c>
      <c r="EO31" s="16">
        <f t="shared" si="298"/>
        <v>546</v>
      </c>
      <c r="EP31" s="16">
        <f t="shared" si="298"/>
        <v>509</v>
      </c>
      <c r="EQ31" s="16">
        <f t="shared" si="298"/>
        <v>409</v>
      </c>
      <c r="ER31" s="16">
        <f t="shared" si="298"/>
        <v>270</v>
      </c>
      <c r="ES31" s="16">
        <f t="shared" si="298"/>
        <v>65</v>
      </c>
      <c r="ET31" s="16">
        <f t="shared" si="298"/>
        <v>14</v>
      </c>
      <c r="EU31" s="11">
        <f t="shared" si="289"/>
        <v>11520</v>
      </c>
      <c r="EV31" s="11">
        <f t="shared" si="282"/>
        <v>662.4</v>
      </c>
      <c r="EW31" s="11">
        <f t="shared" si="283"/>
        <v>292.60000000000002</v>
      </c>
      <c r="EX31" s="11">
        <f t="shared" si="280"/>
        <v>3188</v>
      </c>
      <c r="EY31" s="11">
        <f t="shared" si="284"/>
        <v>1813</v>
      </c>
      <c r="EZ31" s="15">
        <f t="shared" si="285"/>
        <v>0.27673611111111113</v>
      </c>
      <c r="FA31" s="15">
        <f t="shared" si="286"/>
        <v>0.15737847222222223</v>
      </c>
      <c r="FB31" s="11">
        <f t="shared" si="290"/>
        <v>2503</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5863</v>
      </c>
      <c r="D4" s="17">
        <f>SUM(C41:C61)</f>
        <v>6906</v>
      </c>
      <c r="E4" s="17">
        <f>C4+D4</f>
        <v>12769</v>
      </c>
      <c r="F4" s="85"/>
      <c r="G4" s="1" t="s">
        <v>58</v>
      </c>
      <c r="H4" s="1">
        <f>B4</f>
        <v>2010</v>
      </c>
      <c r="I4" s="17">
        <f>C4</f>
        <v>5863</v>
      </c>
      <c r="J4" s="17">
        <f>D4</f>
        <v>6906</v>
      </c>
      <c r="K4" s="17">
        <f>I4+J4</f>
        <v>12769</v>
      </c>
      <c r="N4" s="1" t="s">
        <v>58</v>
      </c>
      <c r="O4" s="1">
        <f>H4</f>
        <v>2010</v>
      </c>
      <c r="P4" s="17">
        <f>I4</f>
        <v>5863</v>
      </c>
      <c r="Q4" s="17">
        <f t="shared" ref="Q4:R4" si="0">J4</f>
        <v>6906</v>
      </c>
      <c r="R4" s="17">
        <f t="shared" si="0"/>
        <v>12769</v>
      </c>
      <c r="S4" s="1"/>
      <c r="T4" s="1"/>
      <c r="U4" s="1"/>
    </row>
    <row r="5" spans="1:21" x14ac:dyDescent="0.15">
      <c r="A5" s="1" t="s">
        <v>61</v>
      </c>
      <c r="B5" s="1">
        <f>管理者入力シート!B6</f>
        <v>2015</v>
      </c>
      <c r="C5" s="17">
        <f>SUM(B65:B85)</f>
        <v>5596</v>
      </c>
      <c r="D5" s="17">
        <f>SUM(C65:C85)</f>
        <v>6482</v>
      </c>
      <c r="E5" s="17">
        <f t="shared" ref="E5" si="1">C5+D5</f>
        <v>12078</v>
      </c>
      <c r="F5" s="85"/>
      <c r="G5" s="1" t="s">
        <v>57</v>
      </c>
      <c r="H5" s="1">
        <f t="shared" ref="H5:H6" si="2">B5</f>
        <v>2015</v>
      </c>
      <c r="I5" s="17">
        <f t="shared" ref="I5" si="3">C5</f>
        <v>5596</v>
      </c>
      <c r="J5" s="17">
        <f>D5</f>
        <v>6482</v>
      </c>
      <c r="K5" s="17">
        <f t="shared" ref="K5:K10" si="4">I5+J5</f>
        <v>12078</v>
      </c>
      <c r="N5" s="1" t="s">
        <v>57</v>
      </c>
      <c r="O5" s="1">
        <f t="shared" ref="O5:O10" si="5">H5</f>
        <v>2015</v>
      </c>
      <c r="P5" s="17">
        <f t="shared" ref="P5:P10" si="6">I5</f>
        <v>5596</v>
      </c>
      <c r="Q5" s="17">
        <f t="shared" ref="Q5:Q10" si="7">J5</f>
        <v>6482</v>
      </c>
      <c r="R5" s="17">
        <f t="shared" ref="R5:R10" si="8">K5</f>
        <v>12078</v>
      </c>
      <c r="S5" s="1"/>
      <c r="T5" s="1"/>
      <c r="U5" s="1"/>
    </row>
    <row r="6" spans="1:21" x14ac:dyDescent="0.15">
      <c r="A6" s="1" t="s">
        <v>62</v>
      </c>
      <c r="B6" s="1">
        <f>管理者入力シート!B5</f>
        <v>2020</v>
      </c>
      <c r="C6" s="17">
        <f>SUM(B89:B109)</f>
        <v>5476</v>
      </c>
      <c r="D6" s="17">
        <f>SUM(C89:C109)</f>
        <v>6318</v>
      </c>
      <c r="E6" s="17">
        <f>C6+D6</f>
        <v>11794</v>
      </c>
      <c r="F6" s="85"/>
      <c r="G6" s="1" t="s">
        <v>62</v>
      </c>
      <c r="H6" s="1">
        <f t="shared" si="2"/>
        <v>2020</v>
      </c>
      <c r="I6" s="17">
        <f>C6</f>
        <v>5476</v>
      </c>
      <c r="J6" s="17">
        <f>D6</f>
        <v>6318</v>
      </c>
      <c r="K6" s="17">
        <f t="shared" si="4"/>
        <v>11794</v>
      </c>
      <c r="N6" s="1" t="s">
        <v>62</v>
      </c>
      <c r="O6" s="1">
        <f t="shared" si="5"/>
        <v>2020</v>
      </c>
      <c r="P6" s="17">
        <f t="shared" si="6"/>
        <v>5476</v>
      </c>
      <c r="Q6" s="17">
        <f t="shared" si="7"/>
        <v>6318</v>
      </c>
      <c r="R6" s="17">
        <f t="shared" si="8"/>
        <v>11794</v>
      </c>
      <c r="S6" s="1"/>
      <c r="T6" s="1"/>
      <c r="U6" s="1"/>
    </row>
    <row r="7" spans="1:21" x14ac:dyDescent="0.15">
      <c r="G7" s="1" t="s">
        <v>106</v>
      </c>
      <c r="H7" s="1">
        <f>管理者入力シート!B8</f>
        <v>2025</v>
      </c>
      <c r="I7" s="17">
        <f>SUM(H69:H89)</f>
        <v>5188</v>
      </c>
      <c r="J7" s="17">
        <f>SUM(I69:I89)</f>
        <v>5925</v>
      </c>
      <c r="K7" s="17">
        <f t="shared" si="4"/>
        <v>11113</v>
      </c>
      <c r="N7" s="1" t="s">
        <v>106</v>
      </c>
      <c r="O7" s="1">
        <f t="shared" si="5"/>
        <v>2025</v>
      </c>
      <c r="P7" s="17">
        <f t="shared" si="6"/>
        <v>5188</v>
      </c>
      <c r="Q7" s="17">
        <f t="shared" si="7"/>
        <v>5925</v>
      </c>
      <c r="R7" s="17">
        <f t="shared" si="8"/>
        <v>11113</v>
      </c>
      <c r="S7" s="236">
        <f>SUM(O69:O89)</f>
        <v>5192</v>
      </c>
      <c r="T7" s="236">
        <f>SUM(P69:P89)</f>
        <v>5930</v>
      </c>
      <c r="U7" s="236">
        <f>S7+T7</f>
        <v>11122</v>
      </c>
    </row>
    <row r="8" spans="1:21" x14ac:dyDescent="0.15">
      <c r="A8" s="69" t="s">
        <v>71</v>
      </c>
      <c r="G8" s="1" t="s">
        <v>107</v>
      </c>
      <c r="H8" s="1">
        <f>管理者入力シート!B9</f>
        <v>2030</v>
      </c>
      <c r="I8" s="17">
        <f>SUM(H93:H113)</f>
        <v>4876</v>
      </c>
      <c r="J8" s="17">
        <f>SUM(I93:I113)</f>
        <v>5535</v>
      </c>
      <c r="K8" s="17">
        <f t="shared" si="4"/>
        <v>10411</v>
      </c>
      <c r="N8" s="1" t="s">
        <v>107</v>
      </c>
      <c r="O8" s="1">
        <f t="shared" si="5"/>
        <v>2030</v>
      </c>
      <c r="P8" s="17">
        <f t="shared" si="6"/>
        <v>4876</v>
      </c>
      <c r="Q8" s="17">
        <f t="shared" si="7"/>
        <v>5535</v>
      </c>
      <c r="R8" s="17">
        <f t="shared" si="8"/>
        <v>10411</v>
      </c>
      <c r="S8" s="236">
        <f>SUM(O93:O113)</f>
        <v>4885</v>
      </c>
      <c r="T8" s="236">
        <f>SUM(P93:P113)</f>
        <v>5546</v>
      </c>
      <c r="U8" s="236">
        <f t="shared" ref="U8:U10" si="9">S8+T8</f>
        <v>10431</v>
      </c>
    </row>
    <row r="9" spans="1:21" x14ac:dyDescent="0.15">
      <c r="A9" s="2" t="s">
        <v>72</v>
      </c>
      <c r="G9" s="1" t="s">
        <v>108</v>
      </c>
      <c r="H9" s="1">
        <f>管理者入力シート!B10</f>
        <v>2035</v>
      </c>
      <c r="I9" s="17">
        <f>SUM(H117:H137)</f>
        <v>4564</v>
      </c>
      <c r="J9" s="17">
        <f>SUM(I117:I137)</f>
        <v>5166</v>
      </c>
      <c r="K9" s="17">
        <f t="shared" si="4"/>
        <v>9730</v>
      </c>
      <c r="N9" s="1" t="s">
        <v>108</v>
      </c>
      <c r="O9" s="1">
        <f t="shared" si="5"/>
        <v>2035</v>
      </c>
      <c r="P9" s="17">
        <f t="shared" si="6"/>
        <v>4564</v>
      </c>
      <c r="Q9" s="17">
        <f t="shared" si="7"/>
        <v>5166</v>
      </c>
      <c r="R9" s="17">
        <f t="shared" si="8"/>
        <v>9730</v>
      </c>
      <c r="S9" s="236">
        <f>SUM(O117:O137)</f>
        <v>4579</v>
      </c>
      <c r="T9" s="236">
        <f>SUM(P117:P137)</f>
        <v>5183</v>
      </c>
      <c r="U9" s="236">
        <f t="shared" si="9"/>
        <v>9762</v>
      </c>
    </row>
    <row r="10" spans="1:21" x14ac:dyDescent="0.15">
      <c r="A10" s="1" t="s">
        <v>58</v>
      </c>
      <c r="B10" s="1">
        <f>B4</f>
        <v>2010</v>
      </c>
      <c r="C10" s="17">
        <f>ROUND(VLOOKUP(B10&amp;"_3",管理者用人口入力シート!A:AA,26,FALSE),0)</f>
        <v>643</v>
      </c>
      <c r="D10" s="12"/>
      <c r="E10" s="12"/>
      <c r="G10" s="1" t="s">
        <v>109</v>
      </c>
      <c r="H10" s="1">
        <f>管理者入力シート!B11</f>
        <v>2040</v>
      </c>
      <c r="I10" s="17">
        <f>SUM(H141:H161)</f>
        <v>4282</v>
      </c>
      <c r="J10" s="17">
        <f>SUM(I141:I161)</f>
        <v>4812</v>
      </c>
      <c r="K10" s="17">
        <f t="shared" si="4"/>
        <v>9094</v>
      </c>
      <c r="N10" s="1" t="s">
        <v>109</v>
      </c>
      <c r="O10" s="1">
        <f t="shared" si="5"/>
        <v>2040</v>
      </c>
      <c r="P10" s="17">
        <f t="shared" si="6"/>
        <v>4282</v>
      </c>
      <c r="Q10" s="17">
        <f t="shared" si="7"/>
        <v>4812</v>
      </c>
      <c r="R10" s="17">
        <f t="shared" si="8"/>
        <v>9094</v>
      </c>
      <c r="S10" s="236">
        <f>SUM(O141:O161)</f>
        <v>4299</v>
      </c>
      <c r="T10" s="236">
        <f>SUM(P141:P161)</f>
        <v>4834</v>
      </c>
      <c r="U10" s="236">
        <f t="shared" si="9"/>
        <v>9133</v>
      </c>
    </row>
    <row r="11" spans="1:21" x14ac:dyDescent="0.15">
      <c r="A11" s="1" t="s">
        <v>61</v>
      </c>
      <c r="B11" s="1">
        <f t="shared" ref="B11:B12" si="10">B5</f>
        <v>2015</v>
      </c>
      <c r="C11" s="17">
        <f>ROUND(VLOOKUP(B11&amp;"_3",管理者用人口入力シート!A:AA,26,FALSE),0)</f>
        <v>596</v>
      </c>
      <c r="D11" s="12"/>
      <c r="E11" s="12"/>
      <c r="I11" s="12"/>
      <c r="J11" s="12"/>
      <c r="K11" s="12"/>
      <c r="P11" s="12"/>
    </row>
    <row r="12" spans="1:21" x14ac:dyDescent="0.15">
      <c r="A12" s="1" t="s">
        <v>62</v>
      </c>
      <c r="B12" s="1">
        <f t="shared" si="10"/>
        <v>2020</v>
      </c>
      <c r="C12" s="17">
        <f>ROUND(VLOOKUP(B12&amp;"_3",管理者用人口入力シート!A:AA,26,FALSE),0)</f>
        <v>611</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335</v>
      </c>
      <c r="D14" s="12"/>
      <c r="E14" s="12"/>
      <c r="G14" s="1" t="s">
        <v>58</v>
      </c>
      <c r="H14" s="1">
        <f>H4</f>
        <v>2010</v>
      </c>
      <c r="I14" s="17">
        <f>C10</f>
        <v>643</v>
      </c>
      <c r="J14" s="12"/>
      <c r="K14" s="12"/>
      <c r="N14" s="1" t="s">
        <v>58</v>
      </c>
      <c r="O14" s="1">
        <f>O4</f>
        <v>2010</v>
      </c>
      <c r="P14" s="17">
        <f>I14</f>
        <v>643</v>
      </c>
      <c r="Q14" s="17"/>
    </row>
    <row r="15" spans="1:21" x14ac:dyDescent="0.15">
      <c r="A15" s="1" t="s">
        <v>61</v>
      </c>
      <c r="B15" s="1">
        <f t="shared" ref="B15:B16" si="11">B5</f>
        <v>2015</v>
      </c>
      <c r="C15" s="17">
        <f>ROUND(VLOOKUP(B15&amp;"_3",管理者用人口入力シート!A:AA,27,FALSE),0)</f>
        <v>296</v>
      </c>
      <c r="D15" s="12"/>
      <c r="E15" s="12"/>
      <c r="G15" s="1" t="s">
        <v>57</v>
      </c>
      <c r="H15" s="1">
        <f t="shared" ref="H15:H20" si="12">H5</f>
        <v>2015</v>
      </c>
      <c r="I15" s="17">
        <f>C11</f>
        <v>596</v>
      </c>
      <c r="J15" s="12"/>
      <c r="K15" s="12"/>
      <c r="N15" s="1" t="s">
        <v>57</v>
      </c>
      <c r="O15" s="1">
        <f t="shared" ref="O15:O20" si="13">O5</f>
        <v>2015</v>
      </c>
      <c r="P15" s="17">
        <f t="shared" ref="P15:P20" si="14">I15</f>
        <v>596</v>
      </c>
      <c r="Q15" s="17"/>
    </row>
    <row r="16" spans="1:21" x14ac:dyDescent="0.15">
      <c r="A16" s="1" t="s">
        <v>62</v>
      </c>
      <c r="B16" s="1">
        <f t="shared" si="11"/>
        <v>2020</v>
      </c>
      <c r="C16" s="17">
        <f>ROUND(VLOOKUP(B16&amp;"_3",管理者用人口入力シート!A:AA,27,FALSE),0)</f>
        <v>300</v>
      </c>
      <c r="D16" s="12"/>
      <c r="E16" s="12"/>
      <c r="G16" s="1" t="s">
        <v>62</v>
      </c>
      <c r="H16" s="1">
        <f t="shared" si="12"/>
        <v>2020</v>
      </c>
      <c r="I16" s="17">
        <f>C12</f>
        <v>611</v>
      </c>
      <c r="J16" s="12"/>
      <c r="K16" s="12"/>
      <c r="N16" s="1" t="s">
        <v>62</v>
      </c>
      <c r="O16" s="1">
        <f t="shared" si="13"/>
        <v>2020</v>
      </c>
      <c r="P16" s="17">
        <f t="shared" si="14"/>
        <v>611</v>
      </c>
      <c r="Q16" s="17"/>
    </row>
    <row r="17" spans="1:17" x14ac:dyDescent="0.15">
      <c r="G17" s="1" t="s">
        <v>106</v>
      </c>
      <c r="H17" s="1">
        <f t="shared" si="12"/>
        <v>2025</v>
      </c>
      <c r="I17" s="17">
        <f>ROUND(VLOOKUP(H17&amp;"_3",管理者用人口入力シート!BH:CM,26,FALSE),0)</f>
        <v>586</v>
      </c>
      <c r="J17" s="12"/>
      <c r="K17" s="12"/>
      <c r="N17" s="1" t="s">
        <v>106</v>
      </c>
      <c r="O17" s="1">
        <f t="shared" si="13"/>
        <v>2025</v>
      </c>
      <c r="P17" s="17">
        <f t="shared" si="14"/>
        <v>586</v>
      </c>
      <c r="Q17" s="17">
        <f>ROUND(VLOOKUP(H17&amp;"_3",管理者用人口入力シート!CO:DT,26,FALSE),0)</f>
        <v>587</v>
      </c>
    </row>
    <row r="18" spans="1:17" x14ac:dyDescent="0.15">
      <c r="A18" s="69" t="s">
        <v>110</v>
      </c>
      <c r="G18" s="1" t="s">
        <v>107</v>
      </c>
      <c r="H18" s="1">
        <f t="shared" si="12"/>
        <v>2030</v>
      </c>
      <c r="I18" s="17">
        <f>ROUND(VLOOKUP(H18&amp;"_3",管理者用人口入力シート!BH:CM,26,FALSE),0)</f>
        <v>528</v>
      </c>
      <c r="J18" s="12"/>
      <c r="K18" s="12"/>
      <c r="N18" s="1" t="s">
        <v>107</v>
      </c>
      <c r="O18" s="1">
        <f t="shared" si="13"/>
        <v>2030</v>
      </c>
      <c r="P18" s="17">
        <f t="shared" si="14"/>
        <v>528</v>
      </c>
      <c r="Q18" s="17">
        <f>ROUND(VLOOKUP(H18&amp;"_3",管理者用人口入力シート!CO:DT,26,FALSE),0)</f>
        <v>530</v>
      </c>
    </row>
    <row r="19" spans="1:17" x14ac:dyDescent="0.15">
      <c r="A19" s="2" t="s">
        <v>84</v>
      </c>
      <c r="G19" s="1" t="s">
        <v>108</v>
      </c>
      <c r="H19" s="1">
        <f t="shared" si="12"/>
        <v>2035</v>
      </c>
      <c r="I19" s="17">
        <f>ROUND(VLOOKUP(H19&amp;"_3",管理者用人口入力シート!BH:CM,26,FALSE),0)</f>
        <v>471</v>
      </c>
      <c r="J19" s="12"/>
      <c r="K19" s="12"/>
      <c r="N19" s="1" t="s">
        <v>108</v>
      </c>
      <c r="O19" s="1">
        <f t="shared" si="13"/>
        <v>2035</v>
      </c>
      <c r="P19" s="17">
        <f t="shared" si="14"/>
        <v>471</v>
      </c>
      <c r="Q19" s="17">
        <f>ROUND(VLOOKUP(H19&amp;"_3",管理者用人口入力シート!CO:DT,26,FALSE),0)</f>
        <v>476</v>
      </c>
    </row>
    <row r="20" spans="1:17" x14ac:dyDescent="0.15">
      <c r="A20" s="1" t="s">
        <v>58</v>
      </c>
      <c r="B20" s="1">
        <f>B4</f>
        <v>2010</v>
      </c>
      <c r="C20" s="17">
        <f>SUM(B54:C61)</f>
        <v>3749</v>
      </c>
      <c r="D20" s="12"/>
      <c r="E20" s="12"/>
      <c r="G20" s="1" t="s">
        <v>109</v>
      </c>
      <c r="H20" s="1">
        <f t="shared" si="12"/>
        <v>2040</v>
      </c>
      <c r="I20" s="17">
        <f>ROUND(VLOOKUP(H20&amp;"_3",管理者用人口入力シート!BH:CM,26,FALSE),0)</f>
        <v>441</v>
      </c>
      <c r="J20" s="12"/>
      <c r="K20" s="12"/>
      <c r="N20" s="1" t="s">
        <v>109</v>
      </c>
      <c r="O20" s="1">
        <f t="shared" si="13"/>
        <v>2040</v>
      </c>
      <c r="P20" s="17">
        <f t="shared" si="14"/>
        <v>441</v>
      </c>
      <c r="Q20" s="17">
        <f>ROUND(VLOOKUP(H20&amp;"_3",管理者用人口入力シート!CO:DT,26,FALSE),0)</f>
        <v>448</v>
      </c>
    </row>
    <row r="21" spans="1:17" x14ac:dyDescent="0.15">
      <c r="A21" s="1" t="s">
        <v>61</v>
      </c>
      <c r="B21" s="1">
        <f t="shared" ref="B21:B22" si="15">B5</f>
        <v>2015</v>
      </c>
      <c r="C21" s="17">
        <f>SUM(B78:C85)</f>
        <v>3845</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4017</v>
      </c>
      <c r="D22" s="12"/>
      <c r="E22" s="12"/>
      <c r="G22" s="1" t="s">
        <v>58</v>
      </c>
      <c r="H22" s="1">
        <f>H4</f>
        <v>2010</v>
      </c>
      <c r="I22" s="17">
        <f>C14</f>
        <v>335</v>
      </c>
      <c r="J22" s="12"/>
      <c r="K22" s="12"/>
      <c r="N22" s="1" t="s">
        <v>58</v>
      </c>
      <c r="O22" s="1">
        <f>O4</f>
        <v>2010</v>
      </c>
      <c r="P22" s="17">
        <f>I22</f>
        <v>335</v>
      </c>
      <c r="Q22" s="17"/>
    </row>
    <row r="23" spans="1:17" x14ac:dyDescent="0.15">
      <c r="A23" s="2" t="s">
        <v>86</v>
      </c>
      <c r="G23" s="1" t="s">
        <v>57</v>
      </c>
      <c r="H23" s="1">
        <f t="shared" ref="H23:H28" si="16">H5</f>
        <v>2015</v>
      </c>
      <c r="I23" s="17">
        <f t="shared" ref="I23:I24" si="17">C15</f>
        <v>296</v>
      </c>
      <c r="J23" s="12"/>
      <c r="K23" s="12"/>
      <c r="N23" s="1" t="s">
        <v>57</v>
      </c>
      <c r="O23" s="1">
        <f t="shared" ref="O23:O28" si="18">O5</f>
        <v>2015</v>
      </c>
      <c r="P23" s="17">
        <f t="shared" ref="P23:P28" si="19">I23</f>
        <v>296</v>
      </c>
      <c r="Q23" s="17"/>
    </row>
    <row r="24" spans="1:17" x14ac:dyDescent="0.15">
      <c r="A24" s="1" t="s">
        <v>58</v>
      </c>
      <c r="B24" s="1">
        <f>B4</f>
        <v>2010</v>
      </c>
      <c r="C24" s="17">
        <f>SUM(B56:C61)</f>
        <v>2036</v>
      </c>
      <c r="D24" s="12"/>
      <c r="E24" s="12"/>
      <c r="G24" s="1" t="s">
        <v>62</v>
      </c>
      <c r="H24" s="1">
        <f t="shared" si="16"/>
        <v>2020</v>
      </c>
      <c r="I24" s="17">
        <f t="shared" si="17"/>
        <v>300</v>
      </c>
      <c r="J24" s="12"/>
      <c r="K24" s="12"/>
      <c r="N24" s="1" t="s">
        <v>62</v>
      </c>
      <c r="O24" s="1">
        <f t="shared" si="18"/>
        <v>2020</v>
      </c>
      <c r="P24" s="17">
        <f t="shared" si="19"/>
        <v>300</v>
      </c>
      <c r="Q24" s="17"/>
    </row>
    <row r="25" spans="1:17" x14ac:dyDescent="0.15">
      <c r="A25" s="1" t="s">
        <v>61</v>
      </c>
      <c r="B25" s="1">
        <f t="shared" ref="B25:B26" si="20">B5</f>
        <v>2015</v>
      </c>
      <c r="C25" s="17">
        <f>SUM(B80:C85)</f>
        <v>2032</v>
      </c>
      <c r="D25" s="12"/>
      <c r="E25" s="12"/>
      <c r="G25" s="1" t="s">
        <v>106</v>
      </c>
      <c r="H25" s="1">
        <f t="shared" si="16"/>
        <v>2025</v>
      </c>
      <c r="I25" s="17">
        <f>ROUND(VLOOKUP(H25&amp;"_3",管理者用人口入力シート!BH:CM,27,FALSE),0)</f>
        <v>295</v>
      </c>
      <c r="J25" s="12"/>
      <c r="K25" s="12"/>
      <c r="N25" s="1" t="s">
        <v>106</v>
      </c>
      <c r="O25" s="1">
        <f t="shared" si="18"/>
        <v>2025</v>
      </c>
      <c r="P25" s="17">
        <f t="shared" si="19"/>
        <v>295</v>
      </c>
      <c r="Q25" s="17">
        <f>ROUND(VLOOKUP(H17&amp;"_3",管理者用人口入力シート!CO:DT,27,FALSE),0)</f>
        <v>296</v>
      </c>
    </row>
    <row r="26" spans="1:17" x14ac:dyDescent="0.15">
      <c r="A26" s="1" t="s">
        <v>62</v>
      </c>
      <c r="B26" s="1">
        <f t="shared" si="20"/>
        <v>2020</v>
      </c>
      <c r="C26" s="17">
        <f>SUM(B104:C109)</f>
        <v>2174</v>
      </c>
      <c r="D26" s="12"/>
      <c r="E26" s="12"/>
      <c r="G26" s="1" t="s">
        <v>107</v>
      </c>
      <c r="H26" s="1">
        <f t="shared" si="16"/>
        <v>2030</v>
      </c>
      <c r="I26" s="17">
        <f>ROUND(VLOOKUP(H26&amp;"_3",管理者用人口入力シート!BH:CM,27,FALSE),0)</f>
        <v>281</v>
      </c>
      <c r="J26" s="12"/>
      <c r="K26" s="12"/>
      <c r="N26" s="1" t="s">
        <v>107</v>
      </c>
      <c r="O26" s="1">
        <f t="shared" si="18"/>
        <v>2030</v>
      </c>
      <c r="P26" s="17">
        <f t="shared" si="19"/>
        <v>281</v>
      </c>
      <c r="Q26" s="17">
        <f>ROUND(VLOOKUP(H18&amp;"_3",管理者用人口入力シート!CO:DT,27,FALSE),0)</f>
        <v>282</v>
      </c>
    </row>
    <row r="27" spans="1:17" x14ac:dyDescent="0.15">
      <c r="G27" s="1" t="s">
        <v>108</v>
      </c>
      <c r="H27" s="1">
        <f t="shared" si="16"/>
        <v>2035</v>
      </c>
      <c r="I27" s="17">
        <f>ROUND(VLOOKUP(H27&amp;"_3",管理者用人口入力シート!BH:CM,27,FALSE),0)</f>
        <v>249</v>
      </c>
      <c r="J27" s="12"/>
      <c r="K27" s="12"/>
      <c r="N27" s="1" t="s">
        <v>108</v>
      </c>
      <c r="O27" s="1">
        <f t="shared" si="18"/>
        <v>2035</v>
      </c>
      <c r="P27" s="17">
        <f t="shared" si="19"/>
        <v>249</v>
      </c>
      <c r="Q27" s="17">
        <f>ROUND(VLOOKUP(H19&amp;"_3",管理者用人口入力シート!CO:DT,27,FALSE),0)</f>
        <v>250</v>
      </c>
    </row>
    <row r="28" spans="1:17" x14ac:dyDescent="0.15">
      <c r="A28" s="69" t="s">
        <v>85</v>
      </c>
      <c r="G28" s="1" t="s">
        <v>109</v>
      </c>
      <c r="H28" s="1">
        <f t="shared" si="16"/>
        <v>2040</v>
      </c>
      <c r="I28" s="17">
        <f>ROUND(VLOOKUP(H28&amp;"_3",管理者用人口入力シート!BH:CM,27,FALSE),0)</f>
        <v>225</v>
      </c>
      <c r="J28" s="12"/>
      <c r="K28" s="12"/>
      <c r="N28" s="1" t="s">
        <v>109</v>
      </c>
      <c r="O28" s="1">
        <f t="shared" si="18"/>
        <v>2040</v>
      </c>
      <c r="P28" s="17">
        <f t="shared" si="19"/>
        <v>225</v>
      </c>
      <c r="Q28" s="17">
        <f>ROUND(VLOOKUP(H20&amp;"_3",管理者用人口入力シート!CO:DT,27,FALSE),0)</f>
        <v>228</v>
      </c>
    </row>
    <row r="29" spans="1:17" x14ac:dyDescent="0.15">
      <c r="A29" s="2" t="s">
        <v>84</v>
      </c>
    </row>
    <row r="30" spans="1:17" x14ac:dyDescent="0.15">
      <c r="A30" s="1" t="s">
        <v>58</v>
      </c>
      <c r="B30" s="1">
        <f>B4</f>
        <v>2010</v>
      </c>
      <c r="C30" s="38">
        <f>ROUND((SUM(B54:C61)/SUM(B41:C61)),2)</f>
        <v>0.28999999999999998</v>
      </c>
      <c r="D30" s="205"/>
      <c r="E30" s="205"/>
      <c r="G30" s="69" t="s">
        <v>110</v>
      </c>
      <c r="N30" s="69" t="s">
        <v>110</v>
      </c>
    </row>
    <row r="31" spans="1:17" x14ac:dyDescent="0.15">
      <c r="A31" s="1" t="s">
        <v>61</v>
      </c>
      <c r="B31" s="1">
        <f t="shared" ref="B31:B32" si="21">B5</f>
        <v>2015</v>
      </c>
      <c r="C31" s="38">
        <f>ROUND((SUM(B78:C85)/SUM(B65:C85)),2)</f>
        <v>0.32</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0.34</v>
      </c>
      <c r="D32" s="205"/>
      <c r="E32" s="205"/>
      <c r="G32" s="1" t="s">
        <v>58</v>
      </c>
      <c r="H32" s="1">
        <f>H4</f>
        <v>2010</v>
      </c>
      <c r="I32" s="17">
        <f>C20</f>
        <v>3749</v>
      </c>
      <c r="J32" s="12"/>
      <c r="K32" s="12"/>
      <c r="N32" s="1" t="s">
        <v>58</v>
      </c>
      <c r="O32" s="1">
        <f>O4</f>
        <v>2010</v>
      </c>
      <c r="P32" s="17">
        <f>I32</f>
        <v>3749</v>
      </c>
      <c r="Q32" s="17"/>
    </row>
    <row r="33" spans="1:17" x14ac:dyDescent="0.15">
      <c r="A33" s="2" t="s">
        <v>86</v>
      </c>
      <c r="G33" s="1" t="s">
        <v>57</v>
      </c>
      <c r="H33" s="1">
        <f t="shared" ref="H33:H38" si="22">H5</f>
        <v>2015</v>
      </c>
      <c r="I33" s="17">
        <f>C21</f>
        <v>3845</v>
      </c>
      <c r="J33" s="12"/>
      <c r="K33" s="12"/>
      <c r="N33" s="1" t="s">
        <v>57</v>
      </c>
      <c r="O33" s="1">
        <f t="shared" ref="O33:O38" si="23">O5</f>
        <v>2015</v>
      </c>
      <c r="P33" s="17">
        <f t="shared" ref="P33:P38" si="24">I33</f>
        <v>3845</v>
      </c>
      <c r="Q33" s="17"/>
    </row>
    <row r="34" spans="1:17" x14ac:dyDescent="0.15">
      <c r="A34" s="1" t="s">
        <v>58</v>
      </c>
      <c r="B34" s="1">
        <f>B4</f>
        <v>2010</v>
      </c>
      <c r="C34" s="38">
        <f>ROUND((SUM(B56:C61)/SUM(B41:C61)),2)</f>
        <v>0.16</v>
      </c>
      <c r="D34" s="205"/>
      <c r="E34" s="205"/>
      <c r="G34" s="1" t="s">
        <v>62</v>
      </c>
      <c r="H34" s="1">
        <f t="shared" si="22"/>
        <v>2020</v>
      </c>
      <c r="I34" s="17">
        <f>C22</f>
        <v>4017</v>
      </c>
      <c r="J34" s="12"/>
      <c r="K34" s="12"/>
      <c r="N34" s="1" t="s">
        <v>62</v>
      </c>
      <c r="O34" s="1">
        <f t="shared" si="23"/>
        <v>2020</v>
      </c>
      <c r="P34" s="17">
        <f t="shared" si="24"/>
        <v>4017</v>
      </c>
      <c r="Q34" s="17"/>
    </row>
    <row r="35" spans="1:17" x14ac:dyDescent="0.15">
      <c r="A35" s="1" t="s">
        <v>61</v>
      </c>
      <c r="B35" s="1">
        <f t="shared" ref="B35:B36" si="25">B5</f>
        <v>2015</v>
      </c>
      <c r="C35" s="38">
        <f>ROUND((SUM(B80:C85)/SUM(B65:C85)),2)</f>
        <v>0.17</v>
      </c>
      <c r="D35" s="205"/>
      <c r="E35" s="205"/>
      <c r="G35" s="1" t="s">
        <v>106</v>
      </c>
      <c r="H35" s="1">
        <f t="shared" si="22"/>
        <v>2025</v>
      </c>
      <c r="I35" s="17">
        <f>SUM(H82:I89)</f>
        <v>3808</v>
      </c>
      <c r="J35" s="12"/>
      <c r="K35" s="12"/>
      <c r="N35" s="1" t="s">
        <v>106</v>
      </c>
      <c r="O35" s="1">
        <f t="shared" si="23"/>
        <v>2025</v>
      </c>
      <c r="P35" s="17">
        <f t="shared" si="24"/>
        <v>3808</v>
      </c>
      <c r="Q35" s="17">
        <f>SUM(O82:P89)</f>
        <v>3808</v>
      </c>
    </row>
    <row r="36" spans="1:17" x14ac:dyDescent="0.15">
      <c r="A36" s="1" t="s">
        <v>62</v>
      </c>
      <c r="B36" s="1">
        <f t="shared" si="25"/>
        <v>2020</v>
      </c>
      <c r="C36" s="38">
        <f>ROUND((SUM(B104:C109)/SUM(B89:C109)),2)</f>
        <v>0.18</v>
      </c>
      <c r="D36" s="205"/>
      <c r="E36" s="205"/>
      <c r="G36" s="1" t="s">
        <v>107</v>
      </c>
      <c r="H36" s="1">
        <f t="shared" si="22"/>
        <v>2030</v>
      </c>
      <c r="I36" s="17">
        <f>SUM(H106:I113)</f>
        <v>3528</v>
      </c>
      <c r="J36" s="12"/>
      <c r="K36" s="12"/>
      <c r="N36" s="1" t="s">
        <v>107</v>
      </c>
      <c r="O36" s="1">
        <f t="shared" si="23"/>
        <v>2030</v>
      </c>
      <c r="P36" s="17">
        <f t="shared" si="24"/>
        <v>3528</v>
      </c>
      <c r="Q36" s="17">
        <f>SUM(O106:P113)</f>
        <v>3528</v>
      </c>
    </row>
    <row r="37" spans="1:17" x14ac:dyDescent="0.15">
      <c r="G37" s="1" t="s">
        <v>108</v>
      </c>
      <c r="H37" s="1">
        <f t="shared" si="22"/>
        <v>2035</v>
      </c>
      <c r="I37" s="17">
        <f>SUM(H130:I137)</f>
        <v>3293</v>
      </c>
      <c r="J37" s="12"/>
      <c r="K37" s="12"/>
      <c r="N37" s="1" t="s">
        <v>108</v>
      </c>
      <c r="O37" s="1">
        <f t="shared" si="23"/>
        <v>2035</v>
      </c>
      <c r="P37" s="17">
        <f t="shared" si="24"/>
        <v>3293</v>
      </c>
      <c r="Q37" s="17">
        <f>SUM(O130:P137)</f>
        <v>3293</v>
      </c>
    </row>
    <row r="38" spans="1:17" x14ac:dyDescent="0.15">
      <c r="A38" s="69" t="s">
        <v>113</v>
      </c>
      <c r="G38" s="1" t="s">
        <v>109</v>
      </c>
      <c r="H38" s="1">
        <f t="shared" si="22"/>
        <v>2040</v>
      </c>
      <c r="I38" s="17">
        <f>SUM(H154:I161)</f>
        <v>3188</v>
      </c>
      <c r="J38" s="12"/>
      <c r="K38" s="12"/>
      <c r="N38" s="1" t="s">
        <v>109</v>
      </c>
      <c r="O38" s="1">
        <f t="shared" si="23"/>
        <v>2040</v>
      </c>
      <c r="P38" s="17">
        <f t="shared" si="24"/>
        <v>3188</v>
      </c>
      <c r="Q38" s="17">
        <f>SUM(O154:P161)</f>
        <v>3188</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2036</v>
      </c>
      <c r="J40" s="12"/>
      <c r="K40" s="12"/>
      <c r="N40" s="1" t="s">
        <v>58</v>
      </c>
      <c r="O40" s="1">
        <f>O4</f>
        <v>2010</v>
      </c>
      <c r="P40" s="17">
        <f>I40</f>
        <v>2036</v>
      </c>
      <c r="Q40" s="17"/>
    </row>
    <row r="41" spans="1:17" x14ac:dyDescent="0.15">
      <c r="A41" s="2" t="s">
        <v>0</v>
      </c>
      <c r="B41" s="17">
        <f>ROUND(VLOOKUP(B$39&amp;"_1",管理者用人口入力シート!A:X,D41,FALSE),0)</f>
        <v>271</v>
      </c>
      <c r="C41" s="17">
        <f>ROUND(VLOOKUP(B$39&amp;"_2",管理者用人口入力シート!A:X,D41,FALSE),0)</f>
        <v>254</v>
      </c>
      <c r="D41" s="2">
        <v>4</v>
      </c>
      <c r="G41" s="1" t="s">
        <v>57</v>
      </c>
      <c r="H41" s="1">
        <f t="shared" ref="H41:H46" si="26">H5</f>
        <v>2015</v>
      </c>
      <c r="I41" s="17">
        <f>C25</f>
        <v>2032</v>
      </c>
      <c r="J41" s="12"/>
      <c r="K41" s="12"/>
      <c r="N41" s="1" t="s">
        <v>57</v>
      </c>
      <c r="O41" s="1">
        <f t="shared" ref="O41:O46" si="27">O5</f>
        <v>2015</v>
      </c>
      <c r="P41" s="17">
        <f t="shared" ref="P41:P46" si="28">I41</f>
        <v>2032</v>
      </c>
      <c r="Q41" s="17"/>
    </row>
    <row r="42" spans="1:17" x14ac:dyDescent="0.15">
      <c r="A42" s="2" t="s">
        <v>1</v>
      </c>
      <c r="B42" s="17">
        <f>ROUND(VLOOKUP(B$39&amp;"_1",管理者用人口入力シート!A:X,D42,FALSE),0)</f>
        <v>260</v>
      </c>
      <c r="C42" s="17">
        <f>ROUND(VLOOKUP(B$39&amp;"_2",管理者用人口入力シート!A:X,D42,FALSE),0)</f>
        <v>255</v>
      </c>
      <c r="D42" s="2">
        <v>5</v>
      </c>
      <c r="G42" s="1" t="s">
        <v>62</v>
      </c>
      <c r="H42" s="1">
        <f t="shared" si="26"/>
        <v>2020</v>
      </c>
      <c r="I42" s="17">
        <f>C26</f>
        <v>2174</v>
      </c>
      <c r="J42" s="12"/>
      <c r="K42" s="12"/>
      <c r="N42" s="1" t="s">
        <v>62</v>
      </c>
      <c r="O42" s="1">
        <f t="shared" si="27"/>
        <v>2020</v>
      </c>
      <c r="P42" s="17">
        <f t="shared" si="28"/>
        <v>2174</v>
      </c>
      <c r="Q42" s="17"/>
    </row>
    <row r="43" spans="1:17" x14ac:dyDescent="0.15">
      <c r="A43" s="2" t="s">
        <v>2</v>
      </c>
      <c r="B43" s="17">
        <f>ROUND(VLOOKUP(B$39&amp;"_1",管理者用人口入力シート!A:X,D43,FALSE),0)</f>
        <v>283</v>
      </c>
      <c r="C43" s="17">
        <f>ROUND(VLOOKUP(B$39&amp;"_2",管理者用人口入力シート!A:X,D43,FALSE),0)</f>
        <v>274</v>
      </c>
      <c r="D43" s="2">
        <v>6</v>
      </c>
      <c r="G43" s="1" t="s">
        <v>106</v>
      </c>
      <c r="H43" s="1">
        <f t="shared" si="26"/>
        <v>2025</v>
      </c>
      <c r="I43" s="17">
        <f>SUM(H84:I89)</f>
        <v>2272</v>
      </c>
      <c r="J43" s="12"/>
      <c r="K43" s="12"/>
      <c r="N43" s="1" t="s">
        <v>106</v>
      </c>
      <c r="O43" s="1">
        <f t="shared" si="27"/>
        <v>2025</v>
      </c>
      <c r="P43" s="17">
        <f t="shared" si="28"/>
        <v>2272</v>
      </c>
      <c r="Q43" s="17">
        <f>SUM(O84:P89)</f>
        <v>2272</v>
      </c>
    </row>
    <row r="44" spans="1:17" x14ac:dyDescent="0.15">
      <c r="A44" s="2" t="s">
        <v>3</v>
      </c>
      <c r="B44" s="17">
        <f>ROUND(VLOOKUP(B$39&amp;"_1",管理者用人口入力シート!A:X,D44,FALSE),0)</f>
        <v>258</v>
      </c>
      <c r="C44" s="17">
        <f>ROUND(VLOOKUP(B$39&amp;"_2",管理者用人口入力シート!A:X,D44,FALSE),0)</f>
        <v>301</v>
      </c>
      <c r="D44" s="2">
        <v>7</v>
      </c>
      <c r="G44" s="1" t="s">
        <v>107</v>
      </c>
      <c r="H44" s="1">
        <f t="shared" si="26"/>
        <v>2030</v>
      </c>
      <c r="I44" s="17">
        <f>SUM(H108:I113)</f>
        <v>2181</v>
      </c>
      <c r="J44" s="12"/>
      <c r="K44" s="12"/>
      <c r="N44" s="1" t="s">
        <v>107</v>
      </c>
      <c r="O44" s="1">
        <f t="shared" si="27"/>
        <v>2030</v>
      </c>
      <c r="P44" s="17">
        <f t="shared" si="28"/>
        <v>2181</v>
      </c>
      <c r="Q44" s="17">
        <f>SUM(O108:P113)</f>
        <v>2181</v>
      </c>
    </row>
    <row r="45" spans="1:17" x14ac:dyDescent="0.15">
      <c r="A45" s="2" t="s">
        <v>4</v>
      </c>
      <c r="B45" s="17">
        <f>ROUND(VLOOKUP(B$39&amp;"_1",管理者用人口入力シート!A:X,D45,FALSE),0)</f>
        <v>221</v>
      </c>
      <c r="C45" s="17">
        <f>ROUND(VLOOKUP(B$39&amp;"_2",管理者用人口入力シート!A:X,D45,FALSE),0)</f>
        <v>274</v>
      </c>
      <c r="D45" s="2">
        <v>8</v>
      </c>
      <c r="G45" s="1" t="s">
        <v>108</v>
      </c>
      <c r="H45" s="1">
        <f t="shared" si="26"/>
        <v>2035</v>
      </c>
      <c r="I45" s="17">
        <f>SUM(H132:I137)</f>
        <v>2016</v>
      </c>
      <c r="J45" s="12"/>
      <c r="K45" s="12"/>
      <c r="N45" s="1" t="s">
        <v>108</v>
      </c>
      <c r="O45" s="1">
        <f t="shared" si="27"/>
        <v>2035</v>
      </c>
      <c r="P45" s="17">
        <f t="shared" si="28"/>
        <v>2016</v>
      </c>
      <c r="Q45" s="17">
        <f>SUM(O132:P137)</f>
        <v>2016</v>
      </c>
    </row>
    <row r="46" spans="1:17" x14ac:dyDescent="0.15">
      <c r="A46" s="2" t="s">
        <v>5</v>
      </c>
      <c r="B46" s="17">
        <f>ROUND(VLOOKUP(B$39&amp;"_1",管理者用人口入力シート!A:X,D46,FALSE),0)</f>
        <v>326</v>
      </c>
      <c r="C46" s="17">
        <f>ROUND(VLOOKUP(B$39&amp;"_2",管理者用人口入力シート!A:X,D46,FALSE),0)</f>
        <v>370</v>
      </c>
      <c r="D46" s="2">
        <v>9</v>
      </c>
      <c r="G46" s="1" t="s">
        <v>109</v>
      </c>
      <c r="H46" s="1">
        <f t="shared" si="26"/>
        <v>2040</v>
      </c>
      <c r="I46" s="17">
        <f>SUM(H156:I161)</f>
        <v>1813</v>
      </c>
      <c r="J46" s="12"/>
      <c r="K46" s="12"/>
      <c r="N46" s="1" t="s">
        <v>109</v>
      </c>
      <c r="O46" s="1">
        <f t="shared" si="27"/>
        <v>2040</v>
      </c>
      <c r="P46" s="17">
        <f t="shared" si="28"/>
        <v>1813</v>
      </c>
      <c r="Q46" s="17">
        <f>SUM(O156:P161)</f>
        <v>1813</v>
      </c>
    </row>
    <row r="47" spans="1:17" x14ac:dyDescent="0.15">
      <c r="A47" s="2" t="s">
        <v>6</v>
      </c>
      <c r="B47" s="17">
        <f>ROUND(VLOOKUP(B$39&amp;"_1",管理者用人口入力シート!A:X,D47,FALSE),0)</f>
        <v>349</v>
      </c>
      <c r="C47" s="17">
        <f>ROUND(VLOOKUP(B$39&amp;"_2",管理者用人口入力シート!A:X,D47,FALSE),0)</f>
        <v>351</v>
      </c>
      <c r="D47" s="2">
        <v>10</v>
      </c>
    </row>
    <row r="48" spans="1:17" x14ac:dyDescent="0.15">
      <c r="A48" s="2" t="s">
        <v>7</v>
      </c>
      <c r="B48" s="17">
        <f>ROUND(VLOOKUP(B$39&amp;"_1",管理者用人口入力シート!A:X,D48,FALSE),0)</f>
        <v>403</v>
      </c>
      <c r="C48" s="17">
        <f>ROUND(VLOOKUP(B$39&amp;"_2",管理者用人口入力シート!A:X,D48,FALSE),0)</f>
        <v>378</v>
      </c>
      <c r="D48" s="2">
        <v>11</v>
      </c>
      <c r="G48" s="69" t="s">
        <v>85</v>
      </c>
      <c r="N48" s="69" t="s">
        <v>85</v>
      </c>
    </row>
    <row r="49" spans="1:17" x14ac:dyDescent="0.15">
      <c r="A49" s="2" t="s">
        <v>8</v>
      </c>
      <c r="B49" s="17">
        <f>ROUND(VLOOKUP(B$39&amp;"_1",管理者用人口入力シート!A:X,D49,FALSE),0)</f>
        <v>330</v>
      </c>
      <c r="C49" s="17">
        <f>ROUND(VLOOKUP(B$39&amp;"_2",管理者用人口入力シート!A:X,D49,FALSE),0)</f>
        <v>370</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315</v>
      </c>
      <c r="C50" s="17">
        <f>ROUND(VLOOKUP(B$39&amp;"_2",管理者用人口入力シート!A:X,D50,FALSE),0)</f>
        <v>377</v>
      </c>
      <c r="D50" s="2">
        <v>13</v>
      </c>
      <c r="G50" s="1" t="s">
        <v>58</v>
      </c>
      <c r="H50" s="1">
        <f>H4</f>
        <v>2010</v>
      </c>
      <c r="I50" s="38">
        <f>C30</f>
        <v>0.28999999999999998</v>
      </c>
      <c r="J50" s="205"/>
      <c r="K50" s="205"/>
      <c r="N50" s="1" t="s">
        <v>58</v>
      </c>
      <c r="O50" s="1">
        <f>O4</f>
        <v>2010</v>
      </c>
      <c r="P50" s="38">
        <f t="shared" ref="P50:P56" si="29">I50</f>
        <v>0.28999999999999998</v>
      </c>
      <c r="Q50" s="1"/>
    </row>
    <row r="51" spans="1:17" x14ac:dyDescent="0.15">
      <c r="A51" s="2" t="s">
        <v>10</v>
      </c>
      <c r="B51" s="17">
        <f>ROUND(VLOOKUP(B$39&amp;"_1",管理者用人口入力シート!A:X,D51,FALSE),0)</f>
        <v>404</v>
      </c>
      <c r="C51" s="17">
        <f>ROUND(VLOOKUP(B$39&amp;"_2",管理者用人口入力シート!A:X,D51,FALSE),0)</f>
        <v>400</v>
      </c>
      <c r="D51" s="2">
        <v>14</v>
      </c>
      <c r="G51" s="1" t="s">
        <v>57</v>
      </c>
      <c r="H51" s="1">
        <f t="shared" ref="H51:H56" si="30">H5</f>
        <v>2015</v>
      </c>
      <c r="I51" s="38">
        <f t="shared" ref="I51:I52" si="31">C31</f>
        <v>0.32</v>
      </c>
      <c r="J51" s="205"/>
      <c r="K51" s="205"/>
      <c r="N51" s="1" t="s">
        <v>57</v>
      </c>
      <c r="O51" s="1">
        <f t="shared" ref="O51:O56" si="32">O5</f>
        <v>2015</v>
      </c>
      <c r="P51" s="38">
        <f t="shared" si="29"/>
        <v>0.32</v>
      </c>
      <c r="Q51" s="1"/>
    </row>
    <row r="52" spans="1:17" x14ac:dyDescent="0.15">
      <c r="A52" s="2" t="s">
        <v>11</v>
      </c>
      <c r="B52" s="17">
        <f>ROUND(VLOOKUP(B$39&amp;"_1",管理者用人口入力シート!A:X,D52,FALSE),0)</f>
        <v>428</v>
      </c>
      <c r="C52" s="17">
        <f>ROUND(VLOOKUP(B$39&amp;"_2",管理者用人口入力シート!A:X,D52,FALSE),0)</f>
        <v>480</v>
      </c>
      <c r="D52" s="2">
        <v>15</v>
      </c>
      <c r="G52" s="1" t="s">
        <v>62</v>
      </c>
      <c r="H52" s="1">
        <f t="shared" si="30"/>
        <v>2020</v>
      </c>
      <c r="I52" s="38">
        <f t="shared" si="31"/>
        <v>0.34</v>
      </c>
      <c r="J52" s="205"/>
      <c r="K52" s="205"/>
      <c r="N52" s="1" t="s">
        <v>62</v>
      </c>
      <c r="O52" s="1">
        <f t="shared" si="32"/>
        <v>2020</v>
      </c>
      <c r="P52" s="38">
        <f t="shared" si="29"/>
        <v>0.34</v>
      </c>
      <c r="Q52" s="1"/>
    </row>
    <row r="53" spans="1:17" x14ac:dyDescent="0.15">
      <c r="A53" s="2" t="s">
        <v>12</v>
      </c>
      <c r="B53" s="17">
        <f>ROUND(VLOOKUP(B$39&amp;"_1",管理者用人口入力シート!A:X,D53,FALSE),0)</f>
        <v>546</v>
      </c>
      <c r="C53" s="17">
        <f>ROUND(VLOOKUP(B$39&amp;"_2",管理者用人口入力シート!A:X,D53,FALSE),0)</f>
        <v>542</v>
      </c>
      <c r="D53" s="2">
        <v>16</v>
      </c>
      <c r="G53" s="1" t="s">
        <v>106</v>
      </c>
      <c r="H53" s="1">
        <f t="shared" si="30"/>
        <v>2025</v>
      </c>
      <c r="I53" s="38">
        <f>ROUND((SUM(H82:I89)/SUM(H69:I89)),2)</f>
        <v>0.34</v>
      </c>
      <c r="J53" s="205"/>
      <c r="K53" s="205"/>
      <c r="L53" s="70"/>
      <c r="M53" s="70"/>
      <c r="N53" s="1" t="s">
        <v>106</v>
      </c>
      <c r="O53" s="1">
        <f t="shared" si="32"/>
        <v>2025</v>
      </c>
      <c r="P53" s="38">
        <f t="shared" si="29"/>
        <v>0.34</v>
      </c>
      <c r="Q53" s="38">
        <f>ROUND((SUM(O82:P89)/SUM(O69:P89)),2)</f>
        <v>0.34</v>
      </c>
    </row>
    <row r="54" spans="1:17" x14ac:dyDescent="0.15">
      <c r="A54" s="2" t="s">
        <v>13</v>
      </c>
      <c r="B54" s="17">
        <f>ROUND(VLOOKUP(B$39&amp;"_1",管理者用人口入力シート!A:X,D54,FALSE),0)</f>
        <v>390</v>
      </c>
      <c r="C54" s="17">
        <f>ROUND(VLOOKUP(B$39&amp;"_2",管理者用人口入力シート!A:X,D54,FALSE),0)</f>
        <v>468</v>
      </c>
      <c r="D54" s="2">
        <v>17</v>
      </c>
      <c r="G54" s="1" t="s">
        <v>107</v>
      </c>
      <c r="H54" s="1">
        <f t="shared" si="30"/>
        <v>2030</v>
      </c>
      <c r="I54" s="38">
        <f>ROUND((SUM(H106:I113)/SUM(H93:I113)),2)</f>
        <v>0.34</v>
      </c>
      <c r="J54" s="205"/>
      <c r="K54" s="205"/>
      <c r="N54" s="1" t="s">
        <v>107</v>
      </c>
      <c r="O54" s="1">
        <f t="shared" si="32"/>
        <v>2030</v>
      </c>
      <c r="P54" s="38">
        <f t="shared" si="29"/>
        <v>0.34</v>
      </c>
      <c r="Q54" s="38">
        <f>ROUND((SUM(O106:P113)/SUM(O93:P113)),2)</f>
        <v>0.34</v>
      </c>
    </row>
    <row r="55" spans="1:17" x14ac:dyDescent="0.15">
      <c r="A55" s="2" t="s">
        <v>14</v>
      </c>
      <c r="B55" s="17">
        <f>ROUND(VLOOKUP(B$39&amp;"_1",管理者用人口入力シート!A:X,D55,FALSE),0)</f>
        <v>387</v>
      </c>
      <c r="C55" s="17">
        <f>ROUND(VLOOKUP(B$39&amp;"_2",管理者用人口入力シート!A:X,D55,FALSE),0)</f>
        <v>468</v>
      </c>
      <c r="D55" s="2">
        <v>18</v>
      </c>
      <c r="G55" s="1" t="s">
        <v>108</v>
      </c>
      <c r="H55" s="1">
        <f t="shared" si="30"/>
        <v>2035</v>
      </c>
      <c r="I55" s="38">
        <f>ROUND((SUM(H130:I137)/SUM(H117:I137)),2)</f>
        <v>0.34</v>
      </c>
      <c r="J55" s="205"/>
      <c r="K55" s="205"/>
      <c r="N55" s="1" t="s">
        <v>108</v>
      </c>
      <c r="O55" s="1">
        <f t="shared" si="32"/>
        <v>2035</v>
      </c>
      <c r="P55" s="38">
        <f t="shared" si="29"/>
        <v>0.34</v>
      </c>
      <c r="Q55" s="38">
        <f>ROUND((SUM(O130:P137)/SUM(O117:P137)),2)</f>
        <v>0.34</v>
      </c>
    </row>
    <row r="56" spans="1:17" x14ac:dyDescent="0.15">
      <c r="A56" s="2" t="s">
        <v>15</v>
      </c>
      <c r="B56" s="17">
        <f>ROUND(VLOOKUP(B$39&amp;"_1",管理者用人口入力シート!A:X,D56,FALSE),0)</f>
        <v>321</v>
      </c>
      <c r="C56" s="17">
        <f>ROUND(VLOOKUP(B$39&amp;"_2",管理者用人口入力シート!A:X,D56,FALSE),0)</f>
        <v>502</v>
      </c>
      <c r="D56" s="2">
        <v>19</v>
      </c>
      <c r="G56" s="1" t="s">
        <v>109</v>
      </c>
      <c r="H56" s="1">
        <f t="shared" si="30"/>
        <v>2040</v>
      </c>
      <c r="I56" s="38">
        <f>ROUND((SUM(H154:I161)/SUM(H141:I161)),2)</f>
        <v>0.35</v>
      </c>
      <c r="J56" s="205"/>
      <c r="K56" s="205"/>
      <c r="N56" s="1" t="s">
        <v>109</v>
      </c>
      <c r="O56" s="1">
        <f t="shared" si="32"/>
        <v>2040</v>
      </c>
      <c r="P56" s="38">
        <f t="shared" si="29"/>
        <v>0.35</v>
      </c>
      <c r="Q56" s="38">
        <f>ROUND((SUM(O154:P161)/SUM(O141:P161)),2)</f>
        <v>0.35</v>
      </c>
    </row>
    <row r="57" spans="1:17" x14ac:dyDescent="0.15">
      <c r="A57" s="2" t="s">
        <v>16</v>
      </c>
      <c r="B57" s="17">
        <f>ROUND(VLOOKUP(B$39&amp;"_1",管理者用人口入力シート!A:X,D57,FALSE),0)</f>
        <v>232</v>
      </c>
      <c r="C57" s="17">
        <f>ROUND(VLOOKUP(B$39&amp;"_2",管理者用人口入力シート!A:X,D57,FALSE),0)</f>
        <v>416</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98</v>
      </c>
      <c r="C58" s="17">
        <f>ROUND(VLOOKUP(B$39&amp;"_2",管理者用人口入力シート!A:X,D58,FALSE),0)</f>
        <v>265</v>
      </c>
      <c r="D58" s="2">
        <v>21</v>
      </c>
      <c r="G58" s="1" t="s">
        <v>58</v>
      </c>
      <c r="H58" s="1">
        <f>H4</f>
        <v>2010</v>
      </c>
      <c r="I58" s="38">
        <f>C34</f>
        <v>0.16</v>
      </c>
      <c r="J58" s="205"/>
      <c r="K58" s="205"/>
      <c r="N58" s="1" t="s">
        <v>58</v>
      </c>
      <c r="O58" s="1">
        <f>O4</f>
        <v>2010</v>
      </c>
      <c r="P58" s="38">
        <f t="shared" ref="P58:P64" si="33">I58</f>
        <v>0.16</v>
      </c>
      <c r="Q58" s="1"/>
    </row>
    <row r="59" spans="1:17" x14ac:dyDescent="0.15">
      <c r="A59" s="2" t="s">
        <v>18</v>
      </c>
      <c r="B59" s="17">
        <f>ROUND(VLOOKUP(B$39&amp;"_1",管理者用人口入力シート!A:X,D59,FALSE),0)</f>
        <v>36</v>
      </c>
      <c r="C59" s="17">
        <f>ROUND(VLOOKUP(B$39&amp;"_2",管理者用人口入力シート!A:X,D59,FALSE),0)</f>
        <v>123</v>
      </c>
      <c r="D59" s="2">
        <v>22</v>
      </c>
      <c r="G59" s="1" t="s">
        <v>57</v>
      </c>
      <c r="H59" s="1">
        <f t="shared" ref="H59:H64" si="34">H5</f>
        <v>2015</v>
      </c>
      <c r="I59" s="38">
        <f t="shared" ref="I59:I60" si="35">C35</f>
        <v>0.17</v>
      </c>
      <c r="J59" s="205"/>
      <c r="K59" s="205"/>
      <c r="N59" s="1" t="s">
        <v>57</v>
      </c>
      <c r="O59" s="1">
        <f t="shared" ref="O59:O64" si="36">O5</f>
        <v>2015</v>
      </c>
      <c r="P59" s="38">
        <f t="shared" si="33"/>
        <v>0.17</v>
      </c>
      <c r="Q59" s="1"/>
    </row>
    <row r="60" spans="1:17" x14ac:dyDescent="0.15">
      <c r="A60" s="2" t="s">
        <v>19</v>
      </c>
      <c r="B60" s="17">
        <f>ROUND(VLOOKUP(B$39&amp;"_1",管理者用人口入力シート!A:X,D60,FALSE),0)</f>
        <v>5</v>
      </c>
      <c r="C60" s="17">
        <f>ROUND(VLOOKUP(B$39&amp;"_2",管理者用人口入力シート!A:X,D60,FALSE),0)</f>
        <v>35</v>
      </c>
      <c r="D60" s="2">
        <v>23</v>
      </c>
      <c r="G60" s="1" t="s">
        <v>62</v>
      </c>
      <c r="H60" s="1">
        <f t="shared" si="34"/>
        <v>2020</v>
      </c>
      <c r="I60" s="38">
        <f t="shared" si="35"/>
        <v>0.18</v>
      </c>
      <c r="J60" s="205"/>
      <c r="K60" s="205"/>
      <c r="N60" s="1" t="s">
        <v>62</v>
      </c>
      <c r="O60" s="1">
        <f t="shared" si="36"/>
        <v>2020</v>
      </c>
      <c r="P60" s="38">
        <f t="shared" si="33"/>
        <v>0.18</v>
      </c>
      <c r="Q60" s="1"/>
    </row>
    <row r="61" spans="1:17" x14ac:dyDescent="0.15">
      <c r="A61" s="2" t="s">
        <v>20</v>
      </c>
      <c r="B61" s="17">
        <f>ROUND(VLOOKUP(B$39&amp;"_1",管理者用人口入力シート!A:X,D61,FALSE),0)</f>
        <v>0</v>
      </c>
      <c r="C61" s="17">
        <f>ROUND(VLOOKUP(B$39&amp;"_2",管理者用人口入力シート!A:X,D61,FALSE),0)</f>
        <v>3</v>
      </c>
      <c r="D61" s="2">
        <v>24</v>
      </c>
      <c r="G61" s="1" t="s">
        <v>106</v>
      </c>
      <c r="H61" s="1">
        <f t="shared" si="34"/>
        <v>2025</v>
      </c>
      <c r="I61" s="38">
        <f>ROUND((SUM(H84:I89)/SUM(H69:I89)),2)</f>
        <v>0.2</v>
      </c>
      <c r="J61" s="205"/>
      <c r="K61" s="205"/>
      <c r="N61" s="1" t="s">
        <v>106</v>
      </c>
      <c r="O61" s="1">
        <f t="shared" si="36"/>
        <v>2025</v>
      </c>
      <c r="P61" s="38">
        <f t="shared" si="33"/>
        <v>0.2</v>
      </c>
      <c r="Q61" s="38">
        <f>ROUND((SUM(O84:P89)/SUM(O69:P89)),2)</f>
        <v>0.2</v>
      </c>
    </row>
    <row r="62" spans="1:17" x14ac:dyDescent="0.15">
      <c r="G62" s="1" t="s">
        <v>107</v>
      </c>
      <c r="H62" s="1">
        <f t="shared" si="34"/>
        <v>2030</v>
      </c>
      <c r="I62" s="38">
        <f>ROUND((SUM(H108:I113)/SUM(H93:I113)),2)</f>
        <v>0.21</v>
      </c>
      <c r="J62" s="205"/>
      <c r="K62" s="205"/>
      <c r="N62" s="1" t="s">
        <v>107</v>
      </c>
      <c r="O62" s="1">
        <f t="shared" si="36"/>
        <v>2030</v>
      </c>
      <c r="P62" s="38">
        <f t="shared" si="33"/>
        <v>0.21</v>
      </c>
      <c r="Q62" s="38">
        <f>ROUND((SUM(O108:P113)/SUM(O93:P113)),2)</f>
        <v>0.21</v>
      </c>
    </row>
    <row r="63" spans="1:17" x14ac:dyDescent="0.15">
      <c r="A63" s="2" t="s">
        <v>384</v>
      </c>
      <c r="B63" s="315">
        <f>管理者入力シート!B6</f>
        <v>2015</v>
      </c>
      <c r="C63" s="316"/>
      <c r="D63" s="2" t="s">
        <v>114</v>
      </c>
      <c r="G63" s="1" t="s">
        <v>108</v>
      </c>
      <c r="H63" s="1">
        <f t="shared" si="34"/>
        <v>2035</v>
      </c>
      <c r="I63" s="38">
        <f>ROUND((SUM(H132:I137)/SUM(H117:I137)),2)</f>
        <v>0.21</v>
      </c>
      <c r="J63" s="205"/>
      <c r="K63" s="205"/>
      <c r="N63" s="1" t="s">
        <v>108</v>
      </c>
      <c r="O63" s="1">
        <f t="shared" si="36"/>
        <v>2035</v>
      </c>
      <c r="P63" s="38">
        <f t="shared" si="33"/>
        <v>0.21</v>
      </c>
      <c r="Q63" s="38">
        <f>ROUND((SUM(O132:P137)/SUM(O117:P137)),2)</f>
        <v>0.21</v>
      </c>
    </row>
    <row r="64" spans="1:17" x14ac:dyDescent="0.15">
      <c r="A64" s="2" t="s">
        <v>115</v>
      </c>
      <c r="B64" s="18" t="s">
        <v>21</v>
      </c>
      <c r="C64" s="18" t="s">
        <v>22</v>
      </c>
      <c r="G64" s="1" t="s">
        <v>109</v>
      </c>
      <c r="H64" s="1">
        <f t="shared" si="34"/>
        <v>2040</v>
      </c>
      <c r="I64" s="38">
        <f>ROUND((SUM(H156:I161)/SUM(H141:I161)),2)</f>
        <v>0.2</v>
      </c>
      <c r="J64" s="205"/>
      <c r="K64" s="205"/>
      <c r="N64" s="1" t="s">
        <v>109</v>
      </c>
      <c r="O64" s="1">
        <f t="shared" si="36"/>
        <v>2040</v>
      </c>
      <c r="P64" s="38">
        <f t="shared" si="33"/>
        <v>0.2</v>
      </c>
      <c r="Q64" s="38">
        <f>ROUND((SUM(O156:P161)/SUM(O141:P161)),2)</f>
        <v>0.2</v>
      </c>
    </row>
    <row r="65" spans="1:21" x14ac:dyDescent="0.15">
      <c r="A65" s="2" t="s">
        <v>0</v>
      </c>
      <c r="B65" s="17">
        <f>ROUND(VLOOKUP(B$63&amp;"_1",管理者用人口入力シート!A:X,D65,FALSE),0)</f>
        <v>244</v>
      </c>
      <c r="C65" s="17">
        <f>ROUND(VLOOKUP(B$63&amp;"_2",管理者用人口入力シート!A:X,D65,FALSE),0)</f>
        <v>256</v>
      </c>
      <c r="D65" s="2">
        <v>4</v>
      </c>
    </row>
    <row r="66" spans="1:21" x14ac:dyDescent="0.15">
      <c r="A66" s="2" t="s">
        <v>1</v>
      </c>
      <c r="B66" s="17">
        <f>ROUND(VLOOKUP(B$63&amp;"_1",管理者用人口入力シート!A:X,D66,FALSE),0)</f>
        <v>244</v>
      </c>
      <c r="C66" s="17">
        <f>ROUND(VLOOKUP(B$63&amp;"_2",管理者用人口入力シート!A:X,D66,FALSE),0)</f>
        <v>253</v>
      </c>
      <c r="D66" s="2">
        <v>5</v>
      </c>
      <c r="G66" s="69" t="s">
        <v>113</v>
      </c>
      <c r="N66" s="69" t="s">
        <v>113</v>
      </c>
    </row>
    <row r="67" spans="1:21" x14ac:dyDescent="0.15">
      <c r="A67" s="2" t="s">
        <v>2</v>
      </c>
      <c r="B67" s="17">
        <f>ROUND(VLOOKUP(B$63&amp;"_1",管理者用人口入力シート!A:X,D67,FALSE),0)</f>
        <v>256</v>
      </c>
      <c r="C67" s="17">
        <f>ROUND(VLOOKUP(B$63&amp;"_2",管理者用人口入力シート!A:X,D67,FALSE),0)</f>
        <v>240</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224</v>
      </c>
      <c r="C68" s="17">
        <f>ROUND(VLOOKUP(B$63&amp;"_2",管理者用人口入力シート!A:X,D68,FALSE),0)</f>
        <v>265</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192</v>
      </c>
      <c r="C69" s="17">
        <f>ROUND(VLOOKUP(B$63&amp;"_2",管理者用人口入力シート!A:X,D69,FALSE),0)</f>
        <v>252</v>
      </c>
      <c r="D69" s="2">
        <v>8</v>
      </c>
      <c r="G69" s="2" t="s">
        <v>0</v>
      </c>
      <c r="H69" s="17">
        <f>ROUND(VLOOKUP(H$67&amp;"_1",管理者用人口入力シート!BH:CE,J69,FALSE),0)</f>
        <v>211</v>
      </c>
      <c r="I69" s="17">
        <f>ROUND(VLOOKUP(H$67&amp;"_2",管理者用人口入力シート!BH:CE,J69,FALSE),0)</f>
        <v>205</v>
      </c>
      <c r="J69" s="2">
        <v>4</v>
      </c>
      <c r="K69" s="12"/>
      <c r="N69" s="2" t="s">
        <v>0</v>
      </c>
      <c r="O69" s="17">
        <f>ROUND(VLOOKUP(O$67&amp;"_1",管理者用人口入力シート!CO:DL,Q69,FALSE),0)</f>
        <v>212</v>
      </c>
      <c r="P69" s="17">
        <f>ROUND(VLOOKUP(O$67&amp;"_2",管理者用人口入力シート!CO:DL,Q69,FALSE),0)</f>
        <v>206</v>
      </c>
      <c r="Q69" s="2">
        <v>4</v>
      </c>
      <c r="U69" s="85"/>
    </row>
    <row r="70" spans="1:21" x14ac:dyDescent="0.15">
      <c r="A70" s="2" t="s">
        <v>5</v>
      </c>
      <c r="B70" s="17">
        <f>ROUND(VLOOKUP(B$63&amp;"_1",管理者用人口入力シート!A:X,D70,FALSE),0)</f>
        <v>305</v>
      </c>
      <c r="C70" s="17">
        <f>ROUND(VLOOKUP(B$63&amp;"_2",管理者用人口入力シート!A:X,D70,FALSE),0)</f>
        <v>271</v>
      </c>
      <c r="D70" s="2">
        <v>9</v>
      </c>
      <c r="G70" s="2" t="s">
        <v>1</v>
      </c>
      <c r="H70" s="17">
        <f>ROUND(VLOOKUP(H$67&amp;"_1",管理者用人口入力シート!BH:CE,J70,FALSE),0)</f>
        <v>242</v>
      </c>
      <c r="I70" s="17">
        <f>ROUND(VLOOKUP(H$67&amp;"_2",管理者用人口入力シート!BH:CE,J70,FALSE),0)</f>
        <v>232</v>
      </c>
      <c r="J70" s="2">
        <v>5</v>
      </c>
      <c r="K70" s="12"/>
      <c r="N70" s="2" t="s">
        <v>1</v>
      </c>
      <c r="O70" s="17">
        <f>ROUND(VLOOKUP(O$67&amp;"_1",管理者用人口入力シート!CO:DL,Q70,FALSE),0)</f>
        <v>242</v>
      </c>
      <c r="P70" s="17">
        <f>ROUND(VLOOKUP(O$67&amp;"_2",管理者用人口入力シート!CO:DL,Q70,FALSE),0)</f>
        <v>232</v>
      </c>
      <c r="Q70" s="2">
        <v>5</v>
      </c>
      <c r="U70" s="85"/>
    </row>
    <row r="71" spans="1:21" x14ac:dyDescent="0.15">
      <c r="A71" s="2" t="s">
        <v>6</v>
      </c>
      <c r="B71" s="17">
        <f>ROUND(VLOOKUP(B$63&amp;"_1",管理者用人口入力シート!A:X,D71,FALSE),0)</f>
        <v>326</v>
      </c>
      <c r="C71" s="17">
        <f>ROUND(VLOOKUP(B$63&amp;"_2",管理者用人口入力シート!A:X,D71,FALSE),0)</f>
        <v>370</v>
      </c>
      <c r="D71" s="2">
        <v>10</v>
      </c>
      <c r="G71" s="2" t="s">
        <v>2</v>
      </c>
      <c r="H71" s="17">
        <f>ROUND(VLOOKUP(H$67&amp;"_1",管理者用人口入力シート!BH:CE,J71,FALSE),0)</f>
        <v>268</v>
      </c>
      <c r="I71" s="17">
        <f>ROUND(VLOOKUP(H$67&amp;"_2",管理者用人口入力シート!BH:CE,J71,FALSE),0)</f>
        <v>235</v>
      </c>
      <c r="J71" s="2">
        <v>6</v>
      </c>
      <c r="K71" s="12"/>
      <c r="N71" s="2" t="s">
        <v>2</v>
      </c>
      <c r="O71" s="17">
        <f>ROUND(VLOOKUP(O$67&amp;"_1",管理者用人口入力シート!CO:DL,Q71,FALSE),0)</f>
        <v>269</v>
      </c>
      <c r="P71" s="17">
        <f>ROUND(VLOOKUP(O$67&amp;"_2",管理者用人口入力シート!CO:DL,Q71,FALSE),0)</f>
        <v>236</v>
      </c>
      <c r="Q71" s="2">
        <v>6</v>
      </c>
      <c r="U71" s="85"/>
    </row>
    <row r="72" spans="1:21" x14ac:dyDescent="0.15">
      <c r="A72" s="2" t="s">
        <v>7</v>
      </c>
      <c r="B72" s="17">
        <f>ROUND(VLOOKUP(B$63&amp;"_1",管理者用人口入力シート!A:X,D72,FALSE),0)</f>
        <v>339</v>
      </c>
      <c r="C72" s="17">
        <f>ROUND(VLOOKUP(B$63&amp;"_2",管理者用人口入力シート!A:X,D72,FALSE),0)</f>
        <v>322</v>
      </c>
      <c r="D72" s="2">
        <v>11</v>
      </c>
      <c r="G72" s="2" t="s">
        <v>3</v>
      </c>
      <c r="H72" s="17">
        <f>ROUND(VLOOKUP(H$67&amp;"_1",管理者用人口入力シート!BH:CE,J72,FALSE),0)</f>
        <v>208</v>
      </c>
      <c r="I72" s="17">
        <f>ROUND(VLOOKUP(H$67&amp;"_2",管理者用人口入力シート!BH:CE,J72,FALSE),0)</f>
        <v>263</v>
      </c>
      <c r="J72" s="2">
        <v>7</v>
      </c>
      <c r="K72" s="12"/>
      <c r="N72" s="2" t="s">
        <v>3</v>
      </c>
      <c r="O72" s="17">
        <f>ROUND(VLOOKUP(O$67&amp;"_1",管理者用人口入力シート!CO:DL,Q72,FALSE),0)</f>
        <v>208</v>
      </c>
      <c r="P72" s="17">
        <f>ROUND(VLOOKUP(O$67&amp;"_2",管理者用人口入力シート!CO:DL,Q72,FALSE),0)</f>
        <v>263</v>
      </c>
      <c r="Q72" s="2">
        <v>7</v>
      </c>
      <c r="U72" s="85"/>
    </row>
    <row r="73" spans="1:21" x14ac:dyDescent="0.15">
      <c r="A73" s="2" t="s">
        <v>8</v>
      </c>
      <c r="B73" s="17">
        <f>ROUND(VLOOKUP(B$63&amp;"_1",管理者用人口入力シート!A:X,D73,FALSE),0)</f>
        <v>413</v>
      </c>
      <c r="C73" s="17">
        <f>ROUND(VLOOKUP(B$63&amp;"_2",管理者用人口入力シート!A:X,D73,FALSE),0)</f>
        <v>382</v>
      </c>
      <c r="D73" s="2">
        <v>12</v>
      </c>
      <c r="G73" s="2" t="s">
        <v>4</v>
      </c>
      <c r="H73" s="17">
        <f>ROUND(VLOOKUP(H$67&amp;"_1",管理者用人口入力シート!BH:CE,J73,FALSE),0)</f>
        <v>152</v>
      </c>
      <c r="I73" s="17">
        <f>ROUND(VLOOKUP(H$67&amp;"_2",管理者用人口入力シート!BH:CE,J73,FALSE),0)</f>
        <v>213</v>
      </c>
      <c r="J73" s="2">
        <v>8</v>
      </c>
      <c r="K73" s="12"/>
      <c r="N73" s="2" t="s">
        <v>4</v>
      </c>
      <c r="O73" s="17">
        <f>ROUND(VLOOKUP(O$67&amp;"_1",管理者用人口入力シート!CO:DL,Q73,FALSE),0)</f>
        <v>152</v>
      </c>
      <c r="P73" s="17">
        <f>ROUND(VLOOKUP(O$67&amp;"_2",管理者用人口入力シート!CO:DL,Q73,FALSE),0)</f>
        <v>213</v>
      </c>
      <c r="Q73" s="2">
        <v>8</v>
      </c>
      <c r="U73" s="85"/>
    </row>
    <row r="74" spans="1:21" x14ac:dyDescent="0.15">
      <c r="A74" s="2" t="s">
        <v>9</v>
      </c>
      <c r="B74" s="17">
        <f>ROUND(VLOOKUP(B$63&amp;"_1",管理者用人口入力シート!A:X,D74,FALSE),0)</f>
        <v>332</v>
      </c>
      <c r="C74" s="17">
        <f>ROUND(VLOOKUP(B$63&amp;"_2",管理者用人口入力シート!A:X,D74,FALSE),0)</f>
        <v>377</v>
      </c>
      <c r="D74" s="2">
        <v>13</v>
      </c>
      <c r="G74" s="2" t="s">
        <v>5</v>
      </c>
      <c r="H74" s="17">
        <f>ROUND(VLOOKUP(H$67&amp;"_1",管理者用人口入力シート!BH:CE,J74,FALSE),0)</f>
        <v>233</v>
      </c>
      <c r="I74" s="17">
        <f>ROUND(VLOOKUP(H$67&amp;"_2",管理者用人口入力シート!BH:CE,J74,FALSE),0)</f>
        <v>209</v>
      </c>
      <c r="J74" s="2">
        <v>9</v>
      </c>
      <c r="K74" s="12"/>
      <c r="N74" s="2" t="s">
        <v>5</v>
      </c>
      <c r="O74" s="17">
        <f>ROUND(VLOOKUP(O$67&amp;"_1",管理者用人口入力シート!CO:DL,Q74,FALSE),0)</f>
        <v>235</v>
      </c>
      <c r="P74" s="17">
        <f>ROUND(VLOOKUP(O$67&amp;"_2",管理者用人口入力シート!CO:DL,Q74,FALSE),0)</f>
        <v>211</v>
      </c>
      <c r="Q74" s="2">
        <v>9</v>
      </c>
      <c r="U74" s="85"/>
    </row>
    <row r="75" spans="1:21" x14ac:dyDescent="0.15">
      <c r="A75" s="2" t="s">
        <v>10</v>
      </c>
      <c r="B75" s="17">
        <f>ROUND(VLOOKUP(B$63&amp;"_1",管理者用人口入力シート!A:X,D75,FALSE),0)</f>
        <v>319</v>
      </c>
      <c r="C75" s="17">
        <f>ROUND(VLOOKUP(B$63&amp;"_2",管理者用人口入力シート!A:X,D75,FALSE),0)</f>
        <v>370</v>
      </c>
      <c r="D75" s="2">
        <v>14</v>
      </c>
      <c r="G75" s="2" t="s">
        <v>6</v>
      </c>
      <c r="H75" s="17">
        <f>ROUND(VLOOKUP(H$67&amp;"_1",管理者用人口入力シート!BH:CE,J75,FALSE),0)</f>
        <v>275</v>
      </c>
      <c r="I75" s="17">
        <f>ROUND(VLOOKUP(H$67&amp;"_2",管理者用人口入力シート!BH:CE,J75,FALSE),0)</f>
        <v>249</v>
      </c>
      <c r="J75" s="2">
        <v>10</v>
      </c>
      <c r="K75" s="12"/>
      <c r="N75" s="2" t="s">
        <v>6</v>
      </c>
      <c r="O75" s="17">
        <f>ROUND(VLOOKUP(O$67&amp;"_1",管理者用人口入力シート!CO:DL,Q75,FALSE),0)</f>
        <v>275</v>
      </c>
      <c r="P75" s="17">
        <f>ROUND(VLOOKUP(O$67&amp;"_2",管理者用人口入力シート!CO:DL,Q75,FALSE),0)</f>
        <v>249</v>
      </c>
      <c r="Q75" s="2">
        <v>10</v>
      </c>
      <c r="U75" s="85"/>
    </row>
    <row r="76" spans="1:21" x14ac:dyDescent="0.15">
      <c r="A76" s="2" t="s">
        <v>11</v>
      </c>
      <c r="B76" s="17">
        <f>ROUND(VLOOKUP(B$63&amp;"_1",管理者用人口入力シート!A:X,D76,FALSE),0)</f>
        <v>380</v>
      </c>
      <c r="C76" s="17">
        <f>ROUND(VLOOKUP(B$63&amp;"_2",管理者用人口入力シート!A:X,D76,FALSE),0)</f>
        <v>418</v>
      </c>
      <c r="D76" s="2">
        <v>15</v>
      </c>
      <c r="G76" s="2" t="s">
        <v>7</v>
      </c>
      <c r="H76" s="17">
        <f>ROUND(VLOOKUP(H$67&amp;"_1",管理者用人口入力シート!BH:CE,J76,FALSE),0)</f>
        <v>279</v>
      </c>
      <c r="I76" s="17">
        <f>ROUND(VLOOKUP(H$67&amp;"_2",管理者用人口入力シート!BH:CE,J76,FALSE),0)</f>
        <v>262</v>
      </c>
      <c r="J76" s="2">
        <v>11</v>
      </c>
      <c r="K76" s="12"/>
      <c r="N76" s="2" t="s">
        <v>7</v>
      </c>
      <c r="O76" s="17">
        <f>ROUND(VLOOKUP(O$67&amp;"_1",管理者用人口入力シート!CO:DL,Q76,FALSE),0)</f>
        <v>279</v>
      </c>
      <c r="P76" s="17">
        <f>ROUND(VLOOKUP(O$67&amp;"_2",管理者用人口入力シート!CO:DL,Q76,FALSE),0)</f>
        <v>262</v>
      </c>
      <c r="Q76" s="2">
        <v>11</v>
      </c>
      <c r="U76" s="85"/>
    </row>
    <row r="77" spans="1:21" x14ac:dyDescent="0.15">
      <c r="A77" s="2" t="s">
        <v>12</v>
      </c>
      <c r="B77" s="17">
        <f>ROUND(VLOOKUP(B$63&amp;"_1",管理者用人口入力シート!A:X,D77,FALSE),0)</f>
        <v>421</v>
      </c>
      <c r="C77" s="17">
        <f>ROUND(VLOOKUP(B$63&amp;"_2",管理者用人口入力シート!A:X,D77,FALSE),0)</f>
        <v>462</v>
      </c>
      <c r="D77" s="2">
        <v>16</v>
      </c>
      <c r="G77" s="2" t="s">
        <v>8</v>
      </c>
      <c r="H77" s="17">
        <f>ROUND(VLOOKUP(H$67&amp;"_1",管理者用人口入力シート!BH:CE,J77,FALSE),0)</f>
        <v>312</v>
      </c>
      <c r="I77" s="17">
        <f>ROUND(VLOOKUP(H$67&amp;"_2",管理者用人口入力シート!BH:CE,J77,FALSE),0)</f>
        <v>362</v>
      </c>
      <c r="J77" s="2">
        <v>12</v>
      </c>
      <c r="K77" s="12"/>
      <c r="N77" s="2" t="s">
        <v>8</v>
      </c>
      <c r="O77" s="17">
        <f>ROUND(VLOOKUP(O$67&amp;"_1",管理者用人口入力シート!CO:DL,Q77,FALSE),0)</f>
        <v>312</v>
      </c>
      <c r="P77" s="17">
        <f>ROUND(VLOOKUP(O$67&amp;"_2",管理者用人口入力シート!CO:DL,Q77,FALSE),0)</f>
        <v>363</v>
      </c>
      <c r="Q77" s="2">
        <v>12</v>
      </c>
      <c r="U77" s="85"/>
    </row>
    <row r="78" spans="1:21" x14ac:dyDescent="0.15">
      <c r="A78" s="2" t="s">
        <v>13</v>
      </c>
      <c r="B78" s="17">
        <f>ROUND(VLOOKUP(B$63&amp;"_1",管理者用人口入力シート!A:X,D78,FALSE),0)</f>
        <v>505</v>
      </c>
      <c r="C78" s="17">
        <f>ROUND(VLOOKUP(B$63&amp;"_2",管理者用人口入力シート!A:X,D78,FALSE),0)</f>
        <v>517</v>
      </c>
      <c r="D78" s="2">
        <v>17</v>
      </c>
      <c r="G78" s="2" t="s">
        <v>9</v>
      </c>
      <c r="H78" s="17">
        <f>ROUND(VLOOKUP(H$67&amp;"_1",管理者用人口入力シート!BH:CE,J78,FALSE),0)</f>
        <v>333</v>
      </c>
      <c r="I78" s="17">
        <f>ROUND(VLOOKUP(H$67&amp;"_2",管理者用人口入力シート!BH:CE,J78,FALSE),0)</f>
        <v>353</v>
      </c>
      <c r="J78" s="2">
        <v>13</v>
      </c>
      <c r="K78" s="12"/>
      <c r="N78" s="2" t="s">
        <v>9</v>
      </c>
      <c r="O78" s="17">
        <f>ROUND(VLOOKUP(O$67&amp;"_1",管理者用人口入力シート!CO:DL,Q78,FALSE),0)</f>
        <v>333</v>
      </c>
      <c r="P78" s="17">
        <f>ROUND(VLOOKUP(O$67&amp;"_2",管理者用人口入力シート!CO:DL,Q78,FALSE),0)</f>
        <v>353</v>
      </c>
      <c r="Q78" s="2">
        <v>13</v>
      </c>
      <c r="U78" s="85"/>
    </row>
    <row r="79" spans="1:21" x14ac:dyDescent="0.15">
      <c r="A79" s="2" t="s">
        <v>14</v>
      </c>
      <c r="B79" s="17">
        <f>ROUND(VLOOKUP(B$63&amp;"_1",管理者用人口入力シート!A:X,D79,FALSE),0)</f>
        <v>346</v>
      </c>
      <c r="C79" s="17">
        <f>ROUND(VLOOKUP(B$63&amp;"_2",管理者用人口入力シート!A:X,D79,FALSE),0)</f>
        <v>445</v>
      </c>
      <c r="D79" s="2">
        <v>18</v>
      </c>
      <c r="G79" s="2" t="s">
        <v>10</v>
      </c>
      <c r="H79" s="17">
        <f>ROUND(VLOOKUP(H$67&amp;"_1",管理者用人口入力シート!BH:CE,J79,FALSE),0)</f>
        <v>416</v>
      </c>
      <c r="I79" s="17">
        <f>ROUND(VLOOKUP(H$67&amp;"_2",管理者用人口入力シート!BH:CE,J79,FALSE),0)</f>
        <v>391</v>
      </c>
      <c r="J79" s="2">
        <v>14</v>
      </c>
      <c r="K79" s="12"/>
      <c r="N79" s="2" t="s">
        <v>10</v>
      </c>
      <c r="O79" s="17">
        <f>ROUND(VLOOKUP(O$67&amp;"_1",管理者用人口入力シート!CO:DL,Q79,FALSE),0)</f>
        <v>416</v>
      </c>
      <c r="P79" s="17">
        <f>ROUND(VLOOKUP(O$67&amp;"_2",管理者用人口入力シート!CO:DL,Q79,FALSE),0)</f>
        <v>391</v>
      </c>
      <c r="Q79" s="2">
        <v>14</v>
      </c>
      <c r="U79" s="85"/>
    </row>
    <row r="80" spans="1:21" x14ac:dyDescent="0.15">
      <c r="A80" s="2" t="s">
        <v>15</v>
      </c>
      <c r="B80" s="17">
        <f>ROUND(VLOOKUP(B$63&amp;"_1",管理者用人口入力シート!A:X,D80,FALSE),0)</f>
        <v>326</v>
      </c>
      <c r="C80" s="17">
        <f>ROUND(VLOOKUP(B$63&amp;"_2",管理者用人口入力シート!A:X,D80,FALSE),0)</f>
        <v>408</v>
      </c>
      <c r="D80" s="2">
        <v>19</v>
      </c>
      <c r="G80" s="2" t="s">
        <v>11</v>
      </c>
      <c r="H80" s="17">
        <f>ROUND(VLOOKUP(H$67&amp;"_1",管理者用人口入力シート!BH:CE,J80,FALSE),0)</f>
        <v>337</v>
      </c>
      <c r="I80" s="17">
        <f>ROUND(VLOOKUP(H$67&amp;"_2",管理者用人口入力シート!BH:CE,J80,FALSE),0)</f>
        <v>380</v>
      </c>
      <c r="J80" s="2">
        <v>15</v>
      </c>
      <c r="K80" s="12"/>
      <c r="N80" s="2" t="s">
        <v>11</v>
      </c>
      <c r="O80" s="17">
        <f>ROUND(VLOOKUP(O$67&amp;"_1",管理者用人口入力シート!CO:DL,Q80,FALSE),0)</f>
        <v>337</v>
      </c>
      <c r="P80" s="17">
        <f>ROUND(VLOOKUP(O$67&amp;"_2",管理者用人口入力シート!CO:DL,Q80,FALSE),0)</f>
        <v>380</v>
      </c>
      <c r="Q80" s="2">
        <v>15</v>
      </c>
      <c r="U80" s="85"/>
    </row>
    <row r="81" spans="1:21" x14ac:dyDescent="0.15">
      <c r="A81" s="2" t="s">
        <v>16</v>
      </c>
      <c r="B81" s="17">
        <f>ROUND(VLOOKUP(B$63&amp;"_1",管理者用人口入力シート!A:X,D81,FALSE),0)</f>
        <v>232</v>
      </c>
      <c r="C81" s="17">
        <f>ROUND(VLOOKUP(B$63&amp;"_2",管理者用人口入力シート!A:X,D81,FALSE),0)</f>
        <v>412</v>
      </c>
      <c r="D81" s="2">
        <v>20</v>
      </c>
      <c r="G81" s="2" t="s">
        <v>12</v>
      </c>
      <c r="H81" s="17">
        <f>ROUND(VLOOKUP(H$67&amp;"_1",管理者用人口入力シート!BH:CE,J81,FALSE),0)</f>
        <v>326</v>
      </c>
      <c r="I81" s="17">
        <f>ROUND(VLOOKUP(H$67&amp;"_2",管理者用人口入力シート!BH:CE,J81,FALSE),0)</f>
        <v>359</v>
      </c>
      <c r="J81" s="2">
        <v>16</v>
      </c>
      <c r="K81" s="12"/>
      <c r="N81" s="2" t="s">
        <v>12</v>
      </c>
      <c r="O81" s="17">
        <f>ROUND(VLOOKUP(O$67&amp;"_1",管理者用人口入力シート!CO:DL,Q81,FALSE),0)</f>
        <v>326</v>
      </c>
      <c r="P81" s="17">
        <f>ROUND(VLOOKUP(O$67&amp;"_2",管理者用人口入力シート!CO:DL,Q81,FALSE),0)</f>
        <v>359</v>
      </c>
      <c r="Q81" s="2">
        <v>16</v>
      </c>
      <c r="U81" s="85"/>
    </row>
    <row r="82" spans="1:21" x14ac:dyDescent="0.15">
      <c r="A82" s="2" t="s">
        <v>17</v>
      </c>
      <c r="B82" s="17">
        <f>ROUND(VLOOKUP(B$63&amp;"_1",管理者用人口入力シート!A:X,D82,FALSE),0)</f>
        <v>137</v>
      </c>
      <c r="C82" s="17">
        <f>ROUND(VLOOKUP(B$63&amp;"_2",管理者用人口入力シート!A:X,D82,FALSE),0)</f>
        <v>296</v>
      </c>
      <c r="D82" s="2">
        <v>21</v>
      </c>
      <c r="G82" s="2" t="s">
        <v>13</v>
      </c>
      <c r="H82" s="17">
        <f>ROUND(VLOOKUP(H$67&amp;"_1",管理者用人口入力シート!BH:CE,J82,FALSE),0)</f>
        <v>342</v>
      </c>
      <c r="I82" s="17">
        <f>ROUND(VLOOKUP(H$67&amp;"_2",管理者用人口入力シート!BH:CE,J82,FALSE),0)</f>
        <v>393</v>
      </c>
      <c r="J82" s="2">
        <v>17</v>
      </c>
      <c r="K82" s="12"/>
      <c r="N82" s="2" t="s">
        <v>13</v>
      </c>
      <c r="O82" s="17">
        <f>ROUND(VLOOKUP(O$67&amp;"_1",管理者用人口入力シート!CO:DL,Q82,FALSE),0)</f>
        <v>342</v>
      </c>
      <c r="P82" s="17">
        <f>ROUND(VLOOKUP(O$67&amp;"_2",管理者用人口入力シート!CO:DL,Q82,FALSE),0)</f>
        <v>393</v>
      </c>
      <c r="Q82" s="2">
        <v>17</v>
      </c>
      <c r="U82" s="85"/>
    </row>
    <row r="83" spans="1:21" x14ac:dyDescent="0.15">
      <c r="A83" s="2" t="s">
        <v>18</v>
      </c>
      <c r="B83" s="17">
        <f>ROUND(VLOOKUP(B$63&amp;"_1",管理者用人口入力シート!A:X,D83,FALSE),0)</f>
        <v>45</v>
      </c>
      <c r="C83" s="17">
        <f>ROUND(VLOOKUP(B$63&amp;"_2",管理者用人口入力シート!A:X,D83,FALSE),0)</f>
        <v>130</v>
      </c>
      <c r="D83" s="2">
        <v>22</v>
      </c>
      <c r="G83" s="2" t="s">
        <v>14</v>
      </c>
      <c r="H83" s="17">
        <f>ROUND(VLOOKUP(H$67&amp;"_1",管理者用人口入力シート!BH:CE,J83,FALSE),0)</f>
        <v>341</v>
      </c>
      <c r="I83" s="17">
        <f>ROUND(VLOOKUP(H$67&amp;"_2",管理者用人口入力シート!BH:CE,J83,FALSE),0)</f>
        <v>460</v>
      </c>
      <c r="J83" s="2">
        <v>18</v>
      </c>
      <c r="K83" s="12"/>
      <c r="N83" s="2" t="s">
        <v>14</v>
      </c>
      <c r="O83" s="17">
        <f>ROUND(VLOOKUP(O$67&amp;"_1",管理者用人口入力シート!CO:DL,Q83,FALSE),0)</f>
        <v>341</v>
      </c>
      <c r="P83" s="17">
        <f>ROUND(VLOOKUP(O$67&amp;"_2",管理者用人口入力シート!CO:DL,Q83,FALSE),0)</f>
        <v>460</v>
      </c>
      <c r="Q83" s="2">
        <v>18</v>
      </c>
      <c r="U83" s="85"/>
    </row>
    <row r="84" spans="1:21" x14ac:dyDescent="0.15">
      <c r="A84" s="2" t="s">
        <v>19</v>
      </c>
      <c r="B84" s="17">
        <f>ROUND(VLOOKUP(B$63&amp;"_1",管理者用人口入力シート!A:X,D84,FALSE),0)</f>
        <v>9</v>
      </c>
      <c r="C84" s="17">
        <f>ROUND(VLOOKUP(B$63&amp;"_2",管理者用人口入力シート!A:X,D84,FALSE),0)</f>
        <v>29</v>
      </c>
      <c r="D84" s="2">
        <v>23</v>
      </c>
      <c r="G84" s="2" t="s">
        <v>15</v>
      </c>
      <c r="H84" s="17">
        <f>ROUND(VLOOKUP(H$67&amp;"_1",管理者用人口入力シート!BH:CE,J84,FALSE),0)</f>
        <v>403</v>
      </c>
      <c r="I84" s="17">
        <f>ROUND(VLOOKUP(H$67&amp;"_2",管理者用人口入力シート!BH:CE,J84,FALSE),0)</f>
        <v>482</v>
      </c>
      <c r="J84" s="2">
        <v>19</v>
      </c>
      <c r="K84" s="12"/>
      <c r="N84" s="2" t="s">
        <v>15</v>
      </c>
      <c r="O84" s="17">
        <f>ROUND(VLOOKUP(O$67&amp;"_1",管理者用人口入力シート!CO:DL,Q84,FALSE),0)</f>
        <v>403</v>
      </c>
      <c r="P84" s="17">
        <f>ROUND(VLOOKUP(O$67&amp;"_2",管理者用人口入力シート!CO:DL,Q84,FALSE),0)</f>
        <v>482</v>
      </c>
      <c r="Q84" s="2">
        <v>19</v>
      </c>
      <c r="U84" s="85"/>
    </row>
    <row r="85" spans="1:21" x14ac:dyDescent="0.15">
      <c r="A85" s="2" t="s">
        <v>20</v>
      </c>
      <c r="B85" s="17">
        <f>ROUND(VLOOKUP(B$63&amp;"_1",管理者用人口入力シート!A:X,D85,FALSE),0)</f>
        <v>1</v>
      </c>
      <c r="C85" s="17">
        <f>ROUND(VLOOKUP(B$63&amp;"_2",管理者用人口入力シート!A:X,D85,FALSE),0)</f>
        <v>7</v>
      </c>
      <c r="D85" s="2">
        <v>24</v>
      </c>
      <c r="G85" s="2" t="s">
        <v>16</v>
      </c>
      <c r="H85" s="17">
        <f>ROUND(VLOOKUP(H$67&amp;"_1",管理者用人口入力シート!BH:CE,J85,FALSE),0)</f>
        <v>240</v>
      </c>
      <c r="I85" s="17">
        <f>ROUND(VLOOKUP(H$67&amp;"_2",管理者用人口入力シート!BH:CE,J85,FALSE),0)</f>
        <v>354</v>
      </c>
      <c r="J85" s="2">
        <v>20</v>
      </c>
      <c r="K85" s="12"/>
      <c r="N85" s="2" t="s">
        <v>16</v>
      </c>
      <c r="O85" s="17">
        <f>ROUND(VLOOKUP(O$67&amp;"_1",管理者用人口入力シート!CO:DL,Q85,FALSE),0)</f>
        <v>240</v>
      </c>
      <c r="P85" s="17">
        <f>ROUND(VLOOKUP(O$67&amp;"_2",管理者用人口入力シート!CO:DL,Q85,FALSE),0)</f>
        <v>354</v>
      </c>
      <c r="Q85" s="2">
        <v>20</v>
      </c>
      <c r="U85" s="85"/>
    </row>
    <row r="86" spans="1:21" x14ac:dyDescent="0.15">
      <c r="G86" s="2" t="s">
        <v>17</v>
      </c>
      <c r="H86" s="17">
        <f>ROUND(VLOOKUP(H$67&amp;"_1",管理者用人口入力シート!BH:CE,J86,FALSE),0)</f>
        <v>173</v>
      </c>
      <c r="I86" s="17">
        <f>ROUND(VLOOKUP(H$67&amp;"_2",管理者用人口入力シート!BH:CE,J86,FALSE),0)</f>
        <v>271</v>
      </c>
      <c r="J86" s="2">
        <v>21</v>
      </c>
      <c r="K86" s="12"/>
      <c r="N86" s="2" t="s">
        <v>17</v>
      </c>
      <c r="O86" s="17">
        <f>ROUND(VLOOKUP(O$67&amp;"_1",管理者用人口入力シート!CO:DL,Q86,FALSE),0)</f>
        <v>173</v>
      </c>
      <c r="P86" s="17">
        <f>ROUND(VLOOKUP(O$67&amp;"_2",管理者用人口入力シート!CO:DL,Q86,FALSE),0)</f>
        <v>271</v>
      </c>
      <c r="Q86" s="2">
        <v>21</v>
      </c>
      <c r="U86" s="85"/>
    </row>
    <row r="87" spans="1:21" x14ac:dyDescent="0.15">
      <c r="A87" s="2" t="s">
        <v>62</v>
      </c>
      <c r="B87" s="315">
        <f>管理者入力シート!B5</f>
        <v>2020</v>
      </c>
      <c r="C87" s="316"/>
      <c r="D87" s="2" t="s">
        <v>114</v>
      </c>
      <c r="G87" s="2" t="s">
        <v>18</v>
      </c>
      <c r="H87" s="17">
        <f>ROUND(VLOOKUP(H$67&amp;"_1",管理者用人口入力シート!BH:CE,J87,FALSE),0)</f>
        <v>77</v>
      </c>
      <c r="I87" s="17">
        <f>ROUND(VLOOKUP(H$67&amp;"_2",管理者用人口入力シート!BH:CE,J87,FALSE),0)</f>
        <v>180</v>
      </c>
      <c r="J87" s="2">
        <v>22</v>
      </c>
      <c r="K87" s="12"/>
      <c r="N87" s="2" t="s">
        <v>18</v>
      </c>
      <c r="O87" s="17">
        <f>ROUND(VLOOKUP(O$67&amp;"_1",管理者用人口入力シート!CO:DL,Q87,FALSE),0)</f>
        <v>77</v>
      </c>
      <c r="P87" s="17">
        <f>ROUND(VLOOKUP(O$67&amp;"_2",管理者用人口入力シート!CO:DL,Q87,FALSE),0)</f>
        <v>180</v>
      </c>
      <c r="Q87" s="2">
        <v>22</v>
      </c>
      <c r="U87" s="85"/>
    </row>
    <row r="88" spans="1:21" x14ac:dyDescent="0.15">
      <c r="A88" s="2" t="s">
        <v>115</v>
      </c>
      <c r="B88" s="18" t="s">
        <v>21</v>
      </c>
      <c r="C88" s="18" t="s">
        <v>22</v>
      </c>
      <c r="G88" s="2" t="s">
        <v>19</v>
      </c>
      <c r="H88" s="17">
        <f>ROUND(VLOOKUP(H$67&amp;"_1",管理者用人口入力シート!BH:CE,J88,FALSE),0)</f>
        <v>18</v>
      </c>
      <c r="I88" s="17">
        <f>ROUND(VLOOKUP(H$67&amp;"_2",管理者用人口入力シート!BH:CE,J88,FALSE),0)</f>
        <v>60</v>
      </c>
      <c r="J88" s="2">
        <v>23</v>
      </c>
      <c r="K88" s="12"/>
      <c r="N88" s="2" t="s">
        <v>19</v>
      </c>
      <c r="O88" s="17">
        <f>ROUND(VLOOKUP(O$67&amp;"_1",管理者用人口入力シート!CO:DL,Q88,FALSE),0)</f>
        <v>18</v>
      </c>
      <c r="P88" s="17">
        <f>ROUND(VLOOKUP(O$67&amp;"_2",管理者用人口入力シート!CO:DL,Q88,FALSE),0)</f>
        <v>60</v>
      </c>
      <c r="Q88" s="2">
        <v>23</v>
      </c>
      <c r="U88" s="85"/>
    </row>
    <row r="89" spans="1:21" x14ac:dyDescent="0.15">
      <c r="A89" s="2" t="s">
        <v>0</v>
      </c>
      <c r="B89" s="17">
        <f>ROUND(VLOOKUP(B$87&amp;"_1",管理者用人口入力シート!A:X,D89,FALSE),0)</f>
        <v>246</v>
      </c>
      <c r="C89" s="17">
        <f>ROUND(VLOOKUP(B$87&amp;"_2",管理者用人口入力シート!A:X,D89,FALSE),0)</f>
        <v>240</v>
      </c>
      <c r="D89" s="2">
        <v>4</v>
      </c>
      <c r="G89" s="2" t="s">
        <v>20</v>
      </c>
      <c r="H89" s="17">
        <f>ROUND(VLOOKUP(H$67&amp;"_1",管理者用人口入力シート!BH:CE,J89,FALSE),0)</f>
        <v>2</v>
      </c>
      <c r="I89" s="17">
        <f>ROUND(VLOOKUP(H$67&amp;"_2",管理者用人口入力シート!BH:CE,J89,FALSE),0)</f>
        <v>12</v>
      </c>
      <c r="J89" s="2">
        <v>24</v>
      </c>
      <c r="K89" s="12"/>
      <c r="N89" s="2" t="s">
        <v>20</v>
      </c>
      <c r="O89" s="17">
        <f>ROUND(VLOOKUP(O$67&amp;"_1",管理者用人口入力シート!CO:DL,Q89,FALSE),0)</f>
        <v>2</v>
      </c>
      <c r="P89" s="17">
        <f>ROUND(VLOOKUP(O$67&amp;"_2",管理者用人口入力シート!CO:DL,Q89,FALSE),0)</f>
        <v>12</v>
      </c>
      <c r="Q89" s="2">
        <v>24</v>
      </c>
      <c r="U89" s="85"/>
    </row>
    <row r="90" spans="1:21" x14ac:dyDescent="0.15">
      <c r="A90" s="2" t="s">
        <v>1</v>
      </c>
      <c r="B90" s="17">
        <f>ROUND(VLOOKUP(B$87&amp;"_1",管理者用人口入力シート!A:X,D90,FALSE),0)</f>
        <v>262</v>
      </c>
      <c r="C90" s="17">
        <f>ROUND(VLOOKUP(B$87&amp;"_2",管理者用人口入力シート!A:X,D90,FALSE),0)</f>
        <v>241</v>
      </c>
      <c r="D90" s="2">
        <v>5</v>
      </c>
    </row>
    <row r="91" spans="1:21" x14ac:dyDescent="0.15">
      <c r="A91" s="2" t="s">
        <v>2</v>
      </c>
      <c r="B91" s="17">
        <f>ROUND(VLOOKUP(B$87&amp;"_1",管理者用人口入力シート!A:X,D91,FALSE),0)</f>
        <v>259</v>
      </c>
      <c r="C91" s="17">
        <f>ROUND(VLOOKUP(B$87&amp;"_2",管理者用人口入力シート!A:X,D91,FALSE),0)</f>
        <v>257</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206</v>
      </c>
      <c r="C92" s="17">
        <f>ROUND(VLOOKUP(B$87&amp;"_2",管理者用人口入力シート!A:X,D92,FALSE),0)</f>
        <v>260</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164</v>
      </c>
      <c r="C93" s="17">
        <f>ROUND(VLOOKUP(B$87&amp;"_2",管理者用人口入力シート!A:X,D93,FALSE),0)</f>
        <v>213</v>
      </c>
      <c r="D93" s="2">
        <v>8</v>
      </c>
      <c r="G93" s="2" t="s">
        <v>0</v>
      </c>
      <c r="H93" s="17">
        <f>ROUND(VLOOKUP(H$91&amp;"_1",管理者用人口入力シート!BH:CE,J93,FALSE),0)</f>
        <v>196</v>
      </c>
      <c r="I93" s="17">
        <f>ROUND(VLOOKUP(H$91&amp;"_2",管理者用人口入力シート!BH:CE,J93,FALSE),0)</f>
        <v>191</v>
      </c>
      <c r="J93" s="2">
        <v>4</v>
      </c>
      <c r="K93" s="12"/>
      <c r="N93" s="2" t="s">
        <v>0</v>
      </c>
      <c r="O93" s="17">
        <f>ROUND(VLOOKUP(O$91&amp;"_1",管理者用人口入力シート!CO:DL,Q93,FALSE),0)</f>
        <v>198</v>
      </c>
      <c r="P93" s="17">
        <f>ROUND(VLOOKUP(O$91&amp;"_2",管理者用人口入力シート!CO:DL,Q93,FALSE),0)</f>
        <v>193</v>
      </c>
      <c r="Q93" s="2">
        <v>4</v>
      </c>
      <c r="T93" s="85"/>
    </row>
    <row r="94" spans="1:21" x14ac:dyDescent="0.15">
      <c r="A94" s="2" t="s">
        <v>5</v>
      </c>
      <c r="B94" s="17">
        <f>ROUND(VLOOKUP(B$87&amp;"_1",管理者用人口入力シート!A:X,D94,FALSE),0)</f>
        <v>281</v>
      </c>
      <c r="C94" s="17">
        <f>ROUND(VLOOKUP(B$87&amp;"_2",管理者用人口入力シート!A:X,D94,FALSE),0)</f>
        <v>244</v>
      </c>
      <c r="D94" s="2">
        <v>9</v>
      </c>
      <c r="G94" s="2" t="s">
        <v>1</v>
      </c>
      <c r="H94" s="17">
        <f>ROUND(VLOOKUP(H$91&amp;"_1",管理者用人口入力シート!BH:CE,J94,FALSE),0)</f>
        <v>207</v>
      </c>
      <c r="I94" s="17">
        <f>ROUND(VLOOKUP(H$91&amp;"_2",管理者用人口入力シート!BH:CE,J94,FALSE),0)</f>
        <v>199</v>
      </c>
      <c r="J94" s="2">
        <v>5</v>
      </c>
      <c r="K94" s="12"/>
      <c r="N94" s="2" t="s">
        <v>1</v>
      </c>
      <c r="O94" s="17">
        <f>ROUND(VLOOKUP(O$91&amp;"_1",管理者用人口入力シート!CO:DL,Q94,FALSE),0)</f>
        <v>208</v>
      </c>
      <c r="P94" s="17">
        <f>ROUND(VLOOKUP(O$91&amp;"_2",管理者用人口入力シート!CO:DL,Q94,FALSE),0)</f>
        <v>200</v>
      </c>
      <c r="Q94" s="2">
        <v>5</v>
      </c>
      <c r="T94" s="85"/>
    </row>
    <row r="95" spans="1:21" x14ac:dyDescent="0.15">
      <c r="A95" s="2" t="s">
        <v>6</v>
      </c>
      <c r="B95" s="17">
        <f>ROUND(VLOOKUP(B$87&amp;"_1",管理者用人口入力シート!A:X,D95,FALSE),0)</f>
        <v>290</v>
      </c>
      <c r="C95" s="17">
        <f>ROUND(VLOOKUP(B$87&amp;"_2",管理者用人口入力シート!A:X,D95,FALSE),0)</f>
        <v>281</v>
      </c>
      <c r="D95" s="2">
        <v>10</v>
      </c>
      <c r="G95" s="2" t="s">
        <v>2</v>
      </c>
      <c r="H95" s="17">
        <f>ROUND(VLOOKUP(H$91&amp;"_1",管理者用人口入力シート!BH:CE,J95,FALSE),0)</f>
        <v>247</v>
      </c>
      <c r="I95" s="17">
        <f>ROUND(VLOOKUP(H$91&amp;"_2",管理者用人口入力シート!BH:CE,J95,FALSE),0)</f>
        <v>227</v>
      </c>
      <c r="J95" s="2">
        <v>6</v>
      </c>
      <c r="K95" s="12"/>
      <c r="N95" s="2" t="s">
        <v>2</v>
      </c>
      <c r="O95" s="17">
        <f>ROUND(VLOOKUP(O$91&amp;"_1",管理者用人口入力シート!CO:DL,Q95,FALSE),0)</f>
        <v>248</v>
      </c>
      <c r="P95" s="17">
        <f>ROUND(VLOOKUP(O$91&amp;"_2",管理者用人口入力シート!CO:DL,Q95,FALSE),0)</f>
        <v>228</v>
      </c>
      <c r="Q95" s="2">
        <v>6</v>
      </c>
      <c r="T95" s="85"/>
    </row>
    <row r="96" spans="1:21" x14ac:dyDescent="0.15">
      <c r="A96" s="2" t="s">
        <v>7</v>
      </c>
      <c r="B96" s="17">
        <f>ROUND(VLOOKUP(B$87&amp;"_1",管理者用人口入力シート!A:X,D96,FALSE),0)</f>
        <v>311</v>
      </c>
      <c r="C96" s="17">
        <f>ROUND(VLOOKUP(B$87&amp;"_2",管理者用人口入力シート!A:X,D96,FALSE),0)</f>
        <v>349</v>
      </c>
      <c r="D96" s="2">
        <v>11</v>
      </c>
      <c r="G96" s="2" t="s">
        <v>3</v>
      </c>
      <c r="H96" s="17">
        <f>ROUND(VLOOKUP(H$91&amp;"_1",管理者用人口入力シート!BH:CE,J96,FALSE),0)</f>
        <v>214</v>
      </c>
      <c r="I96" s="17">
        <f>ROUND(VLOOKUP(H$91&amp;"_2",管理者用人口入力シート!BH:CE,J96,FALSE),0)</f>
        <v>241</v>
      </c>
      <c r="J96" s="2">
        <v>7</v>
      </c>
      <c r="K96" s="12"/>
      <c r="N96" s="2" t="s">
        <v>3</v>
      </c>
      <c r="O96" s="17">
        <f>ROUND(VLOOKUP(O$91&amp;"_1",管理者用人口入力シート!CO:DL,Q96,FALSE),0)</f>
        <v>215</v>
      </c>
      <c r="P96" s="17">
        <f>ROUND(VLOOKUP(O$91&amp;"_2",管理者用人口入力シート!CO:DL,Q96,FALSE),0)</f>
        <v>242</v>
      </c>
      <c r="Q96" s="2">
        <v>7</v>
      </c>
      <c r="T96" s="85"/>
    </row>
    <row r="97" spans="1:20" x14ac:dyDescent="0.15">
      <c r="A97" s="2" t="s">
        <v>8</v>
      </c>
      <c r="B97" s="17">
        <f>ROUND(VLOOKUP(B$87&amp;"_1",管理者用人口入力シート!A:X,D97,FALSE),0)</f>
        <v>334</v>
      </c>
      <c r="C97" s="17">
        <f>ROUND(VLOOKUP(B$87&amp;"_2",管理者用人口入力シート!A:X,D97,FALSE),0)</f>
        <v>342</v>
      </c>
      <c r="D97" s="2">
        <v>12</v>
      </c>
      <c r="G97" s="2" t="s">
        <v>4</v>
      </c>
      <c r="H97" s="17">
        <f>ROUND(VLOOKUP(H$91&amp;"_1",管理者用人口入力シート!BH:CE,J97,FALSE),0)</f>
        <v>153</v>
      </c>
      <c r="I97" s="17">
        <f>ROUND(VLOOKUP(H$91&amp;"_2",管理者用人口入力シート!BH:CE,J97,FALSE),0)</f>
        <v>216</v>
      </c>
      <c r="J97" s="2">
        <v>8</v>
      </c>
      <c r="K97" s="12"/>
      <c r="N97" s="2" t="s">
        <v>4</v>
      </c>
      <c r="O97" s="17">
        <f>ROUND(VLOOKUP(O$91&amp;"_1",管理者用人口入力シート!CO:DL,Q97,FALSE),0)</f>
        <v>153</v>
      </c>
      <c r="P97" s="17">
        <f>ROUND(VLOOKUP(O$91&amp;"_2",管理者用人口入力シート!CO:DL,Q97,FALSE),0)</f>
        <v>216</v>
      </c>
      <c r="Q97" s="2">
        <v>8</v>
      </c>
      <c r="T97" s="85"/>
    </row>
    <row r="98" spans="1:20" x14ac:dyDescent="0.15">
      <c r="A98" s="2" t="s">
        <v>9</v>
      </c>
      <c r="B98" s="17">
        <f>ROUND(VLOOKUP(B$87&amp;"_1",管理者用人口入力シート!A:X,D98,FALSE),0)</f>
        <v>407</v>
      </c>
      <c r="C98" s="17">
        <f>ROUND(VLOOKUP(B$87&amp;"_2",管理者用人口入力シート!A:X,D98,FALSE),0)</f>
        <v>398</v>
      </c>
      <c r="D98" s="2">
        <v>13</v>
      </c>
      <c r="G98" s="2" t="s">
        <v>5</v>
      </c>
      <c r="H98" s="17">
        <f>ROUND(VLOOKUP(H$91&amp;"_1",管理者用人口入力シート!BH:CE,J98,FALSE),0)</f>
        <v>216</v>
      </c>
      <c r="I98" s="17">
        <f>ROUND(VLOOKUP(H$91&amp;"_2",管理者用人口入力シート!BH:CE,J98,FALSE),0)</f>
        <v>209</v>
      </c>
      <c r="J98" s="2">
        <v>9</v>
      </c>
      <c r="K98" s="12"/>
      <c r="N98" s="2" t="s">
        <v>5</v>
      </c>
      <c r="O98" s="17">
        <f>ROUND(VLOOKUP(O$91&amp;"_1",管理者用人口入力シート!CO:DL,Q98,FALSE),0)</f>
        <v>218</v>
      </c>
      <c r="P98" s="17">
        <f>ROUND(VLOOKUP(O$91&amp;"_2",管理者用人口入力シート!CO:DL,Q98,FALSE),0)</f>
        <v>211</v>
      </c>
      <c r="Q98" s="2">
        <v>9</v>
      </c>
      <c r="T98" s="85"/>
    </row>
    <row r="99" spans="1:20" x14ac:dyDescent="0.15">
      <c r="A99" s="2" t="s">
        <v>10</v>
      </c>
      <c r="B99" s="17">
        <f>ROUND(VLOOKUP(B$87&amp;"_1",管理者用人口入力シート!A:X,D99,FALSE),0)</f>
        <v>342</v>
      </c>
      <c r="C99" s="17">
        <f>ROUND(VLOOKUP(B$87&amp;"_2",管理者用人口入力シート!A:X,D99,FALSE),0)</f>
        <v>370</v>
      </c>
      <c r="D99" s="2">
        <v>14</v>
      </c>
      <c r="G99" s="2" t="s">
        <v>6</v>
      </c>
      <c r="H99" s="17">
        <f>ROUND(VLOOKUP(H$91&amp;"_1",管理者用人口入力シート!BH:CE,J99,FALSE),0)</f>
        <v>227</v>
      </c>
      <c r="I99" s="17">
        <f>ROUND(VLOOKUP(H$91&amp;"_2",管理者用人口入力シート!BH:CE,J99,FALSE),0)</f>
        <v>212</v>
      </c>
      <c r="J99" s="2">
        <v>10</v>
      </c>
      <c r="K99" s="12"/>
      <c r="N99" s="2" t="s">
        <v>6</v>
      </c>
      <c r="O99" s="17">
        <f>ROUND(VLOOKUP(O$91&amp;"_1",管理者用人口入力シート!CO:DL,Q99,FALSE),0)</f>
        <v>229</v>
      </c>
      <c r="P99" s="17">
        <f>ROUND(VLOOKUP(O$91&amp;"_2",管理者用人口入力シート!CO:DL,Q99,FALSE),0)</f>
        <v>214</v>
      </c>
      <c r="Q99" s="2">
        <v>10</v>
      </c>
      <c r="T99" s="85"/>
    </row>
    <row r="100" spans="1:20" x14ac:dyDescent="0.15">
      <c r="A100" s="2" t="s">
        <v>11</v>
      </c>
      <c r="B100" s="17">
        <f>ROUND(VLOOKUP(B$87&amp;"_1",管理者用人口入力シート!A:X,D100,FALSE),0)</f>
        <v>330</v>
      </c>
      <c r="C100" s="17">
        <f>ROUND(VLOOKUP(B$87&amp;"_2",管理者用人口入力シート!A:X,D100,FALSE),0)</f>
        <v>373</v>
      </c>
      <c r="D100" s="2">
        <v>15</v>
      </c>
      <c r="G100" s="2" t="s">
        <v>7</v>
      </c>
      <c r="H100" s="17">
        <f>ROUND(VLOOKUP(H$91&amp;"_1",管理者用人口入力シート!BH:CE,J100,FALSE),0)</f>
        <v>264</v>
      </c>
      <c r="I100" s="17">
        <f>ROUND(VLOOKUP(H$91&amp;"_2",管理者用人口入力シート!BH:CE,J100,FALSE),0)</f>
        <v>232</v>
      </c>
      <c r="J100" s="2">
        <v>11</v>
      </c>
      <c r="K100" s="12"/>
      <c r="N100" s="2" t="s">
        <v>7</v>
      </c>
      <c r="O100" s="17">
        <f>ROUND(VLOOKUP(O$91&amp;"_1",管理者用人口入力シート!CO:DL,Q100,FALSE),0)</f>
        <v>264</v>
      </c>
      <c r="P100" s="17">
        <f>ROUND(VLOOKUP(O$91&amp;"_2",管理者用人口入力シート!CO:DL,Q100,FALSE),0)</f>
        <v>232</v>
      </c>
      <c r="Q100" s="2">
        <v>11</v>
      </c>
      <c r="T100" s="85"/>
    </row>
    <row r="101" spans="1:20" x14ac:dyDescent="0.15">
      <c r="A101" s="2" t="s">
        <v>12</v>
      </c>
      <c r="B101" s="17">
        <f>ROUND(VLOOKUP(B$87&amp;"_1",管理者用人口入力シート!A:X,D101,FALSE),0)</f>
        <v>376</v>
      </c>
      <c r="C101" s="17">
        <f>ROUND(VLOOKUP(B$87&amp;"_2",管理者用人口入力シート!A:X,D101,FALSE),0)</f>
        <v>401</v>
      </c>
      <c r="D101" s="2">
        <v>16</v>
      </c>
      <c r="G101" s="2" t="s">
        <v>8</v>
      </c>
      <c r="H101" s="17">
        <f>ROUND(VLOOKUP(H$91&amp;"_1",管理者用人口入力シート!BH:CE,J101,FALSE),0)</f>
        <v>281</v>
      </c>
      <c r="I101" s="17">
        <f>ROUND(VLOOKUP(H$91&amp;"_2",管理者用人口入力シート!BH:CE,J101,FALSE),0)</f>
        <v>272</v>
      </c>
      <c r="J101" s="2">
        <v>12</v>
      </c>
      <c r="K101" s="12"/>
      <c r="N101" s="2" t="s">
        <v>8</v>
      </c>
      <c r="O101" s="17">
        <f>ROUND(VLOOKUP(O$91&amp;"_1",管理者用人口入力シート!CO:DL,Q101,FALSE),0)</f>
        <v>281</v>
      </c>
      <c r="P101" s="17">
        <f>ROUND(VLOOKUP(O$91&amp;"_2",管理者用人口入力シート!CO:DL,Q101,FALSE),0)</f>
        <v>273</v>
      </c>
      <c r="Q101" s="2">
        <v>12</v>
      </c>
      <c r="T101" s="85"/>
    </row>
    <row r="102" spans="1:20" x14ac:dyDescent="0.15">
      <c r="A102" s="2" t="s">
        <v>13</v>
      </c>
      <c r="B102" s="17">
        <f>ROUND(VLOOKUP(B$87&amp;"_1",管理者用人口入力シート!A:X,D102,FALSE),0)</f>
        <v>377</v>
      </c>
      <c r="C102" s="17">
        <f>ROUND(VLOOKUP(B$87&amp;"_2",管理者用人口入力シート!A:X,D102,FALSE),0)</f>
        <v>464</v>
      </c>
      <c r="D102" s="2">
        <v>17</v>
      </c>
      <c r="G102" s="2" t="s">
        <v>9</v>
      </c>
      <c r="H102" s="17">
        <f>ROUND(VLOOKUP(H$91&amp;"_1",管理者用人口入力シート!BH:CE,J102,FALSE),0)</f>
        <v>311</v>
      </c>
      <c r="I102" s="17">
        <f>ROUND(VLOOKUP(H$91&amp;"_2",管理者用人口入力シート!BH:CE,J102,FALSE),0)</f>
        <v>373</v>
      </c>
      <c r="J102" s="2">
        <v>13</v>
      </c>
      <c r="K102" s="12"/>
      <c r="N102" s="2" t="s">
        <v>9</v>
      </c>
      <c r="O102" s="17">
        <f>ROUND(VLOOKUP(O$91&amp;"_1",管理者用人口入力シート!CO:DL,Q102,FALSE),0)</f>
        <v>311</v>
      </c>
      <c r="P102" s="17">
        <f>ROUND(VLOOKUP(O$91&amp;"_2",管理者用人口入力シート!CO:DL,Q102,FALSE),0)</f>
        <v>374</v>
      </c>
      <c r="Q102" s="2">
        <v>13</v>
      </c>
      <c r="T102" s="85"/>
    </row>
    <row r="103" spans="1:20" x14ac:dyDescent="0.15">
      <c r="A103" s="2" t="s">
        <v>14</v>
      </c>
      <c r="B103" s="17">
        <f>ROUND(VLOOKUP(B$87&amp;"_1",管理者用人口入力シート!A:X,D103,FALSE),0)</f>
        <v>467</v>
      </c>
      <c r="C103" s="17">
        <f>ROUND(VLOOKUP(B$87&amp;"_2",管理者用人口入力シート!A:X,D103,FALSE),0)</f>
        <v>535</v>
      </c>
      <c r="D103" s="2">
        <v>18</v>
      </c>
      <c r="G103" s="2" t="s">
        <v>10</v>
      </c>
      <c r="H103" s="17">
        <f>ROUND(VLOOKUP(H$91&amp;"_1",管理者用人口入力シート!BH:CE,J103,FALSE),0)</f>
        <v>340</v>
      </c>
      <c r="I103" s="17">
        <f>ROUND(VLOOKUP(H$91&amp;"_2",管理者用人口入力シート!BH:CE,J103,FALSE),0)</f>
        <v>346</v>
      </c>
      <c r="J103" s="2">
        <v>14</v>
      </c>
      <c r="K103" s="12"/>
      <c r="N103" s="2" t="s">
        <v>10</v>
      </c>
      <c r="O103" s="17">
        <f>ROUND(VLOOKUP(O$91&amp;"_1",管理者用人口入力シート!CO:DL,Q103,FALSE),0)</f>
        <v>340</v>
      </c>
      <c r="P103" s="17">
        <f>ROUND(VLOOKUP(O$91&amp;"_2",管理者用人口入力シート!CO:DL,Q103,FALSE),0)</f>
        <v>346</v>
      </c>
      <c r="Q103" s="2">
        <v>14</v>
      </c>
      <c r="T103" s="85"/>
    </row>
    <row r="104" spans="1:20" x14ac:dyDescent="0.15">
      <c r="A104" s="2" t="s">
        <v>15</v>
      </c>
      <c r="B104" s="17">
        <f>ROUND(VLOOKUP(B$87&amp;"_1",管理者用人口入力シート!A:X,D104,FALSE),0)</f>
        <v>306</v>
      </c>
      <c r="C104" s="17">
        <f>ROUND(VLOOKUP(B$87&amp;"_2",管理者用人口入力シート!A:X,D104,FALSE),0)</f>
        <v>415</v>
      </c>
      <c r="D104" s="2">
        <v>19</v>
      </c>
      <c r="G104" s="2" t="s">
        <v>11</v>
      </c>
      <c r="H104" s="17">
        <f>ROUND(VLOOKUP(H$91&amp;"_1",管理者用人口入力シート!BH:CE,J104,FALSE),0)</f>
        <v>410</v>
      </c>
      <c r="I104" s="17">
        <f>ROUND(VLOOKUP(H$91&amp;"_2",管理者用人口入力シート!BH:CE,J104,FALSE),0)</f>
        <v>401</v>
      </c>
      <c r="J104" s="2">
        <v>15</v>
      </c>
      <c r="K104" s="12"/>
      <c r="N104" s="2" t="s">
        <v>11</v>
      </c>
      <c r="O104" s="17">
        <f>ROUND(VLOOKUP(O$91&amp;"_1",管理者用人口入力シート!CO:DL,Q104,FALSE),0)</f>
        <v>410</v>
      </c>
      <c r="P104" s="17">
        <f>ROUND(VLOOKUP(O$91&amp;"_2",管理者用人口入力シート!CO:DL,Q104,FALSE),0)</f>
        <v>401</v>
      </c>
      <c r="Q104" s="2">
        <v>15</v>
      </c>
      <c r="T104" s="85"/>
    </row>
    <row r="105" spans="1:20" x14ac:dyDescent="0.15">
      <c r="A105" s="2" t="s">
        <v>16</v>
      </c>
      <c r="B105" s="17">
        <f>ROUND(VLOOKUP(B$87&amp;"_1",管理者用人口入力シート!A:X,D105,FALSE),0)</f>
        <v>278</v>
      </c>
      <c r="C105" s="17">
        <f>ROUND(VLOOKUP(B$87&amp;"_2",管理者用人口入力シート!A:X,D105,FALSE),0)</f>
        <v>362</v>
      </c>
      <c r="D105" s="2">
        <v>20</v>
      </c>
      <c r="G105" s="2" t="s">
        <v>12</v>
      </c>
      <c r="H105" s="17">
        <f>ROUND(VLOOKUP(H$91&amp;"_1",管理者用人口入力シート!BH:CE,J105,FALSE),0)</f>
        <v>332</v>
      </c>
      <c r="I105" s="17">
        <f>ROUND(VLOOKUP(H$91&amp;"_2",管理者用人口入力シート!BH:CE,J105,FALSE),0)</f>
        <v>366</v>
      </c>
      <c r="J105" s="2">
        <v>16</v>
      </c>
      <c r="K105" s="12"/>
      <c r="N105" s="2" t="s">
        <v>12</v>
      </c>
      <c r="O105" s="17">
        <f>ROUND(VLOOKUP(O$91&amp;"_1",管理者用人口入力シート!CO:DL,Q105,FALSE),0)</f>
        <v>332</v>
      </c>
      <c r="P105" s="17">
        <f>ROUND(VLOOKUP(O$91&amp;"_2",管理者用人口入力シート!CO:DL,Q105,FALSE),0)</f>
        <v>366</v>
      </c>
      <c r="Q105" s="2">
        <v>16</v>
      </c>
      <c r="T105" s="85"/>
    </row>
    <row r="106" spans="1:20" x14ac:dyDescent="0.15">
      <c r="A106" s="2" t="s">
        <v>17</v>
      </c>
      <c r="B106" s="17">
        <f>ROUND(VLOOKUP(B$87&amp;"_1",管理者用人口入力シート!A:X,D106,FALSE),0)</f>
        <v>152</v>
      </c>
      <c r="C106" s="17">
        <f>ROUND(VLOOKUP(B$87&amp;"_2",管理者用人口入力シート!A:X,D106,FALSE),0)</f>
        <v>325</v>
      </c>
      <c r="D106" s="2">
        <v>21</v>
      </c>
      <c r="G106" s="2" t="s">
        <v>13</v>
      </c>
      <c r="H106" s="17">
        <f>ROUND(VLOOKUP(H$91&amp;"_1",管理者用人口入力シート!BH:CE,J106,FALSE),0)</f>
        <v>297</v>
      </c>
      <c r="I106" s="17">
        <f>ROUND(VLOOKUP(H$91&amp;"_2",管理者用人口入力シート!BH:CE,J106,FALSE),0)</f>
        <v>351</v>
      </c>
      <c r="J106" s="2">
        <v>17</v>
      </c>
      <c r="K106" s="12"/>
      <c r="N106" s="2" t="s">
        <v>13</v>
      </c>
      <c r="O106" s="17">
        <f>ROUND(VLOOKUP(O$91&amp;"_1",管理者用人口入力シート!CO:DL,Q106,FALSE),0)</f>
        <v>297</v>
      </c>
      <c r="P106" s="17">
        <f>ROUND(VLOOKUP(O$91&amp;"_2",管理者用人口入力シート!CO:DL,Q106,FALSE),0)</f>
        <v>351</v>
      </c>
      <c r="Q106" s="2">
        <v>17</v>
      </c>
      <c r="T106" s="85"/>
    </row>
    <row r="107" spans="1:20" x14ac:dyDescent="0.15">
      <c r="A107" s="2" t="s">
        <v>18</v>
      </c>
      <c r="B107" s="17">
        <f>ROUND(VLOOKUP(B$87&amp;"_1",管理者用人口入力シート!A:X,D107,FALSE),0)</f>
        <v>76</v>
      </c>
      <c r="C107" s="17">
        <f>ROUND(VLOOKUP(B$87&amp;"_2",管理者用人口入力シート!A:X,D107,FALSE),0)</f>
        <v>185</v>
      </c>
      <c r="D107" s="2">
        <v>22</v>
      </c>
      <c r="G107" s="2" t="s">
        <v>14</v>
      </c>
      <c r="H107" s="17">
        <f>ROUND(VLOOKUP(H$91&amp;"_1",管理者用人口入力シート!BH:CE,J107,FALSE),0)</f>
        <v>310</v>
      </c>
      <c r="I107" s="17">
        <f>ROUND(VLOOKUP(H$91&amp;"_2",管理者用人口入力シート!BH:CE,J107,FALSE),0)</f>
        <v>389</v>
      </c>
      <c r="J107" s="2">
        <v>18</v>
      </c>
      <c r="K107" s="12"/>
      <c r="N107" s="2" t="s">
        <v>14</v>
      </c>
      <c r="O107" s="17">
        <f>ROUND(VLOOKUP(O$91&amp;"_1",管理者用人口入力シート!CO:DL,Q107,FALSE),0)</f>
        <v>310</v>
      </c>
      <c r="P107" s="17">
        <f>ROUND(VLOOKUP(O$91&amp;"_2",管理者用人口入力シート!CO:DL,Q107,FALSE),0)</f>
        <v>389</v>
      </c>
      <c r="Q107" s="2">
        <v>18</v>
      </c>
      <c r="T107" s="85"/>
    </row>
    <row r="108" spans="1:20" x14ac:dyDescent="0.15">
      <c r="A108" s="2" t="s">
        <v>19</v>
      </c>
      <c r="B108" s="17">
        <f>ROUND(VLOOKUP(B$87&amp;"_1",管理者用人口入力シート!A:X,D108,FALSE),0)</f>
        <v>10</v>
      </c>
      <c r="C108" s="17">
        <f>ROUND(VLOOKUP(B$87&amp;"_2",管理者用人口入力シート!A:X,D108,FALSE),0)</f>
        <v>57</v>
      </c>
      <c r="D108" s="2">
        <v>23</v>
      </c>
      <c r="G108" s="2" t="s">
        <v>15</v>
      </c>
      <c r="H108" s="17">
        <f>ROUND(VLOOKUP(H$91&amp;"_1",管理者用人口入力シート!BH:CE,J108,FALSE),0)</f>
        <v>295</v>
      </c>
      <c r="I108" s="17">
        <f>ROUND(VLOOKUP(H$91&amp;"_2",管理者用人口入力シート!BH:CE,J108,FALSE),0)</f>
        <v>414</v>
      </c>
      <c r="J108" s="2">
        <v>19</v>
      </c>
      <c r="K108" s="12"/>
      <c r="N108" s="2" t="s">
        <v>15</v>
      </c>
      <c r="O108" s="17">
        <f>ROUND(VLOOKUP(O$91&amp;"_1",管理者用人口入力シート!CO:DL,Q108,FALSE),0)</f>
        <v>295</v>
      </c>
      <c r="P108" s="17">
        <f>ROUND(VLOOKUP(O$91&amp;"_2",管理者用人口入力シート!CO:DL,Q108,FALSE),0)</f>
        <v>414</v>
      </c>
      <c r="Q108" s="2">
        <v>19</v>
      </c>
      <c r="T108" s="85"/>
    </row>
    <row r="109" spans="1:20" x14ac:dyDescent="0.15">
      <c r="A109" s="2" t="s">
        <v>20</v>
      </c>
      <c r="B109" s="17">
        <f>ROUND(VLOOKUP(B$87&amp;"_1",管理者用人口入力シート!A:X,D109,FALSE),0)</f>
        <v>2</v>
      </c>
      <c r="C109" s="17">
        <f>ROUND(VLOOKUP(B$87&amp;"_2",管理者用人口入力シート!A:X,D109,FALSE),0)</f>
        <v>6</v>
      </c>
      <c r="D109" s="2">
        <v>24</v>
      </c>
      <c r="G109" s="2" t="s">
        <v>16</v>
      </c>
      <c r="H109" s="17">
        <f>ROUND(VLOOKUP(H$91&amp;"_1",管理者用人口入力シート!BH:CE,J109,FALSE),0)</f>
        <v>317</v>
      </c>
      <c r="I109" s="17">
        <f>ROUND(VLOOKUP(H$91&amp;"_2",管理者用人口入力シート!BH:CE,J109,FALSE),0)</f>
        <v>411</v>
      </c>
      <c r="J109" s="2">
        <v>20</v>
      </c>
      <c r="K109" s="12"/>
      <c r="N109" s="2" t="s">
        <v>16</v>
      </c>
      <c r="O109" s="17">
        <f>ROUND(VLOOKUP(O$91&amp;"_1",管理者用人口入力シート!CO:DL,Q109,FALSE),0)</f>
        <v>317</v>
      </c>
      <c r="P109" s="17">
        <f>ROUND(VLOOKUP(O$91&amp;"_2",管理者用人口入力シート!CO:DL,Q109,FALSE),0)</f>
        <v>411</v>
      </c>
      <c r="Q109" s="2">
        <v>20</v>
      </c>
      <c r="T109" s="85"/>
    </row>
    <row r="110" spans="1:20" x14ac:dyDescent="0.15">
      <c r="G110" s="2" t="s">
        <v>17</v>
      </c>
      <c r="H110" s="17">
        <f>ROUND(VLOOKUP(H$91&amp;"_1",管理者用人口入力シート!BH:CE,J110,FALSE),0)</f>
        <v>149</v>
      </c>
      <c r="I110" s="17">
        <f>ROUND(VLOOKUP(H$91&amp;"_2",管理者用人口入力シート!BH:CE,J110,FALSE),0)</f>
        <v>265</v>
      </c>
      <c r="J110" s="2">
        <v>21</v>
      </c>
      <c r="K110" s="12"/>
      <c r="N110" s="2" t="s">
        <v>17</v>
      </c>
      <c r="O110" s="17">
        <f>ROUND(VLOOKUP(O$91&amp;"_1",管理者用人口入力シート!CO:DL,Q110,FALSE),0)</f>
        <v>149</v>
      </c>
      <c r="P110" s="17">
        <f>ROUND(VLOOKUP(O$91&amp;"_2",管理者用人口入力シート!CO:DL,Q110,FALSE),0)</f>
        <v>265</v>
      </c>
      <c r="Q110" s="2">
        <v>21</v>
      </c>
      <c r="T110" s="85"/>
    </row>
    <row r="111" spans="1:20" x14ac:dyDescent="0.15">
      <c r="G111" s="2" t="s">
        <v>18</v>
      </c>
      <c r="H111" s="17">
        <f>ROUND(VLOOKUP(H$91&amp;"_1",管理者用人口入力シート!BH:CE,J111,FALSE),0)</f>
        <v>88</v>
      </c>
      <c r="I111" s="17">
        <f>ROUND(VLOOKUP(H$91&amp;"_2",管理者用人口入力シート!BH:CE,J111,FALSE),0)</f>
        <v>150</v>
      </c>
      <c r="J111" s="2">
        <v>22</v>
      </c>
      <c r="K111" s="12"/>
      <c r="N111" s="2" t="s">
        <v>18</v>
      </c>
      <c r="O111" s="17">
        <f>ROUND(VLOOKUP(O$91&amp;"_1",管理者用人口入力シート!CO:DL,Q111,FALSE),0)</f>
        <v>88</v>
      </c>
      <c r="P111" s="17">
        <f>ROUND(VLOOKUP(O$91&amp;"_2",管理者用人口入力シート!CO:DL,Q111,FALSE),0)</f>
        <v>150</v>
      </c>
      <c r="Q111" s="2">
        <v>22</v>
      </c>
      <c r="T111" s="85"/>
    </row>
    <row r="112" spans="1:20" x14ac:dyDescent="0.15">
      <c r="G112" s="2" t="s">
        <v>19</v>
      </c>
      <c r="H112" s="17">
        <f>ROUND(VLOOKUP(H$91&amp;"_1",管理者用人口入力シート!BH:CE,J112,FALSE),0)</f>
        <v>18</v>
      </c>
      <c r="I112" s="17">
        <f>ROUND(VLOOKUP(H$91&amp;"_2",管理者用人口入力シート!BH:CE,J112,FALSE),0)</f>
        <v>58</v>
      </c>
      <c r="J112" s="2">
        <v>23</v>
      </c>
      <c r="K112" s="12"/>
      <c r="N112" s="2" t="s">
        <v>19</v>
      </c>
      <c r="O112" s="17">
        <f>ROUND(VLOOKUP(O$91&amp;"_1",管理者用人口入力シート!CO:DL,Q112,FALSE),0)</f>
        <v>18</v>
      </c>
      <c r="P112" s="17">
        <f>ROUND(VLOOKUP(O$91&amp;"_2",管理者用人口入力シート!CO:DL,Q112,FALSE),0)</f>
        <v>58</v>
      </c>
      <c r="Q112" s="2">
        <v>23</v>
      </c>
      <c r="T112" s="85"/>
    </row>
    <row r="113" spans="7:20" x14ac:dyDescent="0.15">
      <c r="G113" s="2" t="s">
        <v>20</v>
      </c>
      <c r="H113" s="17">
        <f>ROUND(VLOOKUP(H$91&amp;"_1",管理者用人口入力シート!BH:CE,J113,FALSE),0)</f>
        <v>4</v>
      </c>
      <c r="I113" s="17">
        <f>ROUND(VLOOKUP(H$91&amp;"_2",管理者用人口入力シート!BH:CE,J113,FALSE),0)</f>
        <v>12</v>
      </c>
      <c r="J113" s="2">
        <v>24</v>
      </c>
      <c r="K113" s="12"/>
      <c r="N113" s="2" t="s">
        <v>20</v>
      </c>
      <c r="O113" s="17">
        <f>ROUND(VLOOKUP(O$91&amp;"_1",管理者用人口入力シート!CO:DL,Q113,FALSE),0)</f>
        <v>4</v>
      </c>
      <c r="P113" s="17">
        <f>ROUND(VLOOKUP(O$91&amp;"_2",管理者用人口入力シート!CO:DL,Q113,FALSE),0)</f>
        <v>12</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185</v>
      </c>
      <c r="I117" s="17">
        <f>ROUND(VLOOKUP(H$115&amp;"_2",管理者用人口入力シート!BH:CE,J117,FALSE),0)</f>
        <v>180</v>
      </c>
      <c r="J117" s="2">
        <v>4</v>
      </c>
      <c r="N117" s="2" t="s">
        <v>0</v>
      </c>
      <c r="O117" s="17">
        <f>ROUND(VLOOKUP(O$115&amp;"_1",管理者用人口入力シート!CO:DL,Q117,FALSE),0)</f>
        <v>188</v>
      </c>
      <c r="P117" s="17">
        <f>ROUND(VLOOKUP(O$115&amp;"_2",管理者用人口入力シート!CO:DL,Q117,FALSE),0)</f>
        <v>183</v>
      </c>
      <c r="Q117" s="2">
        <v>4</v>
      </c>
      <c r="T117" s="85"/>
    </row>
    <row r="118" spans="7:20" x14ac:dyDescent="0.15">
      <c r="G118" s="2" t="s">
        <v>1</v>
      </c>
      <c r="H118" s="17">
        <f>ROUND(VLOOKUP(H$115&amp;"_1",管理者用人口入力シート!BH:CE,J118,FALSE),0)</f>
        <v>193</v>
      </c>
      <c r="I118" s="17">
        <f>ROUND(VLOOKUP(H$115&amp;"_2",管理者用人口入力シート!BH:CE,J118,FALSE),0)</f>
        <v>185</v>
      </c>
      <c r="J118" s="2">
        <v>5</v>
      </c>
      <c r="N118" s="2" t="s">
        <v>1</v>
      </c>
      <c r="O118" s="17">
        <f>ROUND(VLOOKUP(O$115&amp;"_1",管理者用人口入力シート!CO:DL,Q118,FALSE),0)</f>
        <v>195</v>
      </c>
      <c r="P118" s="17">
        <f>ROUND(VLOOKUP(O$115&amp;"_2",管理者用人口入力シート!CO:DL,Q118,FALSE),0)</f>
        <v>187</v>
      </c>
      <c r="Q118" s="2">
        <v>5</v>
      </c>
      <c r="T118" s="85"/>
    </row>
    <row r="119" spans="7:20" x14ac:dyDescent="0.15">
      <c r="G119" s="2" t="s">
        <v>2</v>
      </c>
      <c r="H119" s="17">
        <f>ROUND(VLOOKUP(H$115&amp;"_1",管理者用人口入力シート!BH:CE,J119,FALSE),0)</f>
        <v>212</v>
      </c>
      <c r="I119" s="17">
        <f>ROUND(VLOOKUP(H$115&amp;"_2",管理者用人口入力シート!BH:CE,J119,FALSE),0)</f>
        <v>194</v>
      </c>
      <c r="J119" s="2">
        <v>6</v>
      </c>
      <c r="N119" s="2" t="s">
        <v>2</v>
      </c>
      <c r="O119" s="17">
        <f>ROUND(VLOOKUP(O$115&amp;"_1",管理者用人口入力シート!CO:DL,Q119,FALSE),0)</f>
        <v>214</v>
      </c>
      <c r="P119" s="17">
        <f>ROUND(VLOOKUP(O$115&amp;"_2",管理者用人口入力シート!CO:DL,Q119,FALSE),0)</f>
        <v>196</v>
      </c>
      <c r="Q119" s="2">
        <v>6</v>
      </c>
      <c r="T119" s="85"/>
    </row>
    <row r="120" spans="7:20" x14ac:dyDescent="0.15">
      <c r="G120" s="2" t="s">
        <v>3</v>
      </c>
      <c r="H120" s="17">
        <f>ROUND(VLOOKUP(H$115&amp;"_1",管理者用人口入力シート!BH:CE,J120,FALSE),0)</f>
        <v>198</v>
      </c>
      <c r="I120" s="17">
        <f>ROUND(VLOOKUP(H$115&amp;"_2",管理者用人口入力シート!BH:CE,J120,FALSE),0)</f>
        <v>232</v>
      </c>
      <c r="J120" s="2">
        <v>7</v>
      </c>
      <c r="N120" s="2" t="s">
        <v>3</v>
      </c>
      <c r="O120" s="17">
        <f>ROUND(VLOOKUP(O$115&amp;"_1",管理者用人口入力シート!CO:DL,Q120,FALSE),0)</f>
        <v>199</v>
      </c>
      <c r="P120" s="17">
        <f>ROUND(VLOOKUP(O$115&amp;"_2",管理者用人口入力シート!CO:DL,Q120,FALSE),0)</f>
        <v>233</v>
      </c>
      <c r="Q120" s="2">
        <v>7</v>
      </c>
      <c r="T120" s="85"/>
    </row>
    <row r="121" spans="7:20" x14ac:dyDescent="0.15">
      <c r="G121" s="2" t="s">
        <v>4</v>
      </c>
      <c r="H121" s="17">
        <f>ROUND(VLOOKUP(H$115&amp;"_1",管理者用人口入力シート!BH:CE,J121,FALSE),0)</f>
        <v>158</v>
      </c>
      <c r="I121" s="17">
        <f>ROUND(VLOOKUP(H$115&amp;"_2",管理者用人口入力シート!BH:CE,J121,FALSE),0)</f>
        <v>198</v>
      </c>
      <c r="J121" s="2">
        <v>8</v>
      </c>
      <c r="N121" s="2" t="s">
        <v>4</v>
      </c>
      <c r="O121" s="17">
        <f>ROUND(VLOOKUP(O$115&amp;"_1",管理者用人口入力シート!CO:DL,Q121,FALSE),0)</f>
        <v>159</v>
      </c>
      <c r="P121" s="17">
        <f>ROUND(VLOOKUP(O$115&amp;"_2",管理者用人口入力シート!CO:DL,Q121,FALSE),0)</f>
        <v>198</v>
      </c>
      <c r="Q121" s="2">
        <v>8</v>
      </c>
      <c r="T121" s="85"/>
    </row>
    <row r="122" spans="7:20" x14ac:dyDescent="0.15">
      <c r="G122" s="2" t="s">
        <v>5</v>
      </c>
      <c r="H122" s="17">
        <f>ROUND(VLOOKUP(H$115&amp;"_1",管理者用人口入力シート!BH:CE,J122,FALSE),0)</f>
        <v>218</v>
      </c>
      <c r="I122" s="17">
        <f>ROUND(VLOOKUP(H$115&amp;"_2",管理者用人口入力シート!BH:CE,J122,FALSE),0)</f>
        <v>211</v>
      </c>
      <c r="J122" s="2">
        <v>9</v>
      </c>
      <c r="N122" s="2" t="s">
        <v>5</v>
      </c>
      <c r="O122" s="17">
        <f>ROUND(VLOOKUP(O$115&amp;"_1",管理者用人口入力シート!CO:DL,Q122,FALSE),0)</f>
        <v>220</v>
      </c>
      <c r="P122" s="17">
        <f>ROUND(VLOOKUP(O$115&amp;"_2",管理者用人口入力シート!CO:DL,Q122,FALSE),0)</f>
        <v>213</v>
      </c>
      <c r="Q122" s="2">
        <v>9</v>
      </c>
      <c r="T122" s="85"/>
    </row>
    <row r="123" spans="7:20" x14ac:dyDescent="0.15">
      <c r="G123" s="2" t="s">
        <v>6</v>
      </c>
      <c r="H123" s="17">
        <f>ROUND(VLOOKUP(H$115&amp;"_1",管理者用人口入力シート!BH:CE,J123,FALSE),0)</f>
        <v>211</v>
      </c>
      <c r="I123" s="17">
        <f>ROUND(VLOOKUP(H$115&amp;"_2",管理者用人口入力シート!BH:CE,J123,FALSE),0)</f>
        <v>213</v>
      </c>
      <c r="J123" s="2">
        <v>10</v>
      </c>
      <c r="N123" s="2" t="s">
        <v>6</v>
      </c>
      <c r="O123" s="17">
        <f>ROUND(VLOOKUP(O$115&amp;"_1",管理者用人口入力シート!CO:DL,Q123,FALSE),0)</f>
        <v>213</v>
      </c>
      <c r="P123" s="17">
        <f>ROUND(VLOOKUP(O$115&amp;"_2",管理者用人口入力シート!CO:DL,Q123,FALSE),0)</f>
        <v>215</v>
      </c>
      <c r="Q123" s="2">
        <v>10</v>
      </c>
      <c r="T123" s="85"/>
    </row>
    <row r="124" spans="7:20" x14ac:dyDescent="0.15">
      <c r="G124" s="2" t="s">
        <v>7</v>
      </c>
      <c r="H124" s="17">
        <f>ROUND(VLOOKUP(H$115&amp;"_1",管理者用人口入力シート!BH:CE,J124,FALSE),0)</f>
        <v>219</v>
      </c>
      <c r="I124" s="17">
        <f>ROUND(VLOOKUP(H$115&amp;"_2",管理者用人口入力シート!BH:CE,J124,FALSE),0)</f>
        <v>198</v>
      </c>
      <c r="J124" s="2">
        <v>11</v>
      </c>
      <c r="N124" s="2" t="s">
        <v>7</v>
      </c>
      <c r="O124" s="17">
        <f>ROUND(VLOOKUP(O$115&amp;"_1",管理者用人口入力シート!CO:DL,Q124,FALSE),0)</f>
        <v>221</v>
      </c>
      <c r="P124" s="17">
        <f>ROUND(VLOOKUP(O$115&amp;"_2",管理者用人口入力シート!CO:DL,Q124,FALSE),0)</f>
        <v>200</v>
      </c>
      <c r="Q124" s="2">
        <v>11</v>
      </c>
      <c r="T124" s="85"/>
    </row>
    <row r="125" spans="7:20" x14ac:dyDescent="0.15">
      <c r="G125" s="2" t="s">
        <v>8</v>
      </c>
      <c r="H125" s="17">
        <f>ROUND(VLOOKUP(H$115&amp;"_1",管理者用人口入力シート!BH:CE,J125,FALSE),0)</f>
        <v>266</v>
      </c>
      <c r="I125" s="17">
        <f>ROUND(VLOOKUP(H$115&amp;"_2",管理者用人口入力シート!BH:CE,J125,FALSE),0)</f>
        <v>241</v>
      </c>
      <c r="J125" s="2">
        <v>12</v>
      </c>
      <c r="N125" s="2" t="s">
        <v>8</v>
      </c>
      <c r="O125" s="17">
        <f>ROUND(VLOOKUP(O$115&amp;"_1",管理者用人口入力シート!CO:DL,Q125,FALSE),0)</f>
        <v>266</v>
      </c>
      <c r="P125" s="17">
        <f>ROUND(VLOOKUP(O$115&amp;"_2",管理者用人口入力シート!CO:DL,Q125,FALSE),0)</f>
        <v>242</v>
      </c>
      <c r="Q125" s="2">
        <v>12</v>
      </c>
      <c r="T125" s="85"/>
    </row>
    <row r="126" spans="7:20" x14ac:dyDescent="0.15">
      <c r="G126" s="2" t="s">
        <v>9</v>
      </c>
      <c r="H126" s="17">
        <f>ROUND(VLOOKUP(H$115&amp;"_1",管理者用人口入力シート!BH:CE,J126,FALSE),0)</f>
        <v>280</v>
      </c>
      <c r="I126" s="17">
        <f>ROUND(VLOOKUP(H$115&amp;"_2",管理者用人口入力シート!BH:CE,J126,FALSE),0)</f>
        <v>280</v>
      </c>
      <c r="J126" s="2">
        <v>13</v>
      </c>
      <c r="N126" s="2" t="s">
        <v>9</v>
      </c>
      <c r="O126" s="17">
        <f>ROUND(VLOOKUP(O$115&amp;"_1",管理者用人口入力シート!CO:DL,Q126,FALSE),0)</f>
        <v>280</v>
      </c>
      <c r="P126" s="17">
        <f>ROUND(VLOOKUP(O$115&amp;"_2",管理者用人口入力シート!CO:DL,Q126,FALSE),0)</f>
        <v>281</v>
      </c>
      <c r="Q126" s="2">
        <v>13</v>
      </c>
      <c r="T126" s="85"/>
    </row>
    <row r="127" spans="7:20" x14ac:dyDescent="0.15">
      <c r="G127" s="2" t="s">
        <v>10</v>
      </c>
      <c r="H127" s="17">
        <f>ROUND(VLOOKUP(H$115&amp;"_1",管理者用人口入力シート!BH:CE,J127,FALSE),0)</f>
        <v>318</v>
      </c>
      <c r="I127" s="17">
        <f>ROUND(VLOOKUP(H$115&amp;"_2",管理者用人口入力シート!BH:CE,J127,FALSE),0)</f>
        <v>366</v>
      </c>
      <c r="J127" s="2">
        <v>14</v>
      </c>
      <c r="N127" s="2" t="s">
        <v>10</v>
      </c>
      <c r="O127" s="17">
        <f>ROUND(VLOOKUP(O$115&amp;"_1",管理者用人口入力シート!CO:DL,Q127,FALSE),0)</f>
        <v>318</v>
      </c>
      <c r="P127" s="17">
        <f>ROUND(VLOOKUP(O$115&amp;"_2",管理者用人口入力シート!CO:DL,Q127,FALSE),0)</f>
        <v>367</v>
      </c>
      <c r="Q127" s="2">
        <v>14</v>
      </c>
      <c r="T127" s="85"/>
    </row>
    <row r="128" spans="7:20" x14ac:dyDescent="0.15">
      <c r="G128" s="2" t="s">
        <v>11</v>
      </c>
      <c r="H128" s="17">
        <f>ROUND(VLOOKUP(H$115&amp;"_1",管理者用人口入力シート!BH:CE,J128,FALSE),0)</f>
        <v>335</v>
      </c>
      <c r="I128" s="17">
        <f>ROUND(VLOOKUP(H$115&amp;"_2",管理者用人口入力シート!BH:CE,J128,FALSE),0)</f>
        <v>356</v>
      </c>
      <c r="J128" s="2">
        <v>15</v>
      </c>
      <c r="N128" s="2" t="s">
        <v>11</v>
      </c>
      <c r="O128" s="17">
        <f>ROUND(VLOOKUP(O$115&amp;"_1",管理者用人口入力シート!CO:DL,Q128,FALSE),0)</f>
        <v>335</v>
      </c>
      <c r="P128" s="17">
        <f>ROUND(VLOOKUP(O$115&amp;"_2",管理者用人口入力シート!CO:DL,Q128,FALSE),0)</f>
        <v>356</v>
      </c>
      <c r="Q128" s="2">
        <v>15</v>
      </c>
      <c r="T128" s="85"/>
    </row>
    <row r="129" spans="7:20" x14ac:dyDescent="0.15">
      <c r="G129" s="2" t="s">
        <v>12</v>
      </c>
      <c r="H129" s="17">
        <f>ROUND(VLOOKUP(H$115&amp;"_1",管理者用人口入力シート!BH:CE,J129,FALSE),0)</f>
        <v>404</v>
      </c>
      <c r="I129" s="17">
        <f>ROUND(VLOOKUP(H$115&amp;"_2",管理者用人口入力シート!BH:CE,J129,FALSE),0)</f>
        <v>386</v>
      </c>
      <c r="J129" s="2">
        <v>16</v>
      </c>
      <c r="N129" s="2" t="s">
        <v>12</v>
      </c>
      <c r="O129" s="17">
        <f>ROUND(VLOOKUP(O$115&amp;"_1",管理者用人口入力シート!CO:DL,Q129,FALSE),0)</f>
        <v>404</v>
      </c>
      <c r="P129" s="17">
        <f>ROUND(VLOOKUP(O$115&amp;"_2",管理者用人口入力シート!CO:DL,Q129,FALSE),0)</f>
        <v>386</v>
      </c>
      <c r="Q129" s="2">
        <v>16</v>
      </c>
      <c r="T129" s="85"/>
    </row>
    <row r="130" spans="7:20" x14ac:dyDescent="0.15">
      <c r="G130" s="2" t="s">
        <v>13</v>
      </c>
      <c r="H130" s="17">
        <f>ROUND(VLOOKUP(H$115&amp;"_1",管理者用人口入力シート!BH:CE,J130,FALSE),0)</f>
        <v>302</v>
      </c>
      <c r="I130" s="17">
        <f>ROUND(VLOOKUP(H$115&amp;"_2",管理者用人口入力シート!BH:CE,J130,FALSE),0)</f>
        <v>358</v>
      </c>
      <c r="J130" s="2">
        <v>17</v>
      </c>
      <c r="N130" s="2" t="s">
        <v>13</v>
      </c>
      <c r="O130" s="17">
        <f>ROUND(VLOOKUP(O$115&amp;"_1",管理者用人口入力シート!CO:DL,Q130,FALSE),0)</f>
        <v>302</v>
      </c>
      <c r="P130" s="17">
        <f>ROUND(VLOOKUP(O$115&amp;"_2",管理者用人口入力シート!CO:DL,Q130,FALSE),0)</f>
        <v>358</v>
      </c>
      <c r="Q130" s="2">
        <v>17</v>
      </c>
      <c r="T130" s="85"/>
    </row>
    <row r="131" spans="7:20" x14ac:dyDescent="0.15">
      <c r="G131" s="2" t="s">
        <v>14</v>
      </c>
      <c r="H131" s="17">
        <f>ROUND(VLOOKUP(H$115&amp;"_1",管理者用人口入力シート!BH:CE,J131,FALSE),0)</f>
        <v>269</v>
      </c>
      <c r="I131" s="17">
        <f>ROUND(VLOOKUP(H$115&amp;"_2",管理者用人口入力シート!BH:CE,J131,FALSE),0)</f>
        <v>348</v>
      </c>
      <c r="J131" s="2">
        <v>18</v>
      </c>
      <c r="N131" s="2" t="s">
        <v>14</v>
      </c>
      <c r="O131" s="17">
        <f>ROUND(VLOOKUP(O$115&amp;"_1",管理者用人口入力シート!CO:DL,Q131,FALSE),0)</f>
        <v>269</v>
      </c>
      <c r="P131" s="17">
        <f>ROUND(VLOOKUP(O$115&amp;"_2",管理者用人口入力シート!CO:DL,Q131,FALSE),0)</f>
        <v>348</v>
      </c>
      <c r="Q131" s="2">
        <v>18</v>
      </c>
      <c r="T131" s="85"/>
    </row>
    <row r="132" spans="7:20" x14ac:dyDescent="0.15">
      <c r="G132" s="2" t="s">
        <v>15</v>
      </c>
      <c r="H132" s="17">
        <f>ROUND(VLOOKUP(H$115&amp;"_1",管理者用人口入力シート!BH:CE,J132,FALSE),0)</f>
        <v>267</v>
      </c>
      <c r="I132" s="17">
        <f>ROUND(VLOOKUP(H$115&amp;"_2",管理者用人口入力シート!BH:CE,J132,FALSE),0)</f>
        <v>351</v>
      </c>
      <c r="J132" s="2">
        <v>19</v>
      </c>
      <c r="N132" s="2" t="s">
        <v>15</v>
      </c>
      <c r="O132" s="17">
        <f>ROUND(VLOOKUP(O$115&amp;"_1",管理者用人口入力シート!CO:DL,Q132,FALSE),0)</f>
        <v>267</v>
      </c>
      <c r="P132" s="17">
        <f>ROUND(VLOOKUP(O$115&amp;"_2",管理者用人口入力シート!CO:DL,Q132,FALSE),0)</f>
        <v>351</v>
      </c>
      <c r="Q132" s="2">
        <v>19</v>
      </c>
      <c r="T132" s="85"/>
    </row>
    <row r="133" spans="7:20" x14ac:dyDescent="0.15">
      <c r="G133" s="2" t="s">
        <v>16</v>
      </c>
      <c r="H133" s="17">
        <f>ROUND(VLOOKUP(H$115&amp;"_1",管理者用人口入力シート!BH:CE,J133,FALSE),0)</f>
        <v>231</v>
      </c>
      <c r="I133" s="17">
        <f>ROUND(VLOOKUP(H$115&amp;"_2",管理者用人口入力シート!BH:CE,J133,FALSE),0)</f>
        <v>354</v>
      </c>
      <c r="J133" s="2">
        <v>20</v>
      </c>
      <c r="N133" s="2" t="s">
        <v>16</v>
      </c>
      <c r="O133" s="17">
        <f>ROUND(VLOOKUP(O$115&amp;"_1",管理者用人口入力シート!CO:DL,Q133,FALSE),0)</f>
        <v>231</v>
      </c>
      <c r="P133" s="17">
        <f>ROUND(VLOOKUP(O$115&amp;"_2",管理者用人口入力シート!CO:DL,Q133,FALSE),0)</f>
        <v>354</v>
      </c>
      <c r="Q133" s="2">
        <v>20</v>
      </c>
      <c r="T133" s="85"/>
    </row>
    <row r="134" spans="7:20" x14ac:dyDescent="0.15">
      <c r="G134" s="2" t="s">
        <v>17</v>
      </c>
      <c r="H134" s="17">
        <f>ROUND(VLOOKUP(H$115&amp;"_1",管理者用人口入力シート!BH:CE,J134,FALSE),0)</f>
        <v>197</v>
      </c>
      <c r="I134" s="17">
        <f>ROUND(VLOOKUP(H$115&amp;"_2",管理者用人口入力シート!BH:CE,J134,FALSE),0)</f>
        <v>308</v>
      </c>
      <c r="J134" s="2">
        <v>21</v>
      </c>
      <c r="N134" s="2" t="s">
        <v>17</v>
      </c>
      <c r="O134" s="17">
        <f>ROUND(VLOOKUP(O$115&amp;"_1",管理者用人口入力シート!CO:DL,Q134,FALSE),0)</f>
        <v>197</v>
      </c>
      <c r="P134" s="17">
        <f>ROUND(VLOOKUP(O$115&amp;"_2",管理者用人口入力シート!CO:DL,Q134,FALSE),0)</f>
        <v>308</v>
      </c>
      <c r="Q134" s="2">
        <v>21</v>
      </c>
      <c r="T134" s="85"/>
    </row>
    <row r="135" spans="7:20" x14ac:dyDescent="0.15">
      <c r="G135" s="2" t="s">
        <v>18</v>
      </c>
      <c r="H135" s="17">
        <f>ROUND(VLOOKUP(H$115&amp;"_1",管理者用人口入力シート!BH:CE,J135,FALSE),0)</f>
        <v>76</v>
      </c>
      <c r="I135" s="17">
        <f>ROUND(VLOOKUP(H$115&amp;"_2",管理者用人口入力シート!BH:CE,J135,FALSE),0)</f>
        <v>147</v>
      </c>
      <c r="J135" s="2">
        <v>22</v>
      </c>
      <c r="N135" s="2" t="s">
        <v>18</v>
      </c>
      <c r="O135" s="17">
        <f>ROUND(VLOOKUP(O$115&amp;"_1",管理者用人口入力シート!CO:DL,Q135,FALSE),0)</f>
        <v>76</v>
      </c>
      <c r="P135" s="17">
        <f>ROUND(VLOOKUP(O$115&amp;"_2",管理者用人口入力シート!CO:DL,Q135,FALSE),0)</f>
        <v>147</v>
      </c>
      <c r="Q135" s="2">
        <v>22</v>
      </c>
      <c r="T135" s="85"/>
    </row>
    <row r="136" spans="7:20" x14ac:dyDescent="0.15">
      <c r="G136" s="2" t="s">
        <v>19</v>
      </c>
      <c r="H136" s="17">
        <f>ROUND(VLOOKUP(H$115&amp;"_1",管理者用人口入力シート!BH:CE,J136,FALSE),0)</f>
        <v>21</v>
      </c>
      <c r="I136" s="17">
        <f>ROUND(VLOOKUP(H$115&amp;"_2",管理者用人口入力シート!BH:CE,J136,FALSE),0)</f>
        <v>48</v>
      </c>
      <c r="J136" s="2">
        <v>23</v>
      </c>
      <c r="N136" s="2" t="s">
        <v>19</v>
      </c>
      <c r="O136" s="17">
        <f>ROUND(VLOOKUP(O$115&amp;"_1",管理者用人口入力シート!CO:DL,Q136,FALSE),0)</f>
        <v>21</v>
      </c>
      <c r="P136" s="17">
        <f>ROUND(VLOOKUP(O$115&amp;"_2",管理者用人口入力シート!CO:DL,Q136,FALSE),0)</f>
        <v>48</v>
      </c>
      <c r="Q136" s="2">
        <v>23</v>
      </c>
      <c r="T136" s="85"/>
    </row>
    <row r="137" spans="7:20" x14ac:dyDescent="0.15">
      <c r="G137" s="2" t="s">
        <v>20</v>
      </c>
      <c r="H137" s="17">
        <f>ROUND(VLOOKUP(H$115&amp;"_1",管理者用人口入力シート!BH:CE,J137,FALSE),0)</f>
        <v>4</v>
      </c>
      <c r="I137" s="17">
        <f>ROUND(VLOOKUP(H$115&amp;"_2",管理者用人口入力シート!BH:CE,J137,FALSE),0)</f>
        <v>12</v>
      </c>
      <c r="J137" s="2">
        <v>24</v>
      </c>
      <c r="N137" s="2" t="s">
        <v>20</v>
      </c>
      <c r="O137" s="17">
        <f>ROUND(VLOOKUP(O$115&amp;"_1",管理者用人口入力シート!CO:DL,Q137,FALSE),0)</f>
        <v>4</v>
      </c>
      <c r="P137" s="17">
        <f>ROUND(VLOOKUP(O$115&amp;"_2",管理者用人口入力シート!CO:DL,Q137,FALSE),0)</f>
        <v>12</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180</v>
      </c>
      <c r="I141" s="17">
        <f>ROUND(VLOOKUP(H$139&amp;"_2",管理者用人口入力シート!BH:CE,J141,FALSE),0)</f>
        <v>176</v>
      </c>
      <c r="J141" s="2">
        <v>4</v>
      </c>
      <c r="N141" s="2" t="s">
        <v>0</v>
      </c>
      <c r="O141" s="17">
        <f>ROUND(VLOOKUP(O$139&amp;"_1",管理者用人口入力シート!CO:DL,Q141,FALSE),0)</f>
        <v>183</v>
      </c>
      <c r="P141" s="17">
        <f>ROUND(VLOOKUP(O$139&amp;"_2",管理者用人口入力シート!CO:DL,Q141,FALSE),0)</f>
        <v>178</v>
      </c>
      <c r="Q141" s="2">
        <v>4</v>
      </c>
    </row>
    <row r="142" spans="7:20" x14ac:dyDescent="0.15">
      <c r="G142" s="2" t="s">
        <v>1</v>
      </c>
      <c r="H142" s="17">
        <f>ROUND(VLOOKUP(H$139&amp;"_1",管理者用人口入力シート!BH:CE,J142,FALSE),0)</f>
        <v>182</v>
      </c>
      <c r="I142" s="17">
        <f>ROUND(VLOOKUP(H$139&amp;"_2",管理者用人口入力シート!BH:CE,J142,FALSE),0)</f>
        <v>175</v>
      </c>
      <c r="J142" s="2">
        <v>5</v>
      </c>
      <c r="N142" s="2" t="s">
        <v>1</v>
      </c>
      <c r="O142" s="17">
        <f>ROUND(VLOOKUP(O$139&amp;"_1",管理者用人口入力シート!CO:DL,Q142,FALSE),0)</f>
        <v>185</v>
      </c>
      <c r="P142" s="17">
        <f>ROUND(VLOOKUP(O$139&amp;"_2",管理者用人口入力シート!CO:DL,Q142,FALSE),0)</f>
        <v>177</v>
      </c>
      <c r="Q142" s="2">
        <v>5</v>
      </c>
    </row>
    <row r="143" spans="7:20" x14ac:dyDescent="0.15">
      <c r="G143" s="2" t="s">
        <v>2</v>
      </c>
      <c r="H143" s="17">
        <f>ROUND(VLOOKUP(H$139&amp;"_1",管理者用人口入力シート!BH:CE,J143,FALSE),0)</f>
        <v>198</v>
      </c>
      <c r="I143" s="17">
        <f>ROUND(VLOOKUP(H$139&amp;"_2",管理者用人口入力シート!BH:CE,J143,FALSE),0)</f>
        <v>181</v>
      </c>
      <c r="J143" s="2">
        <v>6</v>
      </c>
      <c r="N143" s="2" t="s">
        <v>2</v>
      </c>
      <c r="O143" s="17">
        <f>ROUND(VLOOKUP(O$139&amp;"_1",管理者用人口入力シート!CO:DL,Q143,FALSE),0)</f>
        <v>200</v>
      </c>
      <c r="P143" s="17">
        <f>ROUND(VLOOKUP(O$139&amp;"_2",管理者用人口入力シート!CO:DL,Q143,FALSE),0)</f>
        <v>184</v>
      </c>
      <c r="Q143" s="2">
        <v>6</v>
      </c>
    </row>
    <row r="144" spans="7:20" x14ac:dyDescent="0.15">
      <c r="G144" s="2" t="s">
        <v>3</v>
      </c>
      <c r="H144" s="17">
        <f>ROUND(VLOOKUP(H$139&amp;"_1",管理者用人口入力シート!BH:CE,J144,FALSE),0)</f>
        <v>170</v>
      </c>
      <c r="I144" s="17">
        <f>ROUND(VLOOKUP(H$139&amp;"_2",管理者用人口入力シート!BH:CE,J144,FALSE),0)</f>
        <v>199</v>
      </c>
      <c r="J144" s="2">
        <v>7</v>
      </c>
      <c r="N144" s="2" t="s">
        <v>3</v>
      </c>
      <c r="O144" s="17">
        <f>ROUND(VLOOKUP(O$139&amp;"_1",管理者用人口入力シート!CO:DL,Q144,FALSE),0)</f>
        <v>171</v>
      </c>
      <c r="P144" s="17">
        <f>ROUND(VLOOKUP(O$139&amp;"_2",管理者用人口入力シート!CO:DL,Q144,FALSE),0)</f>
        <v>201</v>
      </c>
      <c r="Q144" s="2">
        <v>7</v>
      </c>
    </row>
    <row r="145" spans="7:17" x14ac:dyDescent="0.15">
      <c r="G145" s="2" t="s">
        <v>4</v>
      </c>
      <c r="H145" s="17">
        <f>ROUND(VLOOKUP(H$139&amp;"_1",管理者用人口入力シート!BH:CE,J145,FALSE),0)</f>
        <v>146</v>
      </c>
      <c r="I145" s="17">
        <f>ROUND(VLOOKUP(H$139&amp;"_2",管理者用人口入力シート!BH:CE,J145,FALSE),0)</f>
        <v>190</v>
      </c>
      <c r="J145" s="2">
        <v>8</v>
      </c>
      <c r="N145" s="2" t="s">
        <v>4</v>
      </c>
      <c r="O145" s="17">
        <f>ROUND(VLOOKUP(O$139&amp;"_1",管理者用人口入力シート!CO:DL,Q145,FALSE),0)</f>
        <v>147</v>
      </c>
      <c r="P145" s="17">
        <f>ROUND(VLOOKUP(O$139&amp;"_2",管理者用人口入力シート!CO:DL,Q145,FALSE),0)</f>
        <v>191</v>
      </c>
      <c r="Q145" s="2">
        <v>8</v>
      </c>
    </row>
    <row r="146" spans="7:17" x14ac:dyDescent="0.15">
      <c r="G146" s="2" t="s">
        <v>5</v>
      </c>
      <c r="H146" s="17">
        <f>ROUND(VLOOKUP(H$139&amp;"_1",管理者用人口入力シート!BH:CE,J146,FALSE),0)</f>
        <v>225</v>
      </c>
      <c r="I146" s="17">
        <f>ROUND(VLOOKUP(H$139&amp;"_2",管理者用人口入力シート!BH:CE,J146,FALSE),0)</f>
        <v>194</v>
      </c>
      <c r="J146" s="2">
        <v>9</v>
      </c>
      <c r="N146" s="2" t="s">
        <v>5</v>
      </c>
      <c r="O146" s="17">
        <f>ROUND(VLOOKUP(O$139&amp;"_1",管理者用人口入力シート!CO:DL,Q146,FALSE),0)</f>
        <v>227</v>
      </c>
      <c r="P146" s="17">
        <f>ROUND(VLOOKUP(O$139&amp;"_2",管理者用人口入力シート!CO:DL,Q146,FALSE),0)</f>
        <v>196</v>
      </c>
      <c r="Q146" s="2">
        <v>9</v>
      </c>
    </row>
    <row r="147" spans="7:17" x14ac:dyDescent="0.15">
      <c r="G147" s="2" t="s">
        <v>6</v>
      </c>
      <c r="H147" s="17">
        <f>ROUND(VLOOKUP(H$139&amp;"_1",管理者用人口入力シート!BH:CE,J147,FALSE),0)</f>
        <v>213</v>
      </c>
      <c r="I147" s="17">
        <f>ROUND(VLOOKUP(H$139&amp;"_2",管理者用人口入力シート!BH:CE,J147,FALSE),0)</f>
        <v>215</v>
      </c>
      <c r="J147" s="2">
        <v>10</v>
      </c>
      <c r="N147" s="2" t="s">
        <v>6</v>
      </c>
      <c r="O147" s="17">
        <f>ROUND(VLOOKUP(O$139&amp;"_1",管理者用人口入力シート!CO:DL,Q147,FALSE),0)</f>
        <v>214</v>
      </c>
      <c r="P147" s="17">
        <f>ROUND(VLOOKUP(O$139&amp;"_2",管理者用人口入力シート!CO:DL,Q147,FALSE),0)</f>
        <v>217</v>
      </c>
      <c r="Q147" s="2">
        <v>10</v>
      </c>
    </row>
    <row r="148" spans="7:17" x14ac:dyDescent="0.15">
      <c r="G148" s="2" t="s">
        <v>7</v>
      </c>
      <c r="H148" s="17">
        <f>ROUND(VLOOKUP(H$139&amp;"_1",管理者用人口入力シート!BH:CE,J148,FALSE),0)</f>
        <v>203</v>
      </c>
      <c r="I148" s="17">
        <f>ROUND(VLOOKUP(H$139&amp;"_2",管理者用人口入力シート!BH:CE,J148,FALSE),0)</f>
        <v>198</v>
      </c>
      <c r="J148" s="2">
        <v>11</v>
      </c>
      <c r="N148" s="2" t="s">
        <v>7</v>
      </c>
      <c r="O148" s="17">
        <f>ROUND(VLOOKUP(O$139&amp;"_1",管理者用人口入力シート!CO:DL,Q148,FALSE),0)</f>
        <v>205</v>
      </c>
      <c r="P148" s="17">
        <f>ROUND(VLOOKUP(O$139&amp;"_2",管理者用人口入力シート!CO:DL,Q148,FALSE),0)</f>
        <v>200</v>
      </c>
      <c r="Q148" s="2">
        <v>11</v>
      </c>
    </row>
    <row r="149" spans="7:17" x14ac:dyDescent="0.15">
      <c r="G149" s="2" t="s">
        <v>8</v>
      </c>
      <c r="H149" s="17">
        <f>ROUND(VLOOKUP(H$139&amp;"_1",管理者用人口入力シート!BH:CE,J149,FALSE),0)</f>
        <v>220</v>
      </c>
      <c r="I149" s="17">
        <f>ROUND(VLOOKUP(H$139&amp;"_2",管理者用人口入力シート!BH:CE,J149,FALSE),0)</f>
        <v>205</v>
      </c>
      <c r="J149" s="2">
        <v>12</v>
      </c>
      <c r="N149" s="2" t="s">
        <v>8</v>
      </c>
      <c r="O149" s="17">
        <f>ROUND(VLOOKUP(O$139&amp;"_1",管理者用人口入力シート!CO:DL,Q149,FALSE),0)</f>
        <v>222</v>
      </c>
      <c r="P149" s="17">
        <f>ROUND(VLOOKUP(O$139&amp;"_2",管理者用人口入力シート!CO:DL,Q149,FALSE),0)</f>
        <v>208</v>
      </c>
      <c r="Q149" s="2">
        <v>12</v>
      </c>
    </row>
    <row r="150" spans="7:17" x14ac:dyDescent="0.15">
      <c r="G150" s="2" t="s">
        <v>9</v>
      </c>
      <c r="H150" s="17">
        <f>ROUND(VLOOKUP(H$139&amp;"_1",管理者用人口入力シート!BH:CE,J150,FALSE),0)</f>
        <v>265</v>
      </c>
      <c r="I150" s="17">
        <f>ROUND(VLOOKUP(H$139&amp;"_2",管理者用人口入力シート!BH:CE,J150,FALSE),0)</f>
        <v>248</v>
      </c>
      <c r="J150" s="2">
        <v>13</v>
      </c>
      <c r="N150" s="2" t="s">
        <v>9</v>
      </c>
      <c r="O150" s="17">
        <f>ROUND(VLOOKUP(O$139&amp;"_1",管理者用人口入力シート!CO:DL,Q150,FALSE),0)</f>
        <v>265</v>
      </c>
      <c r="P150" s="17">
        <f>ROUND(VLOOKUP(O$139&amp;"_2",管理者用人口入力シート!CO:DL,Q150,FALSE),0)</f>
        <v>249</v>
      </c>
      <c r="Q150" s="2">
        <v>13</v>
      </c>
    </row>
    <row r="151" spans="7:17" x14ac:dyDescent="0.15">
      <c r="G151" s="2" t="s">
        <v>10</v>
      </c>
      <c r="H151" s="17">
        <f>ROUND(VLOOKUP(H$139&amp;"_1",管理者用人口入力シート!BH:CE,J151,FALSE),0)</f>
        <v>286</v>
      </c>
      <c r="I151" s="17">
        <f>ROUND(VLOOKUP(H$139&amp;"_2",管理者用人口入力シート!BH:CE,J151,FALSE),0)</f>
        <v>275</v>
      </c>
      <c r="J151" s="2">
        <v>14</v>
      </c>
      <c r="N151" s="2" t="s">
        <v>10</v>
      </c>
      <c r="O151" s="17">
        <f>ROUND(VLOOKUP(O$139&amp;"_1",管理者用人口入力シート!CO:DL,Q151,FALSE),0)</f>
        <v>286</v>
      </c>
      <c r="P151" s="17">
        <f>ROUND(VLOOKUP(O$139&amp;"_2",管理者用人口入力シート!CO:DL,Q151,FALSE),0)</f>
        <v>276</v>
      </c>
      <c r="Q151" s="2">
        <v>14</v>
      </c>
    </row>
    <row r="152" spans="7:17" x14ac:dyDescent="0.15">
      <c r="G152" s="2" t="s">
        <v>11</v>
      </c>
      <c r="H152" s="17">
        <f>ROUND(VLOOKUP(H$139&amp;"_1",管理者用人口入力シート!BH:CE,J152,FALSE),0)</f>
        <v>313</v>
      </c>
      <c r="I152" s="17">
        <f>ROUND(VLOOKUP(H$139&amp;"_2",管理者用人口入力シート!BH:CE,J152,FALSE),0)</f>
        <v>376</v>
      </c>
      <c r="J152" s="2">
        <v>15</v>
      </c>
      <c r="N152" s="2" t="s">
        <v>11</v>
      </c>
      <c r="O152" s="17">
        <f>ROUND(VLOOKUP(O$139&amp;"_1",管理者用人口入力シート!CO:DL,Q152,FALSE),0)</f>
        <v>313</v>
      </c>
      <c r="P152" s="17">
        <f>ROUND(VLOOKUP(O$139&amp;"_2",管理者用人口入力シート!CO:DL,Q152,FALSE),0)</f>
        <v>377</v>
      </c>
      <c r="Q152" s="2">
        <v>15</v>
      </c>
    </row>
    <row r="153" spans="7:17" x14ac:dyDescent="0.15">
      <c r="G153" s="2" t="s">
        <v>12</v>
      </c>
      <c r="H153" s="17">
        <f>ROUND(VLOOKUP(H$139&amp;"_1",管理者用人口入力シート!BH:CE,J153,FALSE),0)</f>
        <v>331</v>
      </c>
      <c r="I153" s="17">
        <f>ROUND(VLOOKUP(H$139&amp;"_2",管理者用人口入力シート!BH:CE,J153,FALSE),0)</f>
        <v>342</v>
      </c>
      <c r="J153" s="2">
        <v>16</v>
      </c>
      <c r="N153" s="2" t="s">
        <v>12</v>
      </c>
      <c r="O153" s="17">
        <f>ROUND(VLOOKUP(O$139&amp;"_1",管理者用人口入力シート!CO:DL,Q153,FALSE),0)</f>
        <v>331</v>
      </c>
      <c r="P153" s="17">
        <f>ROUND(VLOOKUP(O$139&amp;"_2",管理者用人口入力シート!CO:DL,Q153,FALSE),0)</f>
        <v>342</v>
      </c>
      <c r="Q153" s="2">
        <v>16</v>
      </c>
    </row>
    <row r="154" spans="7:17" x14ac:dyDescent="0.15">
      <c r="G154" s="2" t="s">
        <v>13</v>
      </c>
      <c r="H154" s="17">
        <f>ROUND(VLOOKUP(H$139&amp;"_1",管理者用人口入力シート!BH:CE,J154,FALSE),0)</f>
        <v>368</v>
      </c>
      <c r="I154" s="17">
        <f>ROUND(VLOOKUP(H$139&amp;"_2",管理者用人口入力シート!BH:CE,J154,FALSE),0)</f>
        <v>378</v>
      </c>
      <c r="J154" s="2">
        <v>17</v>
      </c>
      <c r="N154" s="2" t="s">
        <v>13</v>
      </c>
      <c r="O154" s="17">
        <f>ROUND(VLOOKUP(O$139&amp;"_1",管理者用人口入力シート!CO:DL,Q154,FALSE),0)</f>
        <v>368</v>
      </c>
      <c r="P154" s="17">
        <f>ROUND(VLOOKUP(O$139&amp;"_2",管理者用人口入力シート!CO:DL,Q154,FALSE),0)</f>
        <v>378</v>
      </c>
      <c r="Q154" s="2">
        <v>17</v>
      </c>
    </row>
    <row r="155" spans="7:17" x14ac:dyDescent="0.15">
      <c r="G155" s="2" t="s">
        <v>14</v>
      </c>
      <c r="H155" s="17">
        <f>ROUND(VLOOKUP(H$139&amp;"_1",管理者用人口入力シート!BH:CE,J155,FALSE),0)</f>
        <v>274</v>
      </c>
      <c r="I155" s="17">
        <f>ROUND(VLOOKUP(H$139&amp;"_2",管理者用人口入力シート!BH:CE,J155,FALSE),0)</f>
        <v>355</v>
      </c>
      <c r="J155" s="2">
        <v>18</v>
      </c>
      <c r="N155" s="2" t="s">
        <v>14</v>
      </c>
      <c r="O155" s="17">
        <f>ROUND(VLOOKUP(O$139&amp;"_1",管理者用人口入力シート!CO:DL,Q155,FALSE),0)</f>
        <v>274</v>
      </c>
      <c r="P155" s="17">
        <f>ROUND(VLOOKUP(O$139&amp;"_2",管理者用人口入力シート!CO:DL,Q155,FALSE),0)</f>
        <v>355</v>
      </c>
      <c r="Q155" s="2">
        <v>18</v>
      </c>
    </row>
    <row r="156" spans="7:17" x14ac:dyDescent="0.15">
      <c r="G156" s="2" t="s">
        <v>15</v>
      </c>
      <c r="H156" s="17">
        <f>ROUND(VLOOKUP(H$139&amp;"_1",管理者用人口入力シート!BH:CE,J156,FALSE),0)</f>
        <v>232</v>
      </c>
      <c r="I156" s="17">
        <f>ROUND(VLOOKUP(H$139&amp;"_2",管理者用人口入力シート!BH:CE,J156,FALSE),0)</f>
        <v>314</v>
      </c>
      <c r="J156" s="2">
        <v>19</v>
      </c>
      <c r="N156" s="2" t="s">
        <v>15</v>
      </c>
      <c r="O156" s="17">
        <f>ROUND(VLOOKUP(O$139&amp;"_1",管理者用人口入力シート!CO:DL,Q156,FALSE),0)</f>
        <v>232</v>
      </c>
      <c r="P156" s="17">
        <f>ROUND(VLOOKUP(O$139&amp;"_2",管理者用人口入力シート!CO:DL,Q156,FALSE),0)</f>
        <v>314</v>
      </c>
      <c r="Q156" s="2">
        <v>19</v>
      </c>
    </row>
    <row r="157" spans="7:17" x14ac:dyDescent="0.15">
      <c r="G157" s="2" t="s">
        <v>16</v>
      </c>
      <c r="H157" s="17">
        <f>ROUND(VLOOKUP(H$139&amp;"_1",管理者用人口入力シート!BH:CE,J157,FALSE),0)</f>
        <v>210</v>
      </c>
      <c r="I157" s="17">
        <f>ROUND(VLOOKUP(H$139&amp;"_2",管理者用人口入力シート!BH:CE,J157,FALSE),0)</f>
        <v>299</v>
      </c>
      <c r="J157" s="2">
        <v>20</v>
      </c>
      <c r="N157" s="2" t="s">
        <v>16</v>
      </c>
      <c r="O157" s="17">
        <f>ROUND(VLOOKUP(O$139&amp;"_1",管理者用人口入力シート!CO:DL,Q157,FALSE),0)</f>
        <v>210</v>
      </c>
      <c r="P157" s="17">
        <f>ROUND(VLOOKUP(O$139&amp;"_2",管理者用人口入力シート!CO:DL,Q157,FALSE),0)</f>
        <v>299</v>
      </c>
      <c r="Q157" s="2">
        <v>20</v>
      </c>
    </row>
    <row r="158" spans="7:17" x14ac:dyDescent="0.15">
      <c r="G158" s="2" t="s">
        <v>17</v>
      </c>
      <c r="H158" s="17">
        <f>ROUND(VLOOKUP(H$139&amp;"_1",管理者用人口入力シート!BH:CE,J158,FALSE),0)</f>
        <v>144</v>
      </c>
      <c r="I158" s="17">
        <f>ROUND(VLOOKUP(H$139&amp;"_2",管理者用人口入力シート!BH:CE,J158,FALSE),0)</f>
        <v>265</v>
      </c>
      <c r="J158" s="2">
        <v>21</v>
      </c>
      <c r="N158" s="2" t="s">
        <v>17</v>
      </c>
      <c r="O158" s="17">
        <f>ROUND(VLOOKUP(O$139&amp;"_1",管理者用人口入力シート!CO:DL,Q158,FALSE),0)</f>
        <v>144</v>
      </c>
      <c r="P158" s="17">
        <f>ROUND(VLOOKUP(O$139&amp;"_2",管理者用人口入力シート!CO:DL,Q158,FALSE),0)</f>
        <v>265</v>
      </c>
      <c r="Q158" s="2">
        <v>21</v>
      </c>
    </row>
    <row r="159" spans="7:17" x14ac:dyDescent="0.15">
      <c r="G159" s="2" t="s">
        <v>18</v>
      </c>
      <c r="H159" s="17">
        <f>ROUND(VLOOKUP(H$139&amp;"_1",管理者用人口入力シート!BH:CE,J159,FALSE),0)</f>
        <v>100</v>
      </c>
      <c r="I159" s="17">
        <f>ROUND(VLOOKUP(H$139&amp;"_2",管理者用人口入力シート!BH:CE,J159,FALSE),0)</f>
        <v>170</v>
      </c>
      <c r="J159" s="2">
        <v>22</v>
      </c>
      <c r="N159" s="2" t="s">
        <v>18</v>
      </c>
      <c r="O159" s="17">
        <f>ROUND(VLOOKUP(O$139&amp;"_1",管理者用人口入力シート!CO:DL,Q159,FALSE),0)</f>
        <v>100</v>
      </c>
      <c r="P159" s="17">
        <f>ROUND(VLOOKUP(O$139&amp;"_2",管理者用人口入力シート!CO:DL,Q159,FALSE),0)</f>
        <v>170</v>
      </c>
      <c r="Q159" s="2">
        <v>22</v>
      </c>
    </row>
    <row r="160" spans="7:17" x14ac:dyDescent="0.15">
      <c r="G160" s="2" t="s">
        <v>19</v>
      </c>
      <c r="H160" s="17">
        <f>ROUND(VLOOKUP(H$139&amp;"_1",管理者用人口入力シート!BH:CE,J160,FALSE),0)</f>
        <v>18</v>
      </c>
      <c r="I160" s="17">
        <f>ROUND(VLOOKUP(H$139&amp;"_2",管理者用人口入力シート!BH:CE,J160,FALSE),0)</f>
        <v>47</v>
      </c>
      <c r="J160" s="2">
        <v>23</v>
      </c>
      <c r="N160" s="2" t="s">
        <v>19</v>
      </c>
      <c r="O160" s="17">
        <f>ROUND(VLOOKUP(O$139&amp;"_1",管理者用人口入力シート!CO:DL,Q160,FALSE),0)</f>
        <v>18</v>
      </c>
      <c r="P160" s="17">
        <f>ROUND(VLOOKUP(O$139&amp;"_2",管理者用人口入力シート!CO:DL,Q160,FALSE),0)</f>
        <v>47</v>
      </c>
      <c r="Q160" s="2">
        <v>23</v>
      </c>
    </row>
    <row r="161" spans="7:17" x14ac:dyDescent="0.15">
      <c r="G161" s="2" t="s">
        <v>20</v>
      </c>
      <c r="H161" s="17">
        <f>ROUND(VLOOKUP(H$139&amp;"_1",管理者用人口入力シート!BH:CE,J161,FALSE),0)</f>
        <v>4</v>
      </c>
      <c r="I161" s="17">
        <f>ROUND(VLOOKUP(H$139&amp;"_2",管理者用人口入力シート!BH:CE,J161,FALSE),0)</f>
        <v>10</v>
      </c>
      <c r="J161" s="2">
        <v>24</v>
      </c>
      <c r="N161" s="2" t="s">
        <v>20</v>
      </c>
      <c r="O161" s="17">
        <f>ROUND(VLOOKUP(O$139&amp;"_1",管理者用人口入力シート!CO:DL,Q161,FALSE),0)</f>
        <v>4</v>
      </c>
      <c r="P161" s="17">
        <f>ROUND(VLOOKUP(O$139&amp;"_2",管理者用人口入力シート!CO:DL,Q161,FALSE),0)</f>
        <v>10</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169</v>
      </c>
      <c r="I165" s="17">
        <f>ROUND(VLOOKUP(H$163&amp;"_2",管理者用人口入力シート!BH:CE,J165,FALSE),0)</f>
        <v>165</v>
      </c>
      <c r="J165" s="2">
        <v>4</v>
      </c>
      <c r="N165" s="2" t="s">
        <v>0</v>
      </c>
      <c r="O165" s="17">
        <f>ROUND(VLOOKUP(O$163&amp;"_1",管理者用人口入力シート!CO:DL,Q165,FALSE),0)</f>
        <v>172</v>
      </c>
      <c r="P165" s="17">
        <f>ROUND(VLOOKUP(O$163&amp;"_2",管理者用人口入力シート!CO:DL,Q165,FALSE),0)</f>
        <v>168</v>
      </c>
      <c r="Q165" s="2">
        <v>4</v>
      </c>
    </row>
    <row r="166" spans="7:17" x14ac:dyDescent="0.15">
      <c r="G166" s="2" t="s">
        <v>1</v>
      </c>
      <c r="H166" s="17">
        <f>ROUND(VLOOKUP(H$163&amp;"_1",管理者用人口入力シート!BH:CE,J166,FALSE),0)</f>
        <v>177</v>
      </c>
      <c r="I166" s="17">
        <f>ROUND(VLOOKUP(H$163&amp;"_2",管理者用人口入力シート!BH:CE,J166,FALSE),0)</f>
        <v>170</v>
      </c>
      <c r="J166" s="2">
        <v>5</v>
      </c>
      <c r="N166" s="2" t="s">
        <v>1</v>
      </c>
      <c r="O166" s="17">
        <f>ROUND(VLOOKUP(O$163&amp;"_1",管理者用人口入力シート!CO:DL,Q166,FALSE),0)</f>
        <v>180</v>
      </c>
      <c r="P166" s="17">
        <f>ROUND(VLOOKUP(O$163&amp;"_2",管理者用人口入力シート!CO:DL,Q166,FALSE),0)</f>
        <v>173</v>
      </c>
      <c r="Q166" s="2">
        <v>5</v>
      </c>
    </row>
    <row r="167" spans="7:17" x14ac:dyDescent="0.15">
      <c r="G167" s="2" t="s">
        <v>2</v>
      </c>
      <c r="H167" s="17">
        <f>ROUND(VLOOKUP(H$163&amp;"_1",管理者用人口入力シート!BH:CE,J167,FALSE),0)</f>
        <v>186</v>
      </c>
      <c r="I167" s="17">
        <f>ROUND(VLOOKUP(H$163&amp;"_2",管理者用人口入力シート!BH:CE,J167,FALSE),0)</f>
        <v>171</v>
      </c>
      <c r="J167" s="2">
        <v>6</v>
      </c>
      <c r="N167" s="2" t="s">
        <v>2</v>
      </c>
      <c r="O167" s="17">
        <f>ROUND(VLOOKUP(O$163&amp;"_1",管理者用人口入力シート!CO:DL,Q167,FALSE),0)</f>
        <v>190</v>
      </c>
      <c r="P167" s="17">
        <f>ROUND(VLOOKUP(O$163&amp;"_2",管理者用人口入力シート!CO:DL,Q167,FALSE),0)</f>
        <v>174</v>
      </c>
      <c r="Q167" s="2">
        <v>6</v>
      </c>
    </row>
    <row r="168" spans="7:17" x14ac:dyDescent="0.15">
      <c r="G168" s="2" t="s">
        <v>3</v>
      </c>
      <c r="H168" s="17">
        <f>ROUND(VLOOKUP(H$163&amp;"_1",管理者用人口入力シート!BH:CE,J168,FALSE),0)</f>
        <v>158</v>
      </c>
      <c r="I168" s="17">
        <f>ROUND(VLOOKUP(H$163&amp;"_2",管理者用人口入力シート!BH:CE,J168,FALSE),0)</f>
        <v>185</v>
      </c>
      <c r="J168" s="2">
        <v>7</v>
      </c>
      <c r="N168" s="2" t="s">
        <v>3</v>
      </c>
      <c r="O168" s="17">
        <f>ROUND(VLOOKUP(O$163&amp;"_1",管理者用人口入力シート!CO:DL,Q168,FALSE),0)</f>
        <v>160</v>
      </c>
      <c r="P168" s="17">
        <f>ROUND(VLOOKUP(O$163&amp;"_2",管理者用人口入力シート!CO:DL,Q168,FALSE),0)</f>
        <v>188</v>
      </c>
      <c r="Q168" s="2">
        <v>7</v>
      </c>
    </row>
    <row r="169" spans="7:17" x14ac:dyDescent="0.15">
      <c r="G169" s="2" t="s">
        <v>4</v>
      </c>
      <c r="H169" s="17">
        <f>ROUND(VLOOKUP(H$163&amp;"_1",管理者用人口入力シート!BH:CE,J169,FALSE),0)</f>
        <v>125</v>
      </c>
      <c r="I169" s="17">
        <f>ROUND(VLOOKUP(H$163&amp;"_2",管理者用人口入力シート!BH:CE,J169,FALSE),0)</f>
        <v>163</v>
      </c>
      <c r="J169" s="2">
        <v>8</v>
      </c>
      <c r="N169" s="2" t="s">
        <v>4</v>
      </c>
      <c r="O169" s="17">
        <f>ROUND(VLOOKUP(O$163&amp;"_1",管理者用人口入力シート!CO:DL,Q169,FALSE),0)</f>
        <v>126</v>
      </c>
      <c r="P169" s="17">
        <f>ROUND(VLOOKUP(O$163&amp;"_2",管理者用人口入力シート!CO:DL,Q169,FALSE),0)</f>
        <v>165</v>
      </c>
      <c r="Q169" s="2">
        <v>8</v>
      </c>
    </row>
    <row r="170" spans="7:17" x14ac:dyDescent="0.15">
      <c r="G170" s="2" t="s">
        <v>5</v>
      </c>
      <c r="H170" s="17">
        <f>ROUND(VLOOKUP(H$163&amp;"_1",管理者用人口入力シート!BH:CE,J170,FALSE),0)</f>
        <v>207</v>
      </c>
      <c r="I170" s="17">
        <f>ROUND(VLOOKUP(H$163&amp;"_2",管理者用人口入力シート!BH:CE,J170,FALSE),0)</f>
        <v>186</v>
      </c>
      <c r="J170" s="2">
        <v>9</v>
      </c>
      <c r="N170" s="2" t="s">
        <v>5</v>
      </c>
      <c r="O170" s="17">
        <f>ROUND(VLOOKUP(O$163&amp;"_1",管理者用人口入力シート!CO:DL,Q170,FALSE),0)</f>
        <v>210</v>
      </c>
      <c r="P170" s="17">
        <f>ROUND(VLOOKUP(O$163&amp;"_2",管理者用人口入力シート!CO:DL,Q170,FALSE),0)</f>
        <v>189</v>
      </c>
      <c r="Q170" s="2">
        <v>9</v>
      </c>
    </row>
    <row r="171" spans="7:17" x14ac:dyDescent="0.15">
      <c r="G171" s="2" t="s">
        <v>6</v>
      </c>
      <c r="H171" s="17">
        <f>ROUND(VLOOKUP(H$163&amp;"_1",管理者用人口入力シート!BH:CE,J171,FALSE),0)</f>
        <v>219</v>
      </c>
      <c r="I171" s="17">
        <f>ROUND(VLOOKUP(H$163&amp;"_2",管理者用人口入力シート!BH:CE,J171,FALSE),0)</f>
        <v>197</v>
      </c>
      <c r="J171" s="2">
        <v>10</v>
      </c>
      <c r="N171" s="2" t="s">
        <v>6</v>
      </c>
      <c r="O171" s="17">
        <f>ROUND(VLOOKUP(O$163&amp;"_1",管理者用人口入力シート!CO:DL,Q171,FALSE),0)</f>
        <v>222</v>
      </c>
      <c r="P171" s="17">
        <f>ROUND(VLOOKUP(O$163&amp;"_2",管理者用人口入力シート!CO:DL,Q171,FALSE),0)</f>
        <v>200</v>
      </c>
      <c r="Q171" s="2">
        <v>10</v>
      </c>
    </row>
    <row r="172" spans="7:17" x14ac:dyDescent="0.15">
      <c r="G172" s="2" t="s">
        <v>7</v>
      </c>
      <c r="H172" s="17">
        <f>ROUND(VLOOKUP(H$163&amp;"_1",管理者用人口入力シート!BH:CE,J172,FALSE),0)</f>
        <v>204</v>
      </c>
      <c r="I172" s="17">
        <f>ROUND(VLOOKUP(H$163&amp;"_2",管理者用人口入力シート!BH:CE,J172,FALSE),0)</f>
        <v>200</v>
      </c>
      <c r="J172" s="2">
        <v>11</v>
      </c>
      <c r="N172" s="2" t="s">
        <v>7</v>
      </c>
      <c r="O172" s="17">
        <f>ROUND(VLOOKUP(O$163&amp;"_1",管理者用人口入力シート!CO:DL,Q172,FALSE),0)</f>
        <v>206</v>
      </c>
      <c r="P172" s="17">
        <f>ROUND(VLOOKUP(O$163&amp;"_2",管理者用人口入力シート!CO:DL,Q172,FALSE),0)</f>
        <v>202</v>
      </c>
      <c r="Q172" s="2">
        <v>11</v>
      </c>
    </row>
    <row r="173" spans="7:17" x14ac:dyDescent="0.15">
      <c r="G173" s="2" t="s">
        <v>8</v>
      </c>
      <c r="H173" s="17">
        <f>ROUND(VLOOKUP(H$163&amp;"_1",管理者用人口入力シート!BH:CE,J173,FALSE),0)</f>
        <v>204</v>
      </c>
      <c r="I173" s="17">
        <f>ROUND(VLOOKUP(H$163&amp;"_2",管理者用人口入力シート!BH:CE,J173,FALSE),0)</f>
        <v>206</v>
      </c>
      <c r="J173" s="2">
        <v>12</v>
      </c>
      <c r="N173" s="2" t="s">
        <v>8</v>
      </c>
      <c r="O173" s="17">
        <f>ROUND(VLOOKUP(O$163&amp;"_1",管理者用人口入力シート!CO:DL,Q173,FALSE),0)</f>
        <v>206</v>
      </c>
      <c r="P173" s="17">
        <f>ROUND(VLOOKUP(O$163&amp;"_2",管理者用人口入力シート!CO:DL,Q173,FALSE),0)</f>
        <v>208</v>
      </c>
      <c r="Q173" s="2">
        <v>12</v>
      </c>
    </row>
    <row r="174" spans="7:17" x14ac:dyDescent="0.15">
      <c r="G174" s="2" t="s">
        <v>9</v>
      </c>
      <c r="H174" s="17">
        <f>ROUND(VLOOKUP(H$163&amp;"_1",管理者用人口入力シート!BH:CE,J174,FALSE),0)</f>
        <v>219</v>
      </c>
      <c r="I174" s="17">
        <f>ROUND(VLOOKUP(H$163&amp;"_2",管理者用人口入力シート!BH:CE,J174,FALSE),0)</f>
        <v>211</v>
      </c>
      <c r="J174" s="2">
        <v>13</v>
      </c>
      <c r="N174" s="2" t="s">
        <v>9</v>
      </c>
      <c r="O174" s="17">
        <f>ROUND(VLOOKUP(O$163&amp;"_1",管理者用人口入力シート!CO:DL,Q174,FALSE),0)</f>
        <v>221</v>
      </c>
      <c r="P174" s="17">
        <f>ROUND(VLOOKUP(O$163&amp;"_2",管理者用人口入力シート!CO:DL,Q174,FALSE),0)</f>
        <v>214</v>
      </c>
      <c r="Q174" s="2">
        <v>13</v>
      </c>
    </row>
    <row r="175" spans="7:17" x14ac:dyDescent="0.15">
      <c r="G175" s="2" t="s">
        <v>10</v>
      </c>
      <c r="H175" s="17">
        <f>ROUND(VLOOKUP(H$163&amp;"_1",管理者用人口入力シート!BH:CE,J175,FALSE),0)</f>
        <v>270</v>
      </c>
      <c r="I175" s="17">
        <f>ROUND(VLOOKUP(H$163&amp;"_2",管理者用人口入力シート!BH:CE,J175,FALSE),0)</f>
        <v>243</v>
      </c>
      <c r="J175" s="2">
        <v>14</v>
      </c>
      <c r="N175" s="2" t="s">
        <v>10</v>
      </c>
      <c r="O175" s="17">
        <f>ROUND(VLOOKUP(O$163&amp;"_1",管理者用人口入力シート!CO:DL,Q175,FALSE),0)</f>
        <v>270</v>
      </c>
      <c r="P175" s="17">
        <f>ROUND(VLOOKUP(O$163&amp;"_2",管理者用人口入力シート!CO:DL,Q175,FALSE),0)</f>
        <v>244</v>
      </c>
      <c r="Q175" s="2">
        <v>14</v>
      </c>
    </row>
    <row r="176" spans="7:17" x14ac:dyDescent="0.15">
      <c r="G176" s="2" t="s">
        <v>11</v>
      </c>
      <c r="H176" s="17">
        <f>ROUND(VLOOKUP(H$163&amp;"_1",管理者用人口入力シート!BH:CE,J176,FALSE),0)</f>
        <v>282</v>
      </c>
      <c r="I176" s="17">
        <f>ROUND(VLOOKUP(H$163&amp;"_2",管理者用人口入力シート!BH:CE,J176,FALSE),0)</f>
        <v>282</v>
      </c>
      <c r="J176" s="2">
        <v>15</v>
      </c>
      <c r="N176" s="2" t="s">
        <v>11</v>
      </c>
      <c r="O176" s="17">
        <f>ROUND(VLOOKUP(O$163&amp;"_1",管理者用人口入力シート!CO:DL,Q176,FALSE),0)</f>
        <v>282</v>
      </c>
      <c r="P176" s="17">
        <f>ROUND(VLOOKUP(O$163&amp;"_2",管理者用人口入力シート!CO:DL,Q176,FALSE),0)</f>
        <v>283</v>
      </c>
      <c r="Q176" s="2">
        <v>15</v>
      </c>
    </row>
    <row r="177" spans="7:17" x14ac:dyDescent="0.15">
      <c r="G177" s="2" t="s">
        <v>12</v>
      </c>
      <c r="H177" s="17">
        <f>ROUND(VLOOKUP(H$163&amp;"_1",管理者用人口入力シート!BH:CE,J177,FALSE),0)</f>
        <v>309</v>
      </c>
      <c r="I177" s="17">
        <f>ROUND(VLOOKUP(H$163&amp;"_2",管理者用人口入力シート!BH:CE,J177,FALSE),0)</f>
        <v>362</v>
      </c>
      <c r="J177" s="2">
        <v>16</v>
      </c>
      <c r="N177" s="2" t="s">
        <v>12</v>
      </c>
      <c r="O177" s="17">
        <f>ROUND(VLOOKUP(O$163&amp;"_1",管理者用人口入力シート!CO:DL,Q177,FALSE),0)</f>
        <v>309</v>
      </c>
      <c r="P177" s="17">
        <f>ROUND(VLOOKUP(O$163&amp;"_2",管理者用人口入力シート!CO:DL,Q177,FALSE),0)</f>
        <v>363</v>
      </c>
      <c r="Q177" s="2">
        <v>16</v>
      </c>
    </row>
    <row r="178" spans="7:17" x14ac:dyDescent="0.15">
      <c r="G178" s="2" t="s">
        <v>13</v>
      </c>
      <c r="H178" s="17">
        <f>ROUND(VLOOKUP(H$163&amp;"_1",管理者用人口入力シート!BH:CE,J178,FALSE),0)</f>
        <v>301</v>
      </c>
      <c r="I178" s="17">
        <f>ROUND(VLOOKUP(H$163&amp;"_2",管理者用人口入力シート!BH:CE,J178,FALSE),0)</f>
        <v>335</v>
      </c>
      <c r="J178" s="2">
        <v>17</v>
      </c>
      <c r="N178" s="2" t="s">
        <v>13</v>
      </c>
      <c r="O178" s="17">
        <f>ROUND(VLOOKUP(O$163&amp;"_1",管理者用人口入力シート!CO:DL,Q178,FALSE),0)</f>
        <v>301</v>
      </c>
      <c r="P178" s="17">
        <f>ROUND(VLOOKUP(O$163&amp;"_2",管理者用人口入力シート!CO:DL,Q178,FALSE),0)</f>
        <v>335</v>
      </c>
      <c r="Q178" s="2">
        <v>17</v>
      </c>
    </row>
    <row r="179" spans="7:17" x14ac:dyDescent="0.15">
      <c r="G179" s="2" t="s">
        <v>14</v>
      </c>
      <c r="H179" s="17">
        <f>ROUND(VLOOKUP(H$163&amp;"_1",管理者用人口入力シート!BH:CE,J179,FALSE),0)</f>
        <v>333</v>
      </c>
      <c r="I179" s="17">
        <f>ROUND(VLOOKUP(H$163&amp;"_2",管理者用人口入力シート!BH:CE,J179,FALSE),0)</f>
        <v>374</v>
      </c>
      <c r="J179" s="2">
        <v>18</v>
      </c>
      <c r="N179" s="2" t="s">
        <v>14</v>
      </c>
      <c r="O179" s="17">
        <f>ROUND(VLOOKUP(O$163&amp;"_1",管理者用人口入力シート!CO:DL,Q179,FALSE),0)</f>
        <v>333</v>
      </c>
      <c r="P179" s="17">
        <f>ROUND(VLOOKUP(O$163&amp;"_2",管理者用人口入力シート!CO:DL,Q179,FALSE),0)</f>
        <v>374</v>
      </c>
      <c r="Q179" s="2">
        <v>18</v>
      </c>
    </row>
    <row r="180" spans="7:17" x14ac:dyDescent="0.15">
      <c r="G180" s="2" t="s">
        <v>15</v>
      </c>
      <c r="H180" s="17">
        <f>ROUND(VLOOKUP(H$163&amp;"_1",管理者用人口入力シート!BH:CE,J180,FALSE),0)</f>
        <v>236</v>
      </c>
      <c r="I180" s="17">
        <f>ROUND(VLOOKUP(H$163&amp;"_2",管理者用人口入力シート!BH:CE,J180,FALSE),0)</f>
        <v>320</v>
      </c>
      <c r="J180" s="2">
        <v>19</v>
      </c>
      <c r="N180" s="2" t="s">
        <v>15</v>
      </c>
      <c r="O180" s="17">
        <f>ROUND(VLOOKUP(O$163&amp;"_1",管理者用人口入力シート!CO:DL,Q180,FALSE),0)</f>
        <v>236</v>
      </c>
      <c r="P180" s="17">
        <f>ROUND(VLOOKUP(O$163&amp;"_2",管理者用人口入力シート!CO:DL,Q180,FALSE),0)</f>
        <v>320</v>
      </c>
      <c r="Q180" s="2">
        <v>19</v>
      </c>
    </row>
    <row r="181" spans="7:17" x14ac:dyDescent="0.15">
      <c r="G181" s="2" t="s">
        <v>16</v>
      </c>
      <c r="H181" s="17">
        <f>ROUND(VLOOKUP(H$163&amp;"_1",管理者用人口入力シート!BH:CE,J181,FALSE),0)</f>
        <v>182</v>
      </c>
      <c r="I181" s="17">
        <f>ROUND(VLOOKUP(H$163&amp;"_2",管理者用人口入力シート!BH:CE,J181,FALSE),0)</f>
        <v>267</v>
      </c>
      <c r="J181" s="2">
        <v>20</v>
      </c>
      <c r="N181" s="2" t="s">
        <v>16</v>
      </c>
      <c r="O181" s="17">
        <f>ROUND(VLOOKUP(O$163&amp;"_1",管理者用人口入力シート!CO:DL,Q181,FALSE),0)</f>
        <v>182</v>
      </c>
      <c r="P181" s="17">
        <f>ROUND(VLOOKUP(O$163&amp;"_2",管理者用人口入力シート!CO:DL,Q181,FALSE),0)</f>
        <v>267</v>
      </c>
      <c r="Q181" s="2">
        <v>20</v>
      </c>
    </row>
    <row r="182" spans="7:17" x14ac:dyDescent="0.15">
      <c r="G182" s="2" t="s">
        <v>17</v>
      </c>
      <c r="H182" s="17">
        <f>ROUND(VLOOKUP(H$163&amp;"_1",管理者用人口入力シート!BH:CE,J182,FALSE),0)</f>
        <v>130</v>
      </c>
      <c r="I182" s="17">
        <f>ROUND(VLOOKUP(H$163&amp;"_2",管理者用人口入力シート!BH:CE,J182,FALSE),0)</f>
        <v>224</v>
      </c>
      <c r="J182" s="2">
        <v>21</v>
      </c>
      <c r="N182" s="2" t="s">
        <v>17</v>
      </c>
      <c r="O182" s="17">
        <f>ROUND(VLOOKUP(O$163&amp;"_1",管理者用人口入力シート!CO:DL,Q182,FALSE),0)</f>
        <v>130</v>
      </c>
      <c r="P182" s="17">
        <f>ROUND(VLOOKUP(O$163&amp;"_2",管理者用人口入力シート!CO:DL,Q182,FALSE),0)</f>
        <v>224</v>
      </c>
      <c r="Q182" s="2">
        <v>21</v>
      </c>
    </row>
    <row r="183" spans="7:17" x14ac:dyDescent="0.15">
      <c r="G183" s="2" t="s">
        <v>18</v>
      </c>
      <c r="H183" s="17">
        <f>ROUND(VLOOKUP(H$163&amp;"_1",管理者用人口入力シート!BH:CE,J183,FALSE),0)</f>
        <v>73</v>
      </c>
      <c r="I183" s="17">
        <f>ROUND(VLOOKUP(H$163&amp;"_2",管理者用人口入力シート!BH:CE,J183,FALSE),0)</f>
        <v>146</v>
      </c>
      <c r="J183" s="2">
        <v>22</v>
      </c>
      <c r="N183" s="2" t="s">
        <v>18</v>
      </c>
      <c r="O183" s="17">
        <f>ROUND(VLOOKUP(O$163&amp;"_1",管理者用人口入力シート!CO:DL,Q183,FALSE),0)</f>
        <v>73</v>
      </c>
      <c r="P183" s="17">
        <f>ROUND(VLOOKUP(O$163&amp;"_2",管理者用人口入力シート!CO:DL,Q183,FALSE),0)</f>
        <v>146</v>
      </c>
      <c r="Q183" s="2">
        <v>22</v>
      </c>
    </row>
    <row r="184" spans="7:17" x14ac:dyDescent="0.15">
      <c r="G184" s="2" t="s">
        <v>19</v>
      </c>
      <c r="H184" s="17">
        <f>ROUND(VLOOKUP(H$163&amp;"_1",管理者用人口入力シート!BH:CE,J184,FALSE),0)</f>
        <v>24</v>
      </c>
      <c r="I184" s="17">
        <f>ROUND(VLOOKUP(H$163&amp;"_2",管理者用人口入力シート!BH:CE,J184,FALSE),0)</f>
        <v>55</v>
      </c>
      <c r="J184" s="2">
        <v>23</v>
      </c>
      <c r="N184" s="2" t="s">
        <v>19</v>
      </c>
      <c r="O184" s="17">
        <f>ROUND(VLOOKUP(O$163&amp;"_1",管理者用人口入力シート!CO:DL,Q184,FALSE),0)</f>
        <v>24</v>
      </c>
      <c r="P184" s="17">
        <f>ROUND(VLOOKUP(O$163&amp;"_2",管理者用人口入力シート!CO:DL,Q184,FALSE),0)</f>
        <v>55</v>
      </c>
      <c r="Q184" s="2">
        <v>23</v>
      </c>
    </row>
    <row r="185" spans="7:17" x14ac:dyDescent="0.15">
      <c r="G185" s="2" t="s">
        <v>20</v>
      </c>
      <c r="H185" s="17">
        <f>ROUND(VLOOKUP(H$163&amp;"_1",管理者用人口入力シート!BH:CE,J185,FALSE),0)</f>
        <v>4</v>
      </c>
      <c r="I185" s="17">
        <f>ROUND(VLOOKUP(H$163&amp;"_2",管理者用人口入力シート!BH:CE,J185,FALSE),0)</f>
        <v>10</v>
      </c>
      <c r="J185" s="2">
        <v>24</v>
      </c>
      <c r="N185" s="2" t="s">
        <v>20</v>
      </c>
      <c r="O185" s="17">
        <f>ROUND(VLOOKUP(O$163&amp;"_1",管理者用人口入力シート!CO:DL,Q185,FALSE),0)</f>
        <v>4</v>
      </c>
      <c r="P185" s="17">
        <f>ROUND(VLOOKUP(O$163&amp;"_2",管理者用人口入力シート!CO:DL,Q185,FALSE),0)</f>
        <v>10</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155</v>
      </c>
      <c r="I189" s="17">
        <f>ROUND(VLOOKUP(H$187&amp;"_2",管理者用人口入力シート!BH:CE,J189,FALSE),0)</f>
        <v>151</v>
      </c>
      <c r="J189" s="2">
        <v>4</v>
      </c>
      <c r="N189" s="2" t="s">
        <v>0</v>
      </c>
      <c r="O189" s="17">
        <f>ROUND(VLOOKUP(O$187&amp;"_1",管理者用人口入力シート!CO:DL,Q189,FALSE),0)</f>
        <v>158</v>
      </c>
      <c r="P189" s="17">
        <f>ROUND(VLOOKUP(O$187&amp;"_2",管理者用人口入力シート!CO:DL,Q189,FALSE),0)</f>
        <v>155</v>
      </c>
      <c r="Q189" s="2">
        <v>4</v>
      </c>
    </row>
    <row r="190" spans="7:17" x14ac:dyDescent="0.15">
      <c r="G190" s="2" t="s">
        <v>1</v>
      </c>
      <c r="H190" s="17">
        <f>ROUND(VLOOKUP(H$187&amp;"_1",管理者用人口入力シート!BH:CE,J190,FALSE),0)</f>
        <v>166</v>
      </c>
      <c r="I190" s="17">
        <f>ROUND(VLOOKUP(H$187&amp;"_2",管理者用人口入力シート!BH:CE,J190,FALSE),0)</f>
        <v>159</v>
      </c>
      <c r="J190" s="2">
        <v>5</v>
      </c>
      <c r="N190" s="2" t="s">
        <v>1</v>
      </c>
      <c r="O190" s="17">
        <f>ROUND(VLOOKUP(O$187&amp;"_1",管理者用人口入力シート!CO:DL,Q190,FALSE),0)</f>
        <v>169</v>
      </c>
      <c r="P190" s="17">
        <f>ROUND(VLOOKUP(O$187&amp;"_2",管理者用人口入力シート!CO:DL,Q190,FALSE),0)</f>
        <v>162</v>
      </c>
      <c r="Q190" s="2">
        <v>5</v>
      </c>
    </row>
    <row r="191" spans="7:17" x14ac:dyDescent="0.15">
      <c r="G191" s="2" t="s">
        <v>2</v>
      </c>
      <c r="H191" s="17">
        <f>ROUND(VLOOKUP(H$187&amp;"_1",管理者用人口入力シート!BH:CE,J191,FALSE),0)</f>
        <v>181</v>
      </c>
      <c r="I191" s="17">
        <f>ROUND(VLOOKUP(H$187&amp;"_2",管理者用人口入力シート!BH:CE,J191,FALSE),0)</f>
        <v>166</v>
      </c>
      <c r="J191" s="2">
        <v>6</v>
      </c>
      <c r="N191" s="2" t="s">
        <v>2</v>
      </c>
      <c r="O191" s="17">
        <f>ROUND(VLOOKUP(O$187&amp;"_1",管理者用人口入力シート!CO:DL,Q191,FALSE),0)</f>
        <v>185</v>
      </c>
      <c r="P191" s="17">
        <f>ROUND(VLOOKUP(O$187&amp;"_2",管理者用人口入力シート!CO:DL,Q191,FALSE),0)</f>
        <v>170</v>
      </c>
      <c r="Q191" s="2">
        <v>6</v>
      </c>
    </row>
    <row r="192" spans="7:17" x14ac:dyDescent="0.15">
      <c r="G192" s="2" t="s">
        <v>3</v>
      </c>
      <c r="H192" s="17">
        <f>ROUND(VLOOKUP(H$187&amp;"_1",管理者用人口入力シート!BH:CE,J192,FALSE),0)</f>
        <v>149</v>
      </c>
      <c r="I192" s="17">
        <f>ROUND(VLOOKUP(H$187&amp;"_2",管理者用人口入力シート!BH:CE,J192,FALSE),0)</f>
        <v>175</v>
      </c>
      <c r="J192" s="2">
        <v>7</v>
      </c>
      <c r="N192" s="2" t="s">
        <v>3</v>
      </c>
      <c r="O192" s="17">
        <f>ROUND(VLOOKUP(O$187&amp;"_1",管理者用人口入力シート!CO:DL,Q192,FALSE),0)</f>
        <v>152</v>
      </c>
      <c r="P192" s="17">
        <f>ROUND(VLOOKUP(O$187&amp;"_2",管理者用人口入力シート!CO:DL,Q192,FALSE),0)</f>
        <v>178</v>
      </c>
      <c r="Q192" s="2">
        <v>7</v>
      </c>
    </row>
    <row r="193" spans="7:17" x14ac:dyDescent="0.15">
      <c r="G193" s="2" t="s">
        <v>4</v>
      </c>
      <c r="H193" s="17">
        <f>ROUND(VLOOKUP(H$187&amp;"_1",管理者用人口入力シート!BH:CE,J193,FALSE),0)</f>
        <v>117</v>
      </c>
      <c r="I193" s="17">
        <f>ROUND(VLOOKUP(H$187&amp;"_2",管理者用人口入力シート!BH:CE,J193,FALSE),0)</f>
        <v>152</v>
      </c>
      <c r="J193" s="2">
        <v>8</v>
      </c>
      <c r="N193" s="2" t="s">
        <v>4</v>
      </c>
      <c r="O193" s="17">
        <f>ROUND(VLOOKUP(O$187&amp;"_1",管理者用人口入力シート!CO:DL,Q193,FALSE),0)</f>
        <v>118</v>
      </c>
      <c r="P193" s="17">
        <f>ROUND(VLOOKUP(O$187&amp;"_2",管理者用人口入力シート!CO:DL,Q193,FALSE),0)</f>
        <v>154</v>
      </c>
      <c r="Q193" s="2">
        <v>8</v>
      </c>
    </row>
    <row r="194" spans="7:17" x14ac:dyDescent="0.15">
      <c r="G194" s="2" t="s">
        <v>5</v>
      </c>
      <c r="H194" s="17">
        <f>ROUND(VLOOKUP(H$187&amp;"_1",管理者用人口入力シート!BH:CE,J194,FALSE),0)</f>
        <v>178</v>
      </c>
      <c r="I194" s="17">
        <f>ROUND(VLOOKUP(H$187&amp;"_2",管理者用人口入力シート!BH:CE,J194,FALSE),0)</f>
        <v>160</v>
      </c>
      <c r="J194" s="2">
        <v>9</v>
      </c>
      <c r="N194" s="2" t="s">
        <v>5</v>
      </c>
      <c r="O194" s="17">
        <f>ROUND(VLOOKUP(O$187&amp;"_1",管理者用人口入力シート!CO:DL,Q194,FALSE),0)</f>
        <v>181</v>
      </c>
      <c r="P194" s="17">
        <f>ROUND(VLOOKUP(O$187&amp;"_2",管理者用人口入力シート!CO:DL,Q194,FALSE),0)</f>
        <v>163</v>
      </c>
      <c r="Q194" s="2">
        <v>9</v>
      </c>
    </row>
    <row r="195" spans="7:17" x14ac:dyDescent="0.15">
      <c r="G195" s="2" t="s">
        <v>6</v>
      </c>
      <c r="H195" s="17">
        <f>ROUND(VLOOKUP(H$187&amp;"_1",管理者用人口入力シート!BH:CE,J195,FALSE),0)</f>
        <v>203</v>
      </c>
      <c r="I195" s="17">
        <f>ROUND(VLOOKUP(H$187&amp;"_2",管理者用人口入力シート!BH:CE,J195,FALSE),0)</f>
        <v>190</v>
      </c>
      <c r="J195" s="2">
        <v>10</v>
      </c>
      <c r="N195" s="2" t="s">
        <v>6</v>
      </c>
      <c r="O195" s="17">
        <f>ROUND(VLOOKUP(O$187&amp;"_1",管理者用人口入力シート!CO:DL,Q195,FALSE),0)</f>
        <v>205</v>
      </c>
      <c r="P195" s="17">
        <f>ROUND(VLOOKUP(O$187&amp;"_2",管理者用人口入力シート!CO:DL,Q195,FALSE),0)</f>
        <v>193</v>
      </c>
      <c r="Q195" s="2">
        <v>10</v>
      </c>
    </row>
    <row r="196" spans="7:17" x14ac:dyDescent="0.15">
      <c r="G196" s="2" t="s">
        <v>7</v>
      </c>
      <c r="H196" s="17">
        <f>ROUND(VLOOKUP(H$187&amp;"_1",管理者用人口入力シート!BH:CE,J196,FALSE),0)</f>
        <v>211</v>
      </c>
      <c r="I196" s="17">
        <f>ROUND(VLOOKUP(H$187&amp;"_2",管理者用人口入力シート!BH:CE,J196,FALSE),0)</f>
        <v>184</v>
      </c>
      <c r="J196" s="2">
        <v>11</v>
      </c>
      <c r="N196" s="2" t="s">
        <v>7</v>
      </c>
      <c r="O196" s="17">
        <f>ROUND(VLOOKUP(O$187&amp;"_1",管理者用人口入力シート!CO:DL,Q196,FALSE),0)</f>
        <v>214</v>
      </c>
      <c r="P196" s="17">
        <f>ROUND(VLOOKUP(O$187&amp;"_2",管理者用人口入力シート!CO:DL,Q196,FALSE),0)</f>
        <v>186</v>
      </c>
      <c r="Q196" s="2">
        <v>11</v>
      </c>
    </row>
    <row r="197" spans="7:17" x14ac:dyDescent="0.15">
      <c r="G197" s="2" t="s">
        <v>8</v>
      </c>
      <c r="H197" s="17">
        <f>ROUND(VLOOKUP(H$187&amp;"_1",管理者用人口入力シート!BH:CE,J197,FALSE),0)</f>
        <v>206</v>
      </c>
      <c r="I197" s="17">
        <f>ROUND(VLOOKUP(H$187&amp;"_2",管理者用人口入力シート!BH:CE,J197,FALSE),0)</f>
        <v>208</v>
      </c>
      <c r="J197" s="2">
        <v>12</v>
      </c>
      <c r="N197" s="2" t="s">
        <v>8</v>
      </c>
      <c r="O197" s="17">
        <f>ROUND(VLOOKUP(O$187&amp;"_1",管理者用人口入力シート!CO:DL,Q197,FALSE),0)</f>
        <v>207</v>
      </c>
      <c r="P197" s="17">
        <f>ROUND(VLOOKUP(O$187&amp;"_2",管理者用人口入力シート!CO:DL,Q197,FALSE),0)</f>
        <v>211</v>
      </c>
      <c r="Q197" s="2">
        <v>12</v>
      </c>
    </row>
    <row r="198" spans="7:17" x14ac:dyDescent="0.15">
      <c r="G198" s="2" t="s">
        <v>9</v>
      </c>
      <c r="H198" s="17">
        <f>ROUND(VLOOKUP(H$187&amp;"_1",管理者用人口入力シート!BH:CE,J198,FALSE),0)</f>
        <v>204</v>
      </c>
      <c r="I198" s="17">
        <f>ROUND(VLOOKUP(H$187&amp;"_2",管理者用人口入力シート!BH:CE,J198,FALSE),0)</f>
        <v>212</v>
      </c>
      <c r="J198" s="2">
        <v>13</v>
      </c>
      <c r="N198" s="2" t="s">
        <v>9</v>
      </c>
      <c r="O198" s="17">
        <f>ROUND(VLOOKUP(O$187&amp;"_1",管理者用人口入力シート!CO:DL,Q198,FALSE),0)</f>
        <v>206</v>
      </c>
      <c r="P198" s="17">
        <f>ROUND(VLOOKUP(O$187&amp;"_2",管理者用人口入力シート!CO:DL,Q198,FALSE),0)</f>
        <v>215</v>
      </c>
      <c r="Q198" s="2">
        <v>13</v>
      </c>
    </row>
    <row r="199" spans="7:17" x14ac:dyDescent="0.15">
      <c r="G199" s="2" t="s">
        <v>10</v>
      </c>
      <c r="H199" s="17">
        <f>ROUND(VLOOKUP(H$187&amp;"_1",管理者用人口入力シート!BH:CE,J199,FALSE),0)</f>
        <v>224</v>
      </c>
      <c r="I199" s="17">
        <f>ROUND(VLOOKUP(H$187&amp;"_2",管理者用人口入力シート!BH:CE,J199,FALSE),0)</f>
        <v>207</v>
      </c>
      <c r="J199" s="2">
        <v>14</v>
      </c>
      <c r="N199" s="2" t="s">
        <v>10</v>
      </c>
      <c r="O199" s="17">
        <f>ROUND(VLOOKUP(O$187&amp;"_1",管理者用人口入力シート!CO:DL,Q199,FALSE),0)</f>
        <v>226</v>
      </c>
      <c r="P199" s="17">
        <f>ROUND(VLOOKUP(O$187&amp;"_2",管理者用人口入力シート!CO:DL,Q199,FALSE),0)</f>
        <v>210</v>
      </c>
      <c r="Q199" s="2">
        <v>14</v>
      </c>
    </row>
    <row r="200" spans="7:17" x14ac:dyDescent="0.15">
      <c r="G200" s="2" t="s">
        <v>11</v>
      </c>
      <c r="H200" s="17">
        <f>ROUND(VLOOKUP(H$187&amp;"_1",管理者用人口入力シート!BH:CE,J200,FALSE),0)</f>
        <v>266</v>
      </c>
      <c r="I200" s="17">
        <f>ROUND(VLOOKUP(H$187&amp;"_2",管理者用人口入力シート!BH:CE,J200,FALSE),0)</f>
        <v>250</v>
      </c>
      <c r="J200" s="2">
        <v>15</v>
      </c>
      <c r="N200" s="2" t="s">
        <v>11</v>
      </c>
      <c r="O200" s="17">
        <f>ROUND(VLOOKUP(O$187&amp;"_1",管理者用人口入力シート!CO:DL,Q200,FALSE),0)</f>
        <v>266</v>
      </c>
      <c r="P200" s="17">
        <f>ROUND(VLOOKUP(O$187&amp;"_2",管理者用人口入力シート!CO:DL,Q200,FALSE),0)</f>
        <v>251</v>
      </c>
      <c r="Q200" s="2">
        <v>15</v>
      </c>
    </row>
    <row r="201" spans="7:17" x14ac:dyDescent="0.15">
      <c r="G201" s="2" t="s">
        <v>12</v>
      </c>
      <c r="H201" s="17">
        <f>ROUND(VLOOKUP(H$187&amp;"_1",管理者用人口入力シート!BH:CE,J201,FALSE),0)</f>
        <v>278</v>
      </c>
      <c r="I201" s="17">
        <f>ROUND(VLOOKUP(H$187&amp;"_2",管理者用人口入力シート!BH:CE,J201,FALSE),0)</f>
        <v>271</v>
      </c>
      <c r="J201" s="2">
        <v>16</v>
      </c>
      <c r="N201" s="2" t="s">
        <v>12</v>
      </c>
      <c r="O201" s="17">
        <f>ROUND(VLOOKUP(O$187&amp;"_1",管理者用人口入力シート!CO:DL,Q201,FALSE),0)</f>
        <v>278</v>
      </c>
      <c r="P201" s="17">
        <f>ROUND(VLOOKUP(O$187&amp;"_2",管理者用人口入力シート!CO:DL,Q201,FALSE),0)</f>
        <v>272</v>
      </c>
      <c r="Q201" s="2">
        <v>16</v>
      </c>
    </row>
    <row r="202" spans="7:17" x14ac:dyDescent="0.15">
      <c r="G202" s="2" t="s">
        <v>13</v>
      </c>
      <c r="H202" s="17">
        <f>ROUND(VLOOKUP(H$187&amp;"_1",管理者用人口入力シート!BH:CE,J202,FALSE),0)</f>
        <v>281</v>
      </c>
      <c r="I202" s="17">
        <f>ROUND(VLOOKUP(H$187&amp;"_2",管理者用人口入力シート!BH:CE,J202,FALSE),0)</f>
        <v>354</v>
      </c>
      <c r="J202" s="2">
        <v>17</v>
      </c>
      <c r="N202" s="2" t="s">
        <v>13</v>
      </c>
      <c r="O202" s="17">
        <f>ROUND(VLOOKUP(O$187&amp;"_1",管理者用人口入力シート!CO:DL,Q202,FALSE),0)</f>
        <v>281</v>
      </c>
      <c r="P202" s="17">
        <f>ROUND(VLOOKUP(O$187&amp;"_2",管理者用人口入力シート!CO:DL,Q202,FALSE),0)</f>
        <v>355</v>
      </c>
      <c r="Q202" s="2">
        <v>17</v>
      </c>
    </row>
    <row r="203" spans="7:17" x14ac:dyDescent="0.15">
      <c r="G203" s="2" t="s">
        <v>14</v>
      </c>
      <c r="H203" s="17">
        <f>ROUND(VLOOKUP(H$187&amp;"_1",管理者用人口入力シート!BH:CE,J203,FALSE),0)</f>
        <v>272</v>
      </c>
      <c r="I203" s="17">
        <f>ROUND(VLOOKUP(H$187&amp;"_2",管理者用人口入力シート!BH:CE,J203,FALSE),0)</f>
        <v>332</v>
      </c>
      <c r="J203" s="2">
        <v>18</v>
      </c>
      <c r="N203" s="2" t="s">
        <v>14</v>
      </c>
      <c r="O203" s="17">
        <f>ROUND(VLOOKUP(O$187&amp;"_1",管理者用人口入力シート!CO:DL,Q203,FALSE),0)</f>
        <v>272</v>
      </c>
      <c r="P203" s="17">
        <f>ROUND(VLOOKUP(O$187&amp;"_2",管理者用人口入力シート!CO:DL,Q203,FALSE),0)</f>
        <v>332</v>
      </c>
      <c r="Q203" s="2">
        <v>18</v>
      </c>
    </row>
    <row r="204" spans="7:17" x14ac:dyDescent="0.15">
      <c r="G204" s="2" t="s">
        <v>15</v>
      </c>
      <c r="H204" s="17">
        <f>ROUND(VLOOKUP(H$187&amp;"_1",管理者用人口入力シート!BH:CE,J204,FALSE),0)</f>
        <v>288</v>
      </c>
      <c r="I204" s="17">
        <f>ROUND(VLOOKUP(H$187&amp;"_2",管理者用人口入力シート!BH:CE,J204,FALSE),0)</f>
        <v>337</v>
      </c>
      <c r="J204" s="2">
        <v>19</v>
      </c>
      <c r="N204" s="2" t="s">
        <v>15</v>
      </c>
      <c r="O204" s="17">
        <f>ROUND(VLOOKUP(O$187&amp;"_1",管理者用人口入力シート!CO:DL,Q204,FALSE),0)</f>
        <v>288</v>
      </c>
      <c r="P204" s="17">
        <f>ROUND(VLOOKUP(O$187&amp;"_2",管理者用人口入力シート!CO:DL,Q204,FALSE),0)</f>
        <v>337</v>
      </c>
      <c r="Q204" s="2">
        <v>19</v>
      </c>
    </row>
    <row r="205" spans="7:17" x14ac:dyDescent="0.15">
      <c r="G205" s="2" t="s">
        <v>16</v>
      </c>
      <c r="H205" s="17">
        <f>ROUND(VLOOKUP(H$187&amp;"_1",管理者用人口入力シート!BH:CE,J205,FALSE),0)</f>
        <v>185</v>
      </c>
      <c r="I205" s="17">
        <f>ROUND(VLOOKUP(H$187&amp;"_2",管理者用人口入力シート!BH:CE,J205,FALSE),0)</f>
        <v>273</v>
      </c>
      <c r="J205" s="2">
        <v>20</v>
      </c>
      <c r="N205" s="2" t="s">
        <v>16</v>
      </c>
      <c r="O205" s="17">
        <f>ROUND(VLOOKUP(O$187&amp;"_1",管理者用人口入力シート!CO:DL,Q205,FALSE),0)</f>
        <v>185</v>
      </c>
      <c r="P205" s="17">
        <f>ROUND(VLOOKUP(O$187&amp;"_2",管理者用人口入力シート!CO:DL,Q205,FALSE),0)</f>
        <v>273</v>
      </c>
      <c r="Q205" s="2">
        <v>20</v>
      </c>
    </row>
    <row r="206" spans="7:17" x14ac:dyDescent="0.15">
      <c r="G206" s="2" t="s">
        <v>17</v>
      </c>
      <c r="H206" s="17">
        <f>ROUND(VLOOKUP(H$187&amp;"_1",管理者用人口入力シート!BH:CE,J206,FALSE),0)</f>
        <v>113</v>
      </c>
      <c r="I206" s="17">
        <f>ROUND(VLOOKUP(H$187&amp;"_2",管理者用人口入力シート!BH:CE,J206,FALSE),0)</f>
        <v>201</v>
      </c>
      <c r="J206" s="2">
        <v>21</v>
      </c>
      <c r="N206" s="2" t="s">
        <v>17</v>
      </c>
      <c r="O206" s="17">
        <f>ROUND(VLOOKUP(O$187&amp;"_1",管理者用人口入力シート!CO:DL,Q206,FALSE),0)</f>
        <v>113</v>
      </c>
      <c r="P206" s="17">
        <f>ROUND(VLOOKUP(O$187&amp;"_2",管理者用人口入力シート!CO:DL,Q206,FALSE),0)</f>
        <v>201</v>
      </c>
      <c r="Q206" s="2">
        <v>21</v>
      </c>
    </row>
    <row r="207" spans="7:17" x14ac:dyDescent="0.15">
      <c r="G207" s="2" t="s">
        <v>18</v>
      </c>
      <c r="H207" s="17">
        <f>ROUND(VLOOKUP(H$187&amp;"_1",管理者用人口入力シート!BH:CE,J207,FALSE),0)</f>
        <v>66</v>
      </c>
      <c r="I207" s="17">
        <f>ROUND(VLOOKUP(H$187&amp;"_2",管理者用人口入力シート!BH:CE,J207,FALSE),0)</f>
        <v>124</v>
      </c>
      <c r="J207" s="2">
        <v>22</v>
      </c>
      <c r="N207" s="2" t="s">
        <v>18</v>
      </c>
      <c r="O207" s="17">
        <f>ROUND(VLOOKUP(O$187&amp;"_1",管理者用人口入力シート!CO:DL,Q207,FALSE),0)</f>
        <v>66</v>
      </c>
      <c r="P207" s="17">
        <f>ROUND(VLOOKUP(O$187&amp;"_2",管理者用人口入力シート!CO:DL,Q207,FALSE),0)</f>
        <v>124</v>
      </c>
      <c r="Q207" s="2">
        <v>22</v>
      </c>
    </row>
    <row r="208" spans="7:17" x14ac:dyDescent="0.15">
      <c r="G208" s="2" t="s">
        <v>19</v>
      </c>
      <c r="H208" s="17">
        <f>ROUND(VLOOKUP(H$187&amp;"_1",管理者用人口入力シート!BH:CE,J208,FALSE),0)</f>
        <v>17</v>
      </c>
      <c r="I208" s="17">
        <f>ROUND(VLOOKUP(H$187&amp;"_2",管理者用人口入力シート!BH:CE,J208,FALSE),0)</f>
        <v>47</v>
      </c>
      <c r="J208" s="2">
        <v>23</v>
      </c>
      <c r="N208" s="2" t="s">
        <v>19</v>
      </c>
      <c r="O208" s="17">
        <f>ROUND(VLOOKUP(O$187&amp;"_1",管理者用人口入力シート!CO:DL,Q208,FALSE),0)</f>
        <v>17</v>
      </c>
      <c r="P208" s="17">
        <f>ROUND(VLOOKUP(O$187&amp;"_2",管理者用人口入力シート!CO:DL,Q208,FALSE),0)</f>
        <v>47</v>
      </c>
      <c r="Q208" s="2">
        <v>23</v>
      </c>
    </row>
    <row r="209" spans="7:17" x14ac:dyDescent="0.15">
      <c r="G209" s="2" t="s">
        <v>20</v>
      </c>
      <c r="H209" s="17">
        <f>ROUND(VLOOKUP(H$187&amp;"_1",管理者用人口入力シート!BH:CE,J209,FALSE),0)</f>
        <v>5</v>
      </c>
      <c r="I209" s="17">
        <f>ROUND(VLOOKUP(H$187&amp;"_2",管理者用人口入力シート!BH:CE,J209,FALSE),0)</f>
        <v>11</v>
      </c>
      <c r="J209" s="2">
        <v>24</v>
      </c>
      <c r="N209" s="2" t="s">
        <v>20</v>
      </c>
      <c r="O209" s="17">
        <f>ROUND(VLOOKUP(O$187&amp;"_1",管理者用人口入力シート!CO:DL,Q209,FALSE),0)</f>
        <v>5</v>
      </c>
      <c r="P209" s="17">
        <f>ROUND(VLOOKUP(O$187&amp;"_2",管理者用人口入力シート!CO:DL,Q209,FALSE),0)</f>
        <v>11</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387</v>
      </c>
      <c r="P214" s="17">
        <f>O93+P93</f>
        <v>391</v>
      </c>
      <c r="Q214" s="2">
        <v>4</v>
      </c>
    </row>
    <row r="215" spans="7:17" x14ac:dyDescent="0.15">
      <c r="N215" s="2" t="s">
        <v>1</v>
      </c>
      <c r="O215" s="17">
        <f t="shared" ref="O215:O233" si="37">H94+I94</f>
        <v>406</v>
      </c>
      <c r="P215" s="17">
        <f t="shared" ref="P215:P233" si="38">O94+P94</f>
        <v>408</v>
      </c>
      <c r="Q215" s="2">
        <v>5</v>
      </c>
    </row>
    <row r="216" spans="7:17" x14ac:dyDescent="0.15">
      <c r="N216" s="2" t="s">
        <v>2</v>
      </c>
      <c r="O216" s="17">
        <f t="shared" si="37"/>
        <v>474</v>
      </c>
      <c r="P216" s="17">
        <f t="shared" si="38"/>
        <v>476</v>
      </c>
      <c r="Q216" s="2">
        <v>6</v>
      </c>
    </row>
    <row r="217" spans="7:17" x14ac:dyDescent="0.15">
      <c r="N217" s="2" t="s">
        <v>3</v>
      </c>
      <c r="O217" s="17">
        <f t="shared" si="37"/>
        <v>455</v>
      </c>
      <c r="P217" s="17">
        <f t="shared" si="38"/>
        <v>457</v>
      </c>
      <c r="Q217" s="2">
        <v>7</v>
      </c>
    </row>
    <row r="218" spans="7:17" x14ac:dyDescent="0.15">
      <c r="N218" s="2" t="s">
        <v>4</v>
      </c>
      <c r="O218" s="17">
        <f t="shared" si="37"/>
        <v>369</v>
      </c>
      <c r="P218" s="17">
        <f t="shared" si="38"/>
        <v>369</v>
      </c>
      <c r="Q218" s="2">
        <v>8</v>
      </c>
    </row>
    <row r="219" spans="7:17" x14ac:dyDescent="0.15">
      <c r="N219" s="2" t="s">
        <v>5</v>
      </c>
      <c r="O219" s="17">
        <f t="shared" si="37"/>
        <v>425</v>
      </c>
      <c r="P219" s="17">
        <f t="shared" si="38"/>
        <v>429</v>
      </c>
      <c r="Q219" s="2">
        <v>9</v>
      </c>
    </row>
    <row r="220" spans="7:17" x14ac:dyDescent="0.15">
      <c r="N220" s="2" t="s">
        <v>6</v>
      </c>
      <c r="O220" s="17">
        <f t="shared" si="37"/>
        <v>439</v>
      </c>
      <c r="P220" s="17">
        <f t="shared" si="38"/>
        <v>443</v>
      </c>
      <c r="Q220" s="2">
        <v>10</v>
      </c>
    </row>
    <row r="221" spans="7:17" x14ac:dyDescent="0.15">
      <c r="N221" s="2" t="s">
        <v>7</v>
      </c>
      <c r="O221" s="17">
        <f t="shared" si="37"/>
        <v>496</v>
      </c>
      <c r="P221" s="17">
        <f t="shared" si="38"/>
        <v>496</v>
      </c>
      <c r="Q221" s="2">
        <v>11</v>
      </c>
    </row>
    <row r="222" spans="7:17" x14ac:dyDescent="0.15">
      <c r="N222" s="2" t="s">
        <v>8</v>
      </c>
      <c r="O222" s="17">
        <f t="shared" si="37"/>
        <v>553</v>
      </c>
      <c r="P222" s="17">
        <f t="shared" si="38"/>
        <v>554</v>
      </c>
      <c r="Q222" s="2">
        <v>12</v>
      </c>
    </row>
    <row r="223" spans="7:17" x14ac:dyDescent="0.15">
      <c r="N223" s="2" t="s">
        <v>9</v>
      </c>
      <c r="O223" s="17">
        <f t="shared" si="37"/>
        <v>684</v>
      </c>
      <c r="P223" s="17">
        <f t="shared" si="38"/>
        <v>685</v>
      </c>
      <c r="Q223" s="2">
        <v>13</v>
      </c>
    </row>
    <row r="224" spans="7:17" x14ac:dyDescent="0.15">
      <c r="N224" s="2" t="s">
        <v>10</v>
      </c>
      <c r="O224" s="17">
        <f t="shared" si="37"/>
        <v>686</v>
      </c>
      <c r="P224" s="17">
        <f t="shared" si="38"/>
        <v>686</v>
      </c>
      <c r="Q224" s="2">
        <v>14</v>
      </c>
    </row>
    <row r="225" spans="14:17" x14ac:dyDescent="0.15">
      <c r="N225" s="2" t="s">
        <v>11</v>
      </c>
      <c r="O225" s="17">
        <f t="shared" si="37"/>
        <v>811</v>
      </c>
      <c r="P225" s="17">
        <f t="shared" si="38"/>
        <v>811</v>
      </c>
      <c r="Q225" s="2">
        <v>15</v>
      </c>
    </row>
    <row r="226" spans="14:17" x14ac:dyDescent="0.15">
      <c r="N226" s="2" t="s">
        <v>12</v>
      </c>
      <c r="O226" s="17">
        <f t="shared" si="37"/>
        <v>698</v>
      </c>
      <c r="P226" s="17">
        <f t="shared" si="38"/>
        <v>698</v>
      </c>
      <c r="Q226" s="2">
        <v>16</v>
      </c>
    </row>
    <row r="227" spans="14:17" x14ac:dyDescent="0.15">
      <c r="N227" s="2" t="s">
        <v>13</v>
      </c>
      <c r="O227" s="17">
        <f t="shared" si="37"/>
        <v>648</v>
      </c>
      <c r="P227" s="17">
        <f t="shared" si="38"/>
        <v>648</v>
      </c>
      <c r="Q227" s="2">
        <v>17</v>
      </c>
    </row>
    <row r="228" spans="14:17" x14ac:dyDescent="0.15">
      <c r="N228" s="2" t="s">
        <v>14</v>
      </c>
      <c r="O228" s="17">
        <f t="shared" si="37"/>
        <v>699</v>
      </c>
      <c r="P228" s="17">
        <f t="shared" si="38"/>
        <v>699</v>
      </c>
      <c r="Q228" s="2">
        <v>18</v>
      </c>
    </row>
    <row r="229" spans="14:17" x14ac:dyDescent="0.15">
      <c r="N229" s="2" t="s">
        <v>15</v>
      </c>
      <c r="O229" s="17">
        <f t="shared" si="37"/>
        <v>709</v>
      </c>
      <c r="P229" s="17">
        <f t="shared" si="38"/>
        <v>709</v>
      </c>
      <c r="Q229" s="2">
        <v>19</v>
      </c>
    </row>
    <row r="230" spans="14:17" x14ac:dyDescent="0.15">
      <c r="N230" s="2" t="s">
        <v>16</v>
      </c>
      <c r="O230" s="17">
        <f t="shared" si="37"/>
        <v>728</v>
      </c>
      <c r="P230" s="17">
        <f t="shared" si="38"/>
        <v>728</v>
      </c>
      <c r="Q230" s="2">
        <v>20</v>
      </c>
    </row>
    <row r="231" spans="14:17" x14ac:dyDescent="0.15">
      <c r="N231" s="2" t="s">
        <v>17</v>
      </c>
      <c r="O231" s="17">
        <f t="shared" si="37"/>
        <v>414</v>
      </c>
      <c r="P231" s="17">
        <f t="shared" si="38"/>
        <v>414</v>
      </c>
      <c r="Q231" s="2">
        <v>21</v>
      </c>
    </row>
    <row r="232" spans="14:17" x14ac:dyDescent="0.15">
      <c r="N232" s="2" t="s">
        <v>18</v>
      </c>
      <c r="O232" s="17">
        <f t="shared" si="37"/>
        <v>238</v>
      </c>
      <c r="P232" s="17">
        <f t="shared" si="38"/>
        <v>238</v>
      </c>
      <c r="Q232" s="2">
        <v>22</v>
      </c>
    </row>
    <row r="233" spans="14:17" x14ac:dyDescent="0.15">
      <c r="N233" s="2" t="s">
        <v>19</v>
      </c>
      <c r="O233" s="17">
        <f t="shared" si="37"/>
        <v>76</v>
      </c>
      <c r="P233" s="17">
        <f t="shared" si="38"/>
        <v>76</v>
      </c>
      <c r="Q233" s="2">
        <v>23</v>
      </c>
    </row>
    <row r="234" spans="14:17" x14ac:dyDescent="0.15">
      <c r="N234" s="2" t="s">
        <v>20</v>
      </c>
      <c r="O234" s="17">
        <f>H113+I113</f>
        <v>16</v>
      </c>
      <c r="P234" s="17">
        <f>O113+P113</f>
        <v>16</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356</v>
      </c>
      <c r="P238" s="17">
        <f>O141+P141</f>
        <v>361</v>
      </c>
      <c r="Q238" s="2">
        <v>4</v>
      </c>
    </row>
    <row r="239" spans="14:17" x14ac:dyDescent="0.15">
      <c r="N239" s="2" t="s">
        <v>1</v>
      </c>
      <c r="O239" s="17">
        <f t="shared" ref="O239:O257" si="39">H142+I142</f>
        <v>357</v>
      </c>
      <c r="P239" s="17">
        <f t="shared" ref="P239:P257" si="40">O142+P142</f>
        <v>362</v>
      </c>
      <c r="Q239" s="2">
        <v>5</v>
      </c>
    </row>
    <row r="240" spans="14:17" x14ac:dyDescent="0.15">
      <c r="N240" s="2" t="s">
        <v>2</v>
      </c>
      <c r="O240" s="17">
        <f t="shared" si="39"/>
        <v>379</v>
      </c>
      <c r="P240" s="17">
        <f t="shared" si="40"/>
        <v>384</v>
      </c>
      <c r="Q240" s="2">
        <v>6</v>
      </c>
    </row>
    <row r="241" spans="14:17" x14ac:dyDescent="0.15">
      <c r="N241" s="2" t="s">
        <v>3</v>
      </c>
      <c r="O241" s="17">
        <f t="shared" si="39"/>
        <v>369</v>
      </c>
      <c r="P241" s="17">
        <f t="shared" si="40"/>
        <v>372</v>
      </c>
      <c r="Q241" s="2">
        <v>7</v>
      </c>
    </row>
    <row r="242" spans="14:17" x14ac:dyDescent="0.15">
      <c r="N242" s="2" t="s">
        <v>4</v>
      </c>
      <c r="O242" s="17">
        <f t="shared" si="39"/>
        <v>336</v>
      </c>
      <c r="P242" s="17">
        <f t="shared" si="40"/>
        <v>338</v>
      </c>
      <c r="Q242" s="2">
        <v>8</v>
      </c>
    </row>
    <row r="243" spans="14:17" x14ac:dyDescent="0.15">
      <c r="N243" s="2" t="s">
        <v>5</v>
      </c>
      <c r="O243" s="17">
        <f t="shared" si="39"/>
        <v>419</v>
      </c>
      <c r="P243" s="17">
        <f t="shared" si="40"/>
        <v>423</v>
      </c>
      <c r="Q243" s="2">
        <v>9</v>
      </c>
    </row>
    <row r="244" spans="14:17" x14ac:dyDescent="0.15">
      <c r="N244" s="2" t="s">
        <v>6</v>
      </c>
      <c r="O244" s="17">
        <f t="shared" si="39"/>
        <v>428</v>
      </c>
      <c r="P244" s="17">
        <f t="shared" si="40"/>
        <v>431</v>
      </c>
      <c r="Q244" s="2">
        <v>10</v>
      </c>
    </row>
    <row r="245" spans="14:17" x14ac:dyDescent="0.15">
      <c r="N245" s="2" t="s">
        <v>7</v>
      </c>
      <c r="O245" s="17">
        <f t="shared" si="39"/>
        <v>401</v>
      </c>
      <c r="P245" s="17">
        <f t="shared" si="40"/>
        <v>405</v>
      </c>
      <c r="Q245" s="2">
        <v>11</v>
      </c>
    </row>
    <row r="246" spans="14:17" x14ac:dyDescent="0.15">
      <c r="N246" s="2" t="s">
        <v>8</v>
      </c>
      <c r="O246" s="17">
        <f t="shared" si="39"/>
        <v>425</v>
      </c>
      <c r="P246" s="17">
        <f t="shared" si="40"/>
        <v>430</v>
      </c>
      <c r="Q246" s="2">
        <v>12</v>
      </c>
    </row>
    <row r="247" spans="14:17" x14ac:dyDescent="0.15">
      <c r="N247" s="2" t="s">
        <v>9</v>
      </c>
      <c r="O247" s="17">
        <f t="shared" si="39"/>
        <v>513</v>
      </c>
      <c r="P247" s="17">
        <f t="shared" si="40"/>
        <v>514</v>
      </c>
      <c r="Q247" s="2">
        <v>13</v>
      </c>
    </row>
    <row r="248" spans="14:17" x14ac:dyDescent="0.15">
      <c r="N248" s="2" t="s">
        <v>10</v>
      </c>
      <c r="O248" s="17">
        <f t="shared" si="39"/>
        <v>561</v>
      </c>
      <c r="P248" s="17">
        <f t="shared" si="40"/>
        <v>562</v>
      </c>
      <c r="Q248" s="2">
        <v>14</v>
      </c>
    </row>
    <row r="249" spans="14:17" x14ac:dyDescent="0.15">
      <c r="N249" s="2" t="s">
        <v>11</v>
      </c>
      <c r="O249" s="17">
        <f t="shared" si="39"/>
        <v>689</v>
      </c>
      <c r="P249" s="17">
        <f t="shared" si="40"/>
        <v>690</v>
      </c>
      <c r="Q249" s="2">
        <v>15</v>
      </c>
    </row>
    <row r="250" spans="14:17" x14ac:dyDescent="0.15">
      <c r="N250" s="2" t="s">
        <v>12</v>
      </c>
      <c r="O250" s="17">
        <f t="shared" si="39"/>
        <v>673</v>
      </c>
      <c r="P250" s="17">
        <f t="shared" si="40"/>
        <v>673</v>
      </c>
      <c r="Q250" s="2">
        <v>16</v>
      </c>
    </row>
    <row r="251" spans="14:17" x14ac:dyDescent="0.15">
      <c r="N251" s="2" t="s">
        <v>13</v>
      </c>
      <c r="O251" s="17">
        <f t="shared" si="39"/>
        <v>746</v>
      </c>
      <c r="P251" s="17">
        <f t="shared" si="40"/>
        <v>746</v>
      </c>
      <c r="Q251" s="2">
        <v>17</v>
      </c>
    </row>
    <row r="252" spans="14:17" x14ac:dyDescent="0.15">
      <c r="N252" s="2" t="s">
        <v>14</v>
      </c>
      <c r="O252" s="17">
        <f t="shared" si="39"/>
        <v>629</v>
      </c>
      <c r="P252" s="17">
        <f t="shared" si="40"/>
        <v>629</v>
      </c>
      <c r="Q252" s="2">
        <v>18</v>
      </c>
    </row>
    <row r="253" spans="14:17" x14ac:dyDescent="0.15">
      <c r="N253" s="2" t="s">
        <v>15</v>
      </c>
      <c r="O253" s="17">
        <f t="shared" si="39"/>
        <v>546</v>
      </c>
      <c r="P253" s="17">
        <f t="shared" si="40"/>
        <v>546</v>
      </c>
      <c r="Q253" s="2">
        <v>19</v>
      </c>
    </row>
    <row r="254" spans="14:17" x14ac:dyDescent="0.15">
      <c r="N254" s="2" t="s">
        <v>16</v>
      </c>
      <c r="O254" s="17">
        <f t="shared" si="39"/>
        <v>509</v>
      </c>
      <c r="P254" s="17">
        <f t="shared" si="40"/>
        <v>509</v>
      </c>
      <c r="Q254" s="2">
        <v>20</v>
      </c>
    </row>
    <row r="255" spans="14:17" x14ac:dyDescent="0.15">
      <c r="N255" s="2" t="s">
        <v>17</v>
      </c>
      <c r="O255" s="17">
        <f t="shared" si="39"/>
        <v>409</v>
      </c>
      <c r="P255" s="17">
        <f t="shared" si="40"/>
        <v>409</v>
      </c>
      <c r="Q255" s="2">
        <v>21</v>
      </c>
    </row>
    <row r="256" spans="14:17" x14ac:dyDescent="0.15">
      <c r="N256" s="2" t="s">
        <v>18</v>
      </c>
      <c r="O256" s="17">
        <f t="shared" si="39"/>
        <v>270</v>
      </c>
      <c r="P256" s="17">
        <f t="shared" si="40"/>
        <v>270</v>
      </c>
      <c r="Q256" s="2">
        <v>22</v>
      </c>
    </row>
    <row r="257" spans="14:17" x14ac:dyDescent="0.15">
      <c r="N257" s="2" t="s">
        <v>19</v>
      </c>
      <c r="O257" s="17">
        <f t="shared" si="39"/>
        <v>65</v>
      </c>
      <c r="P257" s="17">
        <f t="shared" si="40"/>
        <v>65</v>
      </c>
      <c r="Q257" s="2">
        <v>23</v>
      </c>
    </row>
    <row r="258" spans="14:17" x14ac:dyDescent="0.15">
      <c r="N258" s="2" t="s">
        <v>20</v>
      </c>
      <c r="O258" s="17">
        <f>H161+I161</f>
        <v>14</v>
      </c>
      <c r="P258" s="17">
        <f>O161+P161</f>
        <v>14</v>
      </c>
      <c r="Q258" s="2">
        <v>24</v>
      </c>
    </row>
  </sheetData>
  <mergeCells count="17">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 ref="O236:P23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2019-03-15T07:52:15Z</cp:lastPrinted>
  <dcterms:created xsi:type="dcterms:W3CDTF">2018-08-17T00:57:13Z</dcterms:created>
  <dcterms:modified xsi:type="dcterms:W3CDTF">2023-03-06T08:45:24Z</dcterms:modified>
</cp:coreProperties>
</file>