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UVNVng/xAsJZpCo/Xr3FUicgr+SjeIQNe11dUxjctY17fqWzXxiv8J9Ki9SOLD8gwzlIqeEhq91Fc7nFKoCyNw==" workbookSaltValue="UVtHQWbR7pVGKAgUcPGIb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O46" i="18"/>
  <c r="AT8" i="17"/>
  <c r="BS4" i="17" s="1"/>
  <c r="BT7" i="17" s="1"/>
  <c r="BB8" i="17"/>
  <c r="CA4" i="17" s="1"/>
  <c r="EP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U7" i="17"/>
  <c r="BX6" i="17"/>
  <c r="BQ5" i="17"/>
  <c r="BP6" i="17"/>
  <c r="BT6" i="17"/>
  <c r="O42" i="18"/>
  <c r="O60" i="18"/>
  <c r="O52" i="18"/>
  <c r="O24" i="18"/>
  <c r="O34" i="18"/>
  <c r="O16" i="18"/>
  <c r="CC5" i="17" l="1"/>
  <c r="DJ4" i="17"/>
  <c r="P87" i="18" s="1"/>
  <c r="CA5" i="17"/>
  <c r="CJ5" i="17" s="1"/>
  <c r="DH4" i="17"/>
  <c r="DI7" i="17" s="1"/>
  <c r="DJ10" i="17" s="1"/>
  <c r="EH4" i="17"/>
  <c r="CZ4" i="17"/>
  <c r="DA7" i="17" s="1"/>
  <c r="DB10" i="17" s="1"/>
  <c r="BS5" i="17"/>
  <c r="O75" i="18"/>
  <c r="EQ4" i="17"/>
  <c r="EQ5" i="17" s="1"/>
  <c r="DG4" i="17"/>
  <c r="DH7" i="17" s="1"/>
  <c r="P85" i="18" s="1"/>
  <c r="DK4" i="17"/>
  <c r="DL7" i="17" s="1"/>
  <c r="DL8" i="17" s="1"/>
  <c r="BR7" i="17"/>
  <c r="BR8" i="17" s="1"/>
  <c r="CD7" i="17"/>
  <c r="CD8" i="17" s="1"/>
  <c r="BR5" i="17"/>
  <c r="O71" i="18"/>
  <c r="O76" i="18"/>
  <c r="E74" i="15"/>
  <c r="CE7" i="17"/>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CD10" i="17"/>
  <c r="CE13" i="17" s="1"/>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CE8"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CJ6" i="17"/>
  <c r="CA9" i="17"/>
  <c r="H133" i="18" s="1"/>
  <c r="BZ8" i="17"/>
  <c r="CB9" i="17"/>
  <c r="H134" i="18" s="1"/>
  <c r="DF7" i="17"/>
  <c r="DJ6" i="17"/>
  <c r="O87" i="18" s="1"/>
  <c r="BX9" i="17"/>
  <c r="H130" i="18" s="1"/>
  <c r="BY9" i="17"/>
  <c r="H131" i="18" s="1"/>
  <c r="CI6" i="17"/>
  <c r="DF9" i="17"/>
  <c r="O131" i="18" s="1"/>
  <c r="DG6" i="17"/>
  <c r="DH6" i="17"/>
  <c r="O85" i="18" s="1"/>
  <c r="DQ3" i="17"/>
  <c r="DG5" i="17"/>
  <c r="BN9" i="17"/>
  <c r="H120" i="18" s="1"/>
  <c r="BM8" i="17"/>
  <c r="CH6" i="17"/>
  <c r="CV5" i="17"/>
  <c r="CM6" i="17"/>
  <c r="BP9" i="17"/>
  <c r="H122" i="18" s="1"/>
  <c r="BV9" i="17"/>
  <c r="BW12" i="17" s="1"/>
  <c r="H105" i="18" s="1"/>
  <c r="BU8" i="17"/>
  <c r="DA8" i="17" l="1"/>
  <c r="DK7" i="17"/>
  <c r="DL10" i="17" s="1"/>
  <c r="P137" i="18" s="1"/>
  <c r="DJ5" i="17"/>
  <c r="P77" i="18"/>
  <c r="ER7" i="17"/>
  <c r="DH5" i="17"/>
  <c r="CM5" i="17"/>
  <c r="P84" i="18"/>
  <c r="I113" i="18"/>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BT11" i="17"/>
  <c r="BU12" i="17"/>
  <c r="H151" i="18" s="1"/>
  <c r="O248" i="18" s="1"/>
  <c r="CE14" i="17"/>
  <c r="BR12" i="17"/>
  <c r="H148" i="18" s="1"/>
  <c r="DE9" i="17"/>
  <c r="O130" i="18" s="1"/>
  <c r="DD8" i="17"/>
  <c r="DP7" i="17"/>
  <c r="BU11" i="17"/>
  <c r="BV12" i="17"/>
  <c r="H152" i="18" s="1"/>
  <c r="O249" i="18" s="1"/>
  <c r="BU16" i="17" l="1"/>
  <c r="DL11" i="17"/>
  <c r="O247" i="18"/>
  <c r="DQ7" i="17"/>
  <c r="DE13" i="17"/>
  <c r="DF16" i="17" s="1"/>
  <c r="P179" i="18" s="1"/>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DG19" i="17" l="1"/>
  <c r="P204" i="18" s="1"/>
  <c r="EX8" i="17"/>
  <c r="P226" i="18"/>
  <c r="I45" i="18"/>
  <c r="P250" i="18"/>
  <c r="DB16" i="17"/>
  <c r="DC19" i="17" s="1"/>
  <c r="P200" i="18" s="1"/>
  <c r="P249" i="18"/>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DC20" i="17"/>
  <c r="EP14" i="17"/>
  <c r="O215" i="18"/>
  <c r="CJ19" i="17"/>
  <c r="DB17" i="17"/>
  <c r="H142" i="18"/>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DN8" i="17"/>
  <c r="Q18" i="18" s="1"/>
  <c r="P18" i="18"/>
  <c r="DN9" i="17"/>
  <c r="DW8" i="17" l="1"/>
  <c r="CF12" i="17"/>
  <c r="DW7" i="17"/>
  <c r="DW9" i="17" s="1"/>
  <c r="DW10" i="17"/>
  <c r="DW16" i="17" s="1"/>
  <c r="O239" i="18"/>
  <c r="CK12" i="17"/>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4" i="17" l="1"/>
  <c r="DX18" i="17"/>
  <c r="EF4" i="17"/>
  <c r="EF21" i="17" s="1"/>
  <c r="EE3" i="17"/>
  <c r="EE13" i="17"/>
  <c r="EE7" i="17"/>
  <c r="EF10" i="17" s="1"/>
  <c r="C37" i="21"/>
  <c r="EE9" i="17"/>
  <c r="EE6" i="17"/>
  <c r="EG4" i="17"/>
  <c r="EE10" i="17"/>
  <c r="EG3" i="17"/>
  <c r="EF3" i="17"/>
  <c r="EE12" i="17"/>
  <c r="EF7"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13" i="17"/>
  <c r="EF30" i="17" s="1"/>
  <c r="EE27" i="17"/>
  <c r="EG21" i="17"/>
  <c r="EH7" i="17"/>
  <c r="EE23" i="17"/>
  <c r="EE8" i="17"/>
  <c r="EH6" i="17"/>
  <c r="EG5" i="17"/>
  <c r="EG20" i="17"/>
  <c r="EE26" i="17"/>
  <c r="EE11" i="17"/>
  <c r="EF12" i="17"/>
  <c r="D38" i="21"/>
  <c r="C38" i="21"/>
  <c r="C39" i="21"/>
  <c r="D39" i="21"/>
  <c r="D37" i="21"/>
  <c r="EH10" i="17"/>
  <c r="EG24" i="17"/>
  <c r="EE24" i="17"/>
  <c r="FB7" i="17"/>
  <c r="EG13" i="17"/>
  <c r="EG30" i="17" s="1"/>
  <c r="EF27" i="17"/>
  <c r="EE30" i="17"/>
  <c r="EF9" i="17"/>
  <c r="EF6" i="17"/>
  <c r="EE5" i="17"/>
  <c r="EE20" i="17"/>
  <c r="EU3" i="17"/>
  <c r="FB3" i="17"/>
  <c r="EF8" i="17"/>
  <c r="EG10" i="17"/>
  <c r="EF24" i="17"/>
  <c r="EE29" i="17"/>
  <c r="EE14" i="17"/>
  <c r="EG6" i="17"/>
  <c r="EG8" i="17" s="1"/>
  <c r="EF5" i="17"/>
  <c r="EF20" i="17"/>
  <c r="EF22" i="17" s="1"/>
  <c r="EE21" i="17"/>
  <c r="EU4" i="17"/>
  <c r="FB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30" i="17" l="1"/>
  <c r="EG22" i="17"/>
  <c r="FB24" i="17"/>
  <c r="EE31" i="17"/>
  <c r="FB13" i="17"/>
  <c r="DZ12" i="17" s="1"/>
  <c r="FA4" i="17"/>
  <c r="EZ4" i="17"/>
  <c r="EZ3" i="17"/>
  <c r="FA3" i="17"/>
  <c r="EH27" i="17"/>
  <c r="EI13" i="17"/>
  <c r="EI30" i="17" s="1"/>
  <c r="FB21" i="17"/>
  <c r="EU21" i="17"/>
  <c r="EE22" i="17"/>
  <c r="FB20" i="17"/>
  <c r="EU20" i="17"/>
  <c r="EI9" i="17"/>
  <c r="EH23" i="17"/>
  <c r="EH8" i="17"/>
  <c r="EU5" i="17"/>
  <c r="FB5" i="17"/>
  <c r="FB8" i="17"/>
  <c r="EF23" i="17"/>
  <c r="EF25" i="17" s="1"/>
  <c r="EG9" i="17"/>
  <c r="FB6" i="17"/>
  <c r="EG23" i="17"/>
  <c r="EH9" i="17"/>
  <c r="EG12" i="17"/>
  <c r="EF26" i="17"/>
  <c r="EF28" i="17" s="1"/>
  <c r="EF11" i="17"/>
  <c r="EE25" i="17"/>
  <c r="DZ13" i="17"/>
  <c r="DZ30" i="17" s="1"/>
  <c r="EI10" i="17"/>
  <c r="EH24" i="17"/>
  <c r="DZ7" i="17"/>
  <c r="DZ6" i="17"/>
  <c r="FB10" i="17"/>
  <c r="EH13" i="17"/>
  <c r="EH30" i="17" s="1"/>
  <c r="EG27" i="17"/>
  <c r="EF14" i="17"/>
  <c r="EF29" i="17"/>
  <c r="EF31" i="17" s="1"/>
  <c r="EE28" i="17"/>
  <c r="D11" i="19"/>
  <c r="CK18" i="17"/>
  <c r="DS20" i="17"/>
  <c r="DS18" i="17"/>
  <c r="CK19" i="17"/>
  <c r="CL19" i="17"/>
  <c r="CF20" i="17"/>
  <c r="EH25" i="17" l="1"/>
  <c r="FB23" i="17"/>
  <c r="DZ10" i="17"/>
  <c r="DZ9" i="17"/>
  <c r="EH26" i="17"/>
  <c r="EH28" i="17" s="1"/>
  <c r="EI12" i="17"/>
  <c r="EH11" i="17"/>
  <c r="FA20" i="17"/>
  <c r="EZ20" i="17"/>
  <c r="EI11" i="17"/>
  <c r="EJ12" i="17"/>
  <c r="EI26" i="17"/>
  <c r="EG26" i="17"/>
  <c r="FB26" i="17" s="1"/>
  <c r="EH12" i="17"/>
  <c r="EG11" i="17"/>
  <c r="FB11" i="17" s="1"/>
  <c r="EZ21" i="17"/>
  <c r="FA21" i="17"/>
  <c r="DZ24" i="17"/>
  <c r="EU24" i="17" s="1"/>
  <c r="EA10" i="17"/>
  <c r="EU7" i="17"/>
  <c r="EJ13" i="17"/>
  <c r="EJ30" i="17" s="1"/>
  <c r="EI27" i="17"/>
  <c r="DZ23" i="17"/>
  <c r="DZ8" i="17"/>
  <c r="EU8" i="17" s="1"/>
  <c r="EU6" i="17"/>
  <c r="EA9" i="17"/>
  <c r="DZ14" i="17"/>
  <c r="DZ29" i="17"/>
  <c r="DZ31" i="17" s="1"/>
  <c r="EZ5" i="17"/>
  <c r="FA5" i="17"/>
  <c r="FB22" i="17"/>
  <c r="EU22" i="17"/>
  <c r="EG25" i="17"/>
  <c r="FB25" i="17" s="1"/>
  <c r="EG14" i="17"/>
  <c r="FB14" i="17" s="1"/>
  <c r="EG29" i="17"/>
  <c r="FB12" i="17"/>
  <c r="FB9" i="17"/>
  <c r="FB27" i="17"/>
  <c r="CK20" i="17"/>
  <c r="CL20" i="17"/>
  <c r="EI28" i="17" l="1"/>
  <c r="FA8" i="17"/>
  <c r="EZ8" i="17"/>
  <c r="FB29" i="17"/>
  <c r="EG31" i="17"/>
  <c r="FB31" i="17" s="1"/>
  <c r="FA7" i="17"/>
  <c r="EZ7" i="17"/>
  <c r="EU23" i="17"/>
  <c r="DZ25" i="17"/>
  <c r="EU25" i="17" s="1"/>
  <c r="EA27" i="17"/>
  <c r="EV27" i="17" s="1"/>
  <c r="EB13" i="17"/>
  <c r="EV10" i="17"/>
  <c r="FA24" i="17"/>
  <c r="EZ24" i="17"/>
  <c r="EI29" i="17"/>
  <c r="EI31" i="17" s="1"/>
  <c r="EI14" i="17"/>
  <c r="FA22" i="17"/>
  <c r="H36" i="21"/>
  <c r="EZ22" i="17"/>
  <c r="EJ29" i="17"/>
  <c r="EJ31" i="17" s="1"/>
  <c r="EJ14" i="17"/>
  <c r="EG28" i="17"/>
  <c r="FB28" i="17" s="1"/>
  <c r="EA12" i="17"/>
  <c r="DZ11" i="17"/>
  <c r="DZ26" i="17"/>
  <c r="EU9" i="17"/>
  <c r="EV9" i="17"/>
  <c r="EA26" i="17"/>
  <c r="EA11" i="17"/>
  <c r="EV11" i="17" s="1"/>
  <c r="EB12" i="17"/>
  <c r="EA13" i="17"/>
  <c r="DZ27" i="17"/>
  <c r="EU10" i="17"/>
  <c r="EZ6" i="17"/>
  <c r="FA6" i="17"/>
  <c r="EH29" i="17"/>
  <c r="EH31" i="17" s="1"/>
  <c r="EH14" i="17"/>
  <c r="DZ28" i="17" l="1"/>
  <c r="EU11" i="17"/>
  <c r="EZ11" i="17" s="1"/>
  <c r="FA25" i="17"/>
  <c r="H37" i="21"/>
  <c r="EZ25" i="17"/>
  <c r="FA23" i="17"/>
  <c r="EZ23" i="17"/>
  <c r="EA29" i="17"/>
  <c r="EA14" i="17"/>
  <c r="EV12" i="17"/>
  <c r="EU12" i="17"/>
  <c r="EU27" i="17"/>
  <c r="EA30" i="17"/>
  <c r="EU13" i="17"/>
  <c r="EU26" i="17"/>
  <c r="EA28" i="17"/>
  <c r="EV28" i="17" s="1"/>
  <c r="EV26" i="17"/>
  <c r="EB29" i="17"/>
  <c r="EB14" i="17"/>
  <c r="EW14" i="17" s="1"/>
  <c r="EW12" i="17"/>
  <c r="EV13" i="17"/>
  <c r="EW13" i="17"/>
  <c r="EB30" i="17"/>
  <c r="EW30" i="17" s="1"/>
  <c r="FA10" i="17"/>
  <c r="EZ10" i="17"/>
  <c r="EZ9" i="17"/>
  <c r="FA9" i="17"/>
  <c r="FA11" i="17" l="1"/>
  <c r="EZ12" i="17"/>
  <c r="FA12" i="17"/>
  <c r="EV14" i="17"/>
  <c r="EU14" i="17"/>
  <c r="EA31" i="17"/>
  <c r="EV29" i="17"/>
  <c r="EU29" i="17"/>
  <c r="EU30" i="17"/>
  <c r="EV30" i="17"/>
  <c r="EW29" i="17"/>
  <c r="EB31" i="17"/>
  <c r="EW31" i="17" s="1"/>
  <c r="EZ26" i="17"/>
  <c r="FA26" i="17"/>
  <c r="EZ13" i="17"/>
  <c r="FA13" i="17"/>
  <c r="FA27" i="17"/>
  <c r="EZ27" i="17"/>
  <c r="EU28" i="17"/>
  <c r="EZ30" i="17" l="1"/>
  <c r="FA30" i="17"/>
  <c r="FA29" i="17"/>
  <c r="EZ29" i="17"/>
  <c r="H38" i="21"/>
  <c r="FA28" i="17"/>
  <c r="EZ28" i="17"/>
  <c r="EV31" i="17"/>
  <c r="EU31" i="17"/>
  <c r="FA14" i="17"/>
  <c r="EZ14" i="17"/>
  <c r="FA31" i="17" l="1"/>
  <c r="H39" i="21"/>
  <c r="EZ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<sst xmlns="http://schemas.openxmlformats.org/spreadsheetml/2006/main" count="1384" uniqueCount="462">
  <si>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</si>
  <si>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</si>
  <si>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</si>
  <si>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</si>
  <si>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</si>
  <si>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</si>
  <si>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</si>
  <si>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</si>
  <si>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</si>
  <si>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</si>
  <si>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</si>
  <si>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</si>
  <si>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</si>
  <si>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</si>
  <si>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</si>
  <si>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</si>
  <si>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</si>
  <si>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</si>
  <si>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</si>
  <si>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</si>
  <si>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</si>
  <si>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</si>
  <si>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</si>
  <si>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</si>
  <si>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</si>
  <si>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</si>
  <si>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</si>
  <si>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</si>
  <si>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</si>
  <si>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</si>
  <si>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</si>
  <si>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</si>
  <si>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</si>
  <si>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</si>
  <si>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</si>
  <si>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</si>
  <si>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</si>
  <si>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</si>
  <si>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</si>
  <si>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</si>
  <si>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</si>
  <si>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</si>
  <si>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</si>
  <si>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</si>
  <si>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</si>
  <si>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</si>
  <si>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</si>
  <si>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</si>
  <si>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</si>
  <si>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</si>
  <si>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</si>
  <si>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</si>
  <si>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</si>
  <si>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</si>
  <si>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</si>
  <si>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</si>
  <si>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</si>
  <si>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</si>
  <si>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</si>
  <si>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</si>
  <si>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</si>
  <si>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</si>
  <si>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</si>
  <si>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</si>
  <si>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</si>
  <si>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</si>
  <si>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</si>
  <si>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</si>
  <si>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</si>
  <si>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</si>
  <si>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</si>
  <si>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</si>
  <si>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</si>
  <si>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</si>
  <si>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</si>
  <si>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</si>
  <si>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</si>
  <si>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</si>
  <si>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</si>
  <si>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</si>
  <si>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</si>
  <si>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</si>
  <si>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</si>
  <si>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</si>
  <si>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</si>
  <si>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</si>
  <si>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</si>
  <si>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</si>
  <si>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</si>
  <si>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</si>
  <si>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</si>
  <si>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</si>
  <si>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</si>
  <si>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</si>
  <si>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</si>
  <si>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</si>
  <si>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</si>
  <si>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</si>
  <si>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</si>
  <si>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</si>
  <si>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</si>
  <si>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</si>
  <si>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</si>
  <si>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</si>
  <si>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</si>
  <si>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</si>
  <si>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</si>
  <si>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</si>
  <si>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</si>
  <si>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</si>
  <si>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</si>
  <si>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</si>
  <si>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</si>
  <si>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</si>
  <si>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</si>
  <si>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</si>
  <si>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</si>
  <si>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</si>
  <si>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</si>
  <si>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</si>
  <si>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</si>
  <si>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</si>
  <si>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</si>
  <si>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</si>
  <si>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</si>
  <si>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</si>
  <si>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</si>
  <si>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</si>
  <si>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</si>
  <si>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</si>
  <si>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</si>
  <si>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</si>
  <si>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</si>
  <si>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</si>
  <si>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</si>
  <si>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</si>
  <si>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</si>
  <si>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</si>
  <si>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</si>
  <si>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</si>
  <si>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</si>
  <si>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</si>
  <si>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</si>
  <si>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</si>
  <si>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</si>
  <si>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</si>
  <si>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</si>
  <si>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</si>
  <si>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</si>
  <si>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</si>
  <si>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</si>
  <si>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</si>
  <si>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</si>
  <si>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</si>
  <si>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</si>
  <si>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</si>
  <si>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</si>
  <si>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</si>
  <si>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</si>
  <si>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</si>
  <si>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</si>
  <si>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</si>
  <si>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</si>
  <si>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</si>
  <si>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</si>
  <si>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</si>
  <si>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</si>
  <si>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</si>
  <si>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</si>
  <si>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</si>
  <si>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</si>
  <si>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</si>
  <si>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</si>
  <si>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</si>
  <si>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</si>
  <si>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</si>
  <si>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</si>
  <si>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</si>
  <si>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</si>
  <si>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</si>
  <si>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</si>
  <si>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</si>
  <si>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</si>
  <si>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</si>
  <si>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</si>
  <si>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</si>
  <si>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</si>
  <si>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</si>
  <si>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</si>
  <si>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</si>
  <si>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</si>
  <si>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</si>
  <si>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</si>
  <si>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</si>
  <si>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</si>
  <si>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</si>
  <si>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</si>
  <si>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</si>
  <si>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</si>
  <si>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</si>
  <si>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</si>
  <si>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</si>
  <si>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</si>
  <si>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</si>
  <si>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</si>
  <si>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</si>
  <si>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</si>
  <si>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</si>
  <si>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</si>
  <si>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</si>
  <si>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</si>
  <si>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</si>
  <si>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</si>
  <si>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</si>
  <si>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</si>
  <si>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</si>
  <si>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</si>
  <si>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</si>
  <si>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</si>
  <si>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</si>
  <si>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</si>
  <si>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</si>
  <si>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</si>
  <si>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</si>
  <si>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</si>
  <si>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</si>
  <si>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</si>
  <si>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</si>
  <si>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</si>
  <si>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</si>
  <si>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</si>
  <si>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</si>
  <si>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</si>
  <si>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</si>
  <si>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</si>
  <si>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</si>
  <si>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</si>
  <si>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</si>
  <si>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</si>
  <si>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</si>
  <si>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</si>
  <si>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</si>
  <si>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</si>
  <si>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</si>
  <si>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</si>
  <si>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</si>
  <si>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</si>
  <si>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</si>
  <si>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</si>
  <si>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</si>
  <si>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</si>
  <si>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</si>
  <si>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</si>
  <si>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</si>
  <si>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</si>
  <si>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</si>
  <si>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</si>
  <si>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</si>
  <si>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</si>
  <si>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</si>
  <si>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</si>
  <si>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</si>
  <si>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</si>
  <si>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</si>
  <si>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</si>
  <si>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</si>
  <si>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</si>
  <si>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</si>
  <si>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</si>
  <si>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</si>
  <si>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</si>
  <si>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</si>
  <si>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</si>
  <si>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</si>
  <si>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</si>
  <si>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</si>
  <si>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</si>
  <si>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</si>
  <si>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</si>
  <si>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</si>
  <si>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</si>
  <si>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</si>
  <si>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</si>
  <si>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</si>
  <si>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</si>
  <si>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</si>
  <si>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</si>
  <si>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</si>
  <si>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</si>
  <si>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</si>
  <si>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</si>
  <si>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</si>
  <si>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</si>
  <si>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</si>
  <si>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</si>
  <si>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</si>
  <si>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</si>
  <si>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</si>
  <si>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</si>
  <si>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</si>
  <si>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</si>
  <si>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</si>
  <si>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</si>
  <si>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</si>
  <si>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</si>
  <si>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</si>
  <si>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</si>
  <si>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</si>
  <si>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</si>
  <si>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</si>
  <si>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</si>
  <si>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</si>
  <si>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</si>
  <si>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</si>
  <si>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</si>
  <si>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</si>
  <si>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</si>
  <si>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</si>
  <si>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</si>
  <si>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</si>
  <si>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</si>
  <si>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</si>
  <si>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</si>
  <si>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</si>
  <si>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</si>
  <si>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</si>
  <si>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</si>
  <si>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</si>
  <si>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</si>
  <si>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</si>
  <si>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</si>
  <si>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</si>
  <si>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</si>
  <si>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</si>
  <si>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</si>
  <si>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</si>
  <si>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</si>
  <si>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</si>
  <si>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</si>
  <si>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</si>
  <si>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</si>
  <si>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</si>
  <si>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</si>
  <si>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</si>
  <si>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</si>
  <si>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</si>
  <si>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</si>
  <si>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</si>
  <si>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</si>
  <si>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</si>
  <si>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</si>
  <si>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</si>
  <si>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</si>
  <si>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</si>
  <si>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</si>
  <si>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</si>
  <si>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</si>
  <si>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</si>
  <si>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</si>
  <si>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</si>
  <si>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</si>
  <si>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</si>
  <si>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</si>
  <si>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</si>
  <si>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</si>
  <si>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</si>
  <si>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</si>
  <si>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</si>
  <si>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</si>
  <si>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</si>
  <si>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</si>
  <si>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</si>
  <si>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</si>
  <si>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</si>
  <si>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</si>
  <si>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</si>
  <si>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</si>
  <si>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</si>
  <si>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</si>
  <si>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</si>
  <si>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</si>
  <si>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</si>
  <si>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</si>
  <si>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</si>
  <si>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</si>
  <si>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</si>
  <si>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</si>
  <si>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</si>
  <si>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</si>
  <si>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</si>
  <si>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</si>
  <si>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</si>
  <si>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</si>
  <si>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</si>
  <si>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</si>
  <si>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</si>
  <si>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</si>
  <si>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</si>
  <si>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</si>
  <si>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</si>
  <si>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</si>
  <si>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</si>
  <si>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</si>
  <si>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</si>
  <si>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</si>
  <si>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</si>
  <si>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</si>
  <si>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</si>
  <si>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</si>
  <si>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</si>
  <si>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</si>
  <si>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</si>
  <si>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</si>
  <si>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</si>
  <si>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</si>
  <si>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</si>
  <si>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</si>
  <si>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</si>
  <si>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</si>
  <si>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</si>
  <si>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</si>
  <si>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</si>
  <si>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</si>
  <si>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</si>
  <si>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</si>
  <si>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</si>
  <si>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</si>
  <si>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</si>
  <si>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</si>
  <si>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</si>
  <si>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</si>
  <si>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</si>
  <si>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</si>
  <si>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</si>
  <si>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</si>
  <si>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</si>
  <si>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</si>
  <si>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</si>
  <si>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</si>
  <si>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</si>
  <si>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</si>
  <si>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45202_8</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</si>
  <si>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</si>
  <si>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</si>
  <si>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</si>
  <si>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</si>
  <si>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</si>
  <si>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</si>
  <si>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</si>
  <si>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</si>
  <si>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</si>
  <si>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</si>
  <si>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</si>
  <si>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</si>
  <si>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</si>
  <si>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</si>
  <si>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</si>
  <si>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45202_6</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</si>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</sst>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982</c:v>
                </c:pt>
                <c:pt idx="1">
                  <c:v>1111</c:v>
                </c:pt>
                <c:pt idx="2">
                  <c:v>1135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810696"/>
        <c:axId val="391811872"/>
      </c:barChart>
      <c:catAx>
        <c:axId val="391810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811872"/>
        <c:crosses val="autoZero"/>
        <c:auto val="1"/>
        <c:lblAlgn val="ctr"/>
        <c:lblOffset val="100"/>
        <c:noMultiLvlLbl val="0"/>
      </c:catAx>
      <c:valAx>
        <c:axId val="391811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810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500</c:v>
                </c:pt>
                <c:pt idx="1">
                  <c:v>535</c:v>
                </c:pt>
                <c:pt idx="2">
                  <c:v>569</c:v>
                </c:pt>
                <c:pt idx="3">
                  <c:v>591</c:v>
                </c:pt>
                <c:pt idx="4">
                  <c:v>553</c:v>
                </c:pt>
                <c:pt idx="5">
                  <c:v>502</c:v>
                </c:pt>
                <c:pt idx="6">
                  <c:v>472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910832"/>
        <c:axId val="392915928"/>
      </c:barChart>
      <c:catAx>
        <c:axId val="392910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5928"/>
        <c:crosses val="autoZero"/>
        <c:auto val="1"/>
        <c:lblAlgn val="ctr"/>
        <c:lblOffset val="100"/>
        <c:noMultiLvlLbl val="0"/>
      </c:catAx>
      <c:valAx>
        <c:axId val="392915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0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0.18</c:v>
                </c:pt>
                <c:pt idx="1">
                  <c:v>0.21</c:v>
                </c:pt>
                <c:pt idx="2">
                  <c:v>0.25</c:v>
                </c:pt>
                <c:pt idx="3">
                  <c:v>0.27</c:v>
                </c:pt>
                <c:pt idx="4">
                  <c:v>0.28999999999999998</c:v>
                </c:pt>
                <c:pt idx="5">
                  <c:v>0.3</c:v>
                </c:pt>
                <c:pt idx="6">
                  <c:v>0.3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2911616"/>
        <c:axId val="392913968"/>
      </c:barChart>
      <c:catAx>
        <c:axId val="392911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3968"/>
        <c:crosses val="autoZero"/>
        <c:auto val="1"/>
        <c:lblAlgn val="ctr"/>
        <c:lblOffset val="100"/>
        <c:noMultiLvlLbl val="0"/>
      </c:catAx>
      <c:valAx>
        <c:axId val="392913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1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0.09</c:v>
                </c:pt>
                <c:pt idx="1">
                  <c:v>0.1</c:v>
                </c:pt>
                <c:pt idx="2">
                  <c:v>0.12</c:v>
                </c:pt>
                <c:pt idx="3">
                  <c:v>0.14000000000000001</c:v>
                </c:pt>
                <c:pt idx="4">
                  <c:v>0.16</c:v>
                </c:pt>
                <c:pt idx="5">
                  <c:v>0.18</c:v>
                </c:pt>
                <c:pt idx="6">
                  <c:v>0.18</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2912792"/>
        <c:axId val="392914360"/>
      </c:barChart>
      <c:catAx>
        <c:axId val="392912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4360"/>
        <c:crosses val="autoZero"/>
        <c:auto val="1"/>
        <c:lblAlgn val="ctr"/>
        <c:lblOffset val="100"/>
        <c:noMultiLvlLbl val="0"/>
      </c:catAx>
      <c:valAx>
        <c:axId val="392914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2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888051437157844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9C8-4F29-9438-1F5EB89FA6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338</c:v>
                </c:pt>
                <c:pt idx="1">
                  <c:v>410</c:v>
                </c:pt>
                <c:pt idx="2">
                  <c:v>506</c:v>
                </c:pt>
                <c:pt idx="3">
                  <c:v>527</c:v>
                </c:pt>
                <c:pt idx="4">
                  <c:v>245</c:v>
                </c:pt>
                <c:pt idx="5">
                  <c:v>274</c:v>
                </c:pt>
                <c:pt idx="6">
                  <c:v>300</c:v>
                </c:pt>
                <c:pt idx="7">
                  <c:v>346</c:v>
                </c:pt>
                <c:pt idx="8">
                  <c:v>406</c:v>
                </c:pt>
                <c:pt idx="9">
                  <c:v>446</c:v>
                </c:pt>
                <c:pt idx="10">
                  <c:v>553</c:v>
                </c:pt>
                <c:pt idx="11">
                  <c:v>407</c:v>
                </c:pt>
                <c:pt idx="12">
                  <c:v>391</c:v>
                </c:pt>
                <c:pt idx="13">
                  <c:v>396</c:v>
                </c:pt>
                <c:pt idx="14">
                  <c:v>421</c:v>
                </c:pt>
                <c:pt idx="15">
                  <c:v>344</c:v>
                </c:pt>
                <c:pt idx="16">
                  <c:v>315</c:v>
                </c:pt>
                <c:pt idx="17">
                  <c:v>136</c:v>
                </c:pt>
                <c:pt idx="18">
                  <c:v>57</c:v>
                </c:pt>
                <c:pt idx="19">
                  <c:v>21</c:v>
                </c:pt>
                <c:pt idx="20">
                  <c:v>4</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2915536"/>
        <c:axId val="39291357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292</c:v>
                </c:pt>
                <c:pt idx="1">
                  <c:v>330</c:v>
                </c:pt>
                <c:pt idx="2">
                  <c:v>396</c:v>
                </c:pt>
                <c:pt idx="3">
                  <c:v>432</c:v>
                </c:pt>
                <c:pt idx="4">
                  <c:v>279</c:v>
                </c:pt>
                <c:pt idx="5">
                  <c:v>296</c:v>
                </c:pt>
                <c:pt idx="6">
                  <c:v>294</c:v>
                </c:pt>
                <c:pt idx="7">
                  <c:v>315</c:v>
                </c:pt>
                <c:pt idx="8">
                  <c:v>450</c:v>
                </c:pt>
                <c:pt idx="9">
                  <c:v>484</c:v>
                </c:pt>
                <c:pt idx="10">
                  <c:v>525</c:v>
                </c:pt>
                <c:pt idx="11">
                  <c:v>456</c:v>
                </c:pt>
                <c:pt idx="12">
                  <c:v>448</c:v>
                </c:pt>
                <c:pt idx="13">
                  <c:v>463</c:v>
                </c:pt>
                <c:pt idx="14">
                  <c:v>487</c:v>
                </c:pt>
                <c:pt idx="15">
                  <c:v>511</c:v>
                </c:pt>
                <c:pt idx="16">
                  <c:v>410</c:v>
                </c:pt>
                <c:pt idx="17">
                  <c:v>258</c:v>
                </c:pt>
                <c:pt idx="18">
                  <c:v>166</c:v>
                </c:pt>
                <c:pt idx="19">
                  <c:v>86</c:v>
                </c:pt>
                <c:pt idx="20">
                  <c:v>10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3313936"/>
        <c:axId val="392915144"/>
      </c:barChart>
      <c:catAx>
        <c:axId val="392915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3576"/>
        <c:crosses val="autoZero"/>
        <c:auto val="1"/>
        <c:lblAlgn val="ctr"/>
        <c:lblOffset val="100"/>
        <c:noMultiLvlLbl val="0"/>
      </c:catAx>
      <c:valAx>
        <c:axId val="39291357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5536"/>
        <c:crosses val="autoZero"/>
        <c:crossBetween val="between"/>
        <c:majorUnit val="500"/>
      </c:valAx>
      <c:valAx>
        <c:axId val="3929151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3936"/>
        <c:crosses val="max"/>
        <c:crossBetween val="between"/>
        <c:majorUnit val="500"/>
      </c:valAx>
      <c:catAx>
        <c:axId val="393313936"/>
        <c:scaling>
          <c:orientation val="minMax"/>
        </c:scaling>
        <c:delete val="1"/>
        <c:axPos val="l"/>
        <c:numFmt formatCode="General" sourceLinked="1"/>
        <c:majorTickMark val="out"/>
        <c:minorTickMark val="none"/>
        <c:tickLblPos val="nextTo"/>
        <c:crossAx val="392915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7840942110663203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30B-4260-8CD3-46E9C993EB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359</c:v>
                </c:pt>
                <c:pt idx="1">
                  <c:v>409</c:v>
                </c:pt>
                <c:pt idx="2">
                  <c:v>442</c:v>
                </c:pt>
                <c:pt idx="3">
                  <c:v>454</c:v>
                </c:pt>
                <c:pt idx="4">
                  <c:v>247</c:v>
                </c:pt>
                <c:pt idx="5">
                  <c:v>319</c:v>
                </c:pt>
                <c:pt idx="6">
                  <c:v>340</c:v>
                </c:pt>
                <c:pt idx="7">
                  <c:v>356</c:v>
                </c:pt>
                <c:pt idx="8">
                  <c:v>364</c:v>
                </c:pt>
                <c:pt idx="9">
                  <c:v>377</c:v>
                </c:pt>
                <c:pt idx="10">
                  <c:v>408</c:v>
                </c:pt>
                <c:pt idx="11">
                  <c:v>425</c:v>
                </c:pt>
                <c:pt idx="12">
                  <c:v>535</c:v>
                </c:pt>
                <c:pt idx="13">
                  <c:v>406</c:v>
                </c:pt>
                <c:pt idx="14">
                  <c:v>358</c:v>
                </c:pt>
                <c:pt idx="15">
                  <c:v>313</c:v>
                </c:pt>
                <c:pt idx="16">
                  <c:v>298</c:v>
                </c:pt>
                <c:pt idx="17">
                  <c:v>191</c:v>
                </c:pt>
                <c:pt idx="18">
                  <c:v>97</c:v>
                </c:pt>
                <c:pt idx="19">
                  <c:v>23</c:v>
                </c:pt>
                <c:pt idx="20">
                  <c:v>5</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4226312"/>
        <c:axId val="4542223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311</c:v>
                </c:pt>
                <c:pt idx="1">
                  <c:v>330</c:v>
                </c:pt>
                <c:pt idx="2">
                  <c:v>345</c:v>
                </c:pt>
                <c:pt idx="3">
                  <c:v>334</c:v>
                </c:pt>
                <c:pt idx="4">
                  <c:v>227</c:v>
                </c:pt>
                <c:pt idx="5">
                  <c:v>309</c:v>
                </c:pt>
                <c:pt idx="6">
                  <c:v>362</c:v>
                </c:pt>
                <c:pt idx="7">
                  <c:v>361</c:v>
                </c:pt>
                <c:pt idx="8">
                  <c:v>330</c:v>
                </c:pt>
                <c:pt idx="9">
                  <c:v>324</c:v>
                </c:pt>
                <c:pt idx="10">
                  <c:v>429</c:v>
                </c:pt>
                <c:pt idx="11">
                  <c:v>462</c:v>
                </c:pt>
                <c:pt idx="12">
                  <c:v>522</c:v>
                </c:pt>
                <c:pt idx="13">
                  <c:v>458</c:v>
                </c:pt>
                <c:pt idx="14">
                  <c:v>443</c:v>
                </c:pt>
                <c:pt idx="15">
                  <c:v>439</c:v>
                </c:pt>
                <c:pt idx="16">
                  <c:v>437</c:v>
                </c:pt>
                <c:pt idx="17">
                  <c:v>412</c:v>
                </c:pt>
                <c:pt idx="18">
                  <c:v>254</c:v>
                </c:pt>
                <c:pt idx="19">
                  <c:v>83</c:v>
                </c:pt>
                <c:pt idx="20">
                  <c:v>10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4223176"/>
        <c:axId val="454225920"/>
      </c:barChart>
      <c:catAx>
        <c:axId val="454226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2392"/>
        <c:crosses val="autoZero"/>
        <c:auto val="1"/>
        <c:lblAlgn val="ctr"/>
        <c:lblOffset val="100"/>
        <c:noMultiLvlLbl val="0"/>
      </c:catAx>
      <c:valAx>
        <c:axId val="45422239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6312"/>
        <c:crosses val="autoZero"/>
        <c:crossBetween val="between"/>
        <c:majorUnit val="500"/>
      </c:valAx>
      <c:valAx>
        <c:axId val="4542259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3176"/>
        <c:crosses val="max"/>
        <c:crossBetween val="between"/>
        <c:majorUnit val="500"/>
      </c:valAx>
      <c:catAx>
        <c:axId val="454223176"/>
        <c:scaling>
          <c:orientation val="minMax"/>
        </c:scaling>
        <c:delete val="1"/>
        <c:axPos val="l"/>
        <c:numFmt formatCode="General" sourceLinked="1"/>
        <c:majorTickMark val="out"/>
        <c:minorTickMark val="none"/>
        <c:tickLblPos val="nextTo"/>
        <c:crossAx val="4542259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13420</c:v>
                </c:pt>
                <c:pt idx="1">
                  <c:v>13914</c:v>
                </c:pt>
                <c:pt idx="2">
                  <c:v>14281</c:v>
                </c:pt>
                <c:pt idx="3">
                  <c:v>14342</c:v>
                </c:pt>
                <c:pt idx="4">
                  <c:v>14231</c:v>
                </c:pt>
                <c:pt idx="5">
                  <c:v>14064</c:v>
                </c:pt>
                <c:pt idx="6">
                  <c:v>13908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E6E-4B16-8771-CF9BDB2A195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E6E-4B16-8771-CF9BDB2A195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E6E-4B16-8771-CF9BDB2A1953}"/>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E6E-4B16-8771-CF9BDB2A195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14351</c:v>
                </c:pt>
                <c:pt idx="4" formatCode="#,##0_);[Red]\(#,##0\)">
                  <c:v>14252</c:v>
                </c:pt>
                <c:pt idx="5" formatCode="#,##0_);[Red]\(#,##0\)">
                  <c:v>14099</c:v>
                </c:pt>
                <c:pt idx="6" formatCode="#,##0_);[Red]\(#,##0\)">
                  <c:v>13960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4223960"/>
        <c:axId val="454224352"/>
      </c:barChart>
      <c:catAx>
        <c:axId val="454223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4352"/>
        <c:crosses val="autoZero"/>
        <c:auto val="1"/>
        <c:lblAlgn val="ctr"/>
        <c:lblOffset val="100"/>
        <c:noMultiLvlLbl val="0"/>
      </c:catAx>
      <c:valAx>
        <c:axId val="454224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39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982</c:v>
                </c:pt>
                <c:pt idx="1">
                  <c:v>1111</c:v>
                </c:pt>
                <c:pt idx="2">
                  <c:v>1135</c:v>
                </c:pt>
                <c:pt idx="3">
                  <c:v>1090</c:v>
                </c:pt>
                <c:pt idx="4">
                  <c:v>985</c:v>
                </c:pt>
                <c:pt idx="5">
                  <c:v>919</c:v>
                </c:pt>
                <c:pt idx="6">
                  <c:v>916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1091</c:v>
                </c:pt>
                <c:pt idx="4">
                  <c:v>988</c:v>
                </c:pt>
                <c:pt idx="5">
                  <c:v>924</c:v>
                </c:pt>
                <c:pt idx="6">
                  <c:v>925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4225136"/>
        <c:axId val="454225528"/>
      </c:barChart>
      <c:catAx>
        <c:axId val="454225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5528"/>
        <c:crosses val="autoZero"/>
        <c:auto val="1"/>
        <c:lblAlgn val="ctr"/>
        <c:lblOffset val="100"/>
        <c:noMultiLvlLbl val="0"/>
      </c:catAx>
      <c:valAx>
        <c:axId val="454225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5136"/>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0.18</c:v>
                </c:pt>
                <c:pt idx="1">
                  <c:v>0.21</c:v>
                </c:pt>
                <c:pt idx="2">
                  <c:v>0.25</c:v>
                </c:pt>
                <c:pt idx="3">
                  <c:v>0.27</c:v>
                </c:pt>
                <c:pt idx="4">
                  <c:v>0.28999999999999998</c:v>
                </c:pt>
                <c:pt idx="5">
                  <c:v>0.3</c:v>
                </c:pt>
                <c:pt idx="6">
                  <c:v>0.3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2ED-401C-9741-79BBF09CED5E}"/>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2ED-401C-9741-79BBF09CED5E}"/>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2ED-401C-9741-79BBF09CED5E}"/>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2ED-401C-9741-79BBF09CED5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0.27</c:v>
                </c:pt>
                <c:pt idx="4" formatCode="0%">
                  <c:v>0.28999999999999998</c:v>
                </c:pt>
                <c:pt idx="5" formatCode="0%">
                  <c:v>0.3</c:v>
                </c:pt>
                <c:pt idx="6" formatCode="0%">
                  <c:v>0.3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4228664"/>
        <c:axId val="454227488"/>
      </c:barChart>
      <c:catAx>
        <c:axId val="454228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7488"/>
        <c:crosses val="autoZero"/>
        <c:auto val="1"/>
        <c:lblAlgn val="ctr"/>
        <c:lblOffset val="100"/>
        <c:noMultiLvlLbl val="0"/>
      </c:catAx>
      <c:valAx>
        <c:axId val="454227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86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0.09</c:v>
                </c:pt>
                <c:pt idx="1">
                  <c:v>0.1</c:v>
                </c:pt>
                <c:pt idx="2">
                  <c:v>0.12</c:v>
                </c:pt>
                <c:pt idx="3">
                  <c:v>0.14000000000000001</c:v>
                </c:pt>
                <c:pt idx="4">
                  <c:v>0.16</c:v>
                </c:pt>
                <c:pt idx="5">
                  <c:v>0.18</c:v>
                </c:pt>
                <c:pt idx="6">
                  <c:v>0.18</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157-4AEE-8206-5CF69278EEC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157-4AEE-8206-5CF69278EECA}"/>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157-4AEE-8206-5CF69278EECA}"/>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157-4AEE-8206-5CF69278EEC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0.14000000000000001</c:v>
                </c:pt>
                <c:pt idx="4" formatCode="0%">
                  <c:v>0.16</c:v>
                </c:pt>
                <c:pt idx="5" formatCode="0%">
                  <c:v>0.18</c:v>
                </c:pt>
                <c:pt idx="6" formatCode="0%">
                  <c:v>0.18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4227880"/>
        <c:axId val="454228272"/>
      </c:barChart>
      <c:catAx>
        <c:axId val="454227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8272"/>
        <c:crosses val="autoZero"/>
        <c:auto val="1"/>
        <c:lblAlgn val="ctr"/>
        <c:lblOffset val="100"/>
        <c:noMultiLvlLbl val="0"/>
      </c:catAx>
      <c:valAx>
        <c:axId val="454228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78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500</c:v>
                </c:pt>
                <c:pt idx="1">
                  <c:v>535</c:v>
                </c:pt>
                <c:pt idx="2">
                  <c:v>569</c:v>
                </c:pt>
                <c:pt idx="3">
                  <c:v>591</c:v>
                </c:pt>
                <c:pt idx="4">
                  <c:v>553</c:v>
                </c:pt>
                <c:pt idx="5">
                  <c:v>502</c:v>
                </c:pt>
                <c:pt idx="6">
                  <c:v>472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592</c:v>
                </c:pt>
                <c:pt idx="4">
                  <c:v>554</c:v>
                </c:pt>
                <c:pt idx="5">
                  <c:v>505</c:v>
                </c:pt>
                <c:pt idx="6">
                  <c:v>476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4229448"/>
        <c:axId val="454222000"/>
      </c:barChart>
      <c:catAx>
        <c:axId val="454229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2000"/>
        <c:crosses val="autoZero"/>
        <c:auto val="1"/>
        <c:lblAlgn val="ctr"/>
        <c:lblOffset val="100"/>
        <c:noMultiLvlLbl val="0"/>
      </c:catAx>
      <c:valAx>
        <c:axId val="454222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22944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500</c:v>
                </c:pt>
                <c:pt idx="1">
                  <c:v>535</c:v>
                </c:pt>
                <c:pt idx="2">
                  <c:v>569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813048"/>
        <c:axId val="391813440"/>
      </c:barChart>
      <c:catAx>
        <c:axId val="391813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813440"/>
        <c:crosses val="autoZero"/>
        <c:auto val="1"/>
        <c:lblAlgn val="ctr"/>
        <c:lblOffset val="100"/>
        <c:noMultiLvlLbl val="0"/>
      </c:catAx>
      <c:valAx>
        <c:axId val="3918134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813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4046039826043754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A5-405E-852A-E71A4946133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340</c:v>
                </c:pt>
                <c:pt idx="1">
                  <c:v>411</c:v>
                </c:pt>
                <c:pt idx="2">
                  <c:v>507</c:v>
                </c:pt>
                <c:pt idx="3">
                  <c:v>528</c:v>
                </c:pt>
                <c:pt idx="4">
                  <c:v>245</c:v>
                </c:pt>
                <c:pt idx="5">
                  <c:v>276</c:v>
                </c:pt>
                <c:pt idx="6">
                  <c:v>303</c:v>
                </c:pt>
                <c:pt idx="7">
                  <c:v>346</c:v>
                </c:pt>
                <c:pt idx="8">
                  <c:v>406</c:v>
                </c:pt>
                <c:pt idx="9">
                  <c:v>446</c:v>
                </c:pt>
                <c:pt idx="10">
                  <c:v>553</c:v>
                </c:pt>
                <c:pt idx="11">
                  <c:v>407</c:v>
                </c:pt>
                <c:pt idx="12">
                  <c:v>391</c:v>
                </c:pt>
                <c:pt idx="13">
                  <c:v>396</c:v>
                </c:pt>
                <c:pt idx="14">
                  <c:v>421</c:v>
                </c:pt>
                <c:pt idx="15">
                  <c:v>344</c:v>
                </c:pt>
                <c:pt idx="16">
                  <c:v>315</c:v>
                </c:pt>
                <c:pt idx="17">
                  <c:v>136</c:v>
                </c:pt>
                <c:pt idx="18">
                  <c:v>57</c:v>
                </c:pt>
                <c:pt idx="19">
                  <c:v>21</c:v>
                </c:pt>
                <c:pt idx="20">
                  <c:v>4</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4689160"/>
        <c:axId val="45468524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294</c:v>
                </c:pt>
                <c:pt idx="1">
                  <c:v>331</c:v>
                </c:pt>
                <c:pt idx="2">
                  <c:v>397</c:v>
                </c:pt>
                <c:pt idx="3">
                  <c:v>433</c:v>
                </c:pt>
                <c:pt idx="4">
                  <c:v>279</c:v>
                </c:pt>
                <c:pt idx="5">
                  <c:v>298</c:v>
                </c:pt>
                <c:pt idx="6">
                  <c:v>296</c:v>
                </c:pt>
                <c:pt idx="7">
                  <c:v>315</c:v>
                </c:pt>
                <c:pt idx="8">
                  <c:v>451</c:v>
                </c:pt>
                <c:pt idx="9">
                  <c:v>485</c:v>
                </c:pt>
                <c:pt idx="10">
                  <c:v>525</c:v>
                </c:pt>
                <c:pt idx="11">
                  <c:v>456</c:v>
                </c:pt>
                <c:pt idx="12">
                  <c:v>448</c:v>
                </c:pt>
                <c:pt idx="13">
                  <c:v>463</c:v>
                </c:pt>
                <c:pt idx="14">
                  <c:v>487</c:v>
                </c:pt>
                <c:pt idx="15">
                  <c:v>511</c:v>
                </c:pt>
                <c:pt idx="16">
                  <c:v>410</c:v>
                </c:pt>
                <c:pt idx="17">
                  <c:v>258</c:v>
                </c:pt>
                <c:pt idx="18">
                  <c:v>166</c:v>
                </c:pt>
                <c:pt idx="19">
                  <c:v>86</c:v>
                </c:pt>
                <c:pt idx="20">
                  <c:v>10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4689552"/>
        <c:axId val="454690336"/>
      </c:barChart>
      <c:catAx>
        <c:axId val="454689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5240"/>
        <c:crosses val="autoZero"/>
        <c:auto val="1"/>
        <c:lblAlgn val="ctr"/>
        <c:lblOffset val="100"/>
        <c:noMultiLvlLbl val="0"/>
      </c:catAx>
      <c:valAx>
        <c:axId val="4546852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9160"/>
        <c:crosses val="autoZero"/>
        <c:crossBetween val="between"/>
        <c:majorUnit val="500"/>
      </c:valAx>
      <c:valAx>
        <c:axId val="45469033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9552"/>
        <c:crosses val="max"/>
        <c:crossBetween val="between"/>
        <c:majorUnit val="500"/>
      </c:valAx>
      <c:catAx>
        <c:axId val="454689552"/>
        <c:scaling>
          <c:orientation val="minMax"/>
        </c:scaling>
        <c:delete val="1"/>
        <c:axPos val="l"/>
        <c:numFmt formatCode="General" sourceLinked="1"/>
        <c:majorTickMark val="out"/>
        <c:minorTickMark val="none"/>
        <c:tickLblPos val="nextTo"/>
        <c:crossAx val="4546903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3014676609142044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314-4F7F-9B32-775DE3377B1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363</c:v>
                </c:pt>
                <c:pt idx="1">
                  <c:v>413</c:v>
                </c:pt>
                <c:pt idx="2">
                  <c:v>446</c:v>
                </c:pt>
                <c:pt idx="3">
                  <c:v>456</c:v>
                </c:pt>
                <c:pt idx="4">
                  <c:v>248</c:v>
                </c:pt>
                <c:pt idx="5">
                  <c:v>321</c:v>
                </c:pt>
                <c:pt idx="6">
                  <c:v>342</c:v>
                </c:pt>
                <c:pt idx="7">
                  <c:v>359</c:v>
                </c:pt>
                <c:pt idx="8">
                  <c:v>367</c:v>
                </c:pt>
                <c:pt idx="9">
                  <c:v>377</c:v>
                </c:pt>
                <c:pt idx="10">
                  <c:v>408</c:v>
                </c:pt>
                <c:pt idx="11">
                  <c:v>425</c:v>
                </c:pt>
                <c:pt idx="12">
                  <c:v>535</c:v>
                </c:pt>
                <c:pt idx="13">
                  <c:v>406</c:v>
                </c:pt>
                <c:pt idx="14">
                  <c:v>358</c:v>
                </c:pt>
                <c:pt idx="15">
                  <c:v>313</c:v>
                </c:pt>
                <c:pt idx="16">
                  <c:v>298</c:v>
                </c:pt>
                <c:pt idx="17">
                  <c:v>191</c:v>
                </c:pt>
                <c:pt idx="18">
                  <c:v>97</c:v>
                </c:pt>
                <c:pt idx="19">
                  <c:v>23</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684456"/>
        <c:axId val="45468876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314</c:v>
                </c:pt>
                <c:pt idx="1">
                  <c:v>333</c:v>
                </c:pt>
                <c:pt idx="2">
                  <c:v>349</c:v>
                </c:pt>
                <c:pt idx="3">
                  <c:v>336</c:v>
                </c:pt>
                <c:pt idx="4">
                  <c:v>227</c:v>
                </c:pt>
                <c:pt idx="5">
                  <c:v>312</c:v>
                </c:pt>
                <c:pt idx="6">
                  <c:v>364</c:v>
                </c:pt>
                <c:pt idx="7">
                  <c:v>364</c:v>
                </c:pt>
                <c:pt idx="8">
                  <c:v>334</c:v>
                </c:pt>
                <c:pt idx="9">
                  <c:v>325</c:v>
                </c:pt>
                <c:pt idx="10">
                  <c:v>430</c:v>
                </c:pt>
                <c:pt idx="11">
                  <c:v>463</c:v>
                </c:pt>
                <c:pt idx="12">
                  <c:v>522</c:v>
                </c:pt>
                <c:pt idx="13">
                  <c:v>458</c:v>
                </c:pt>
                <c:pt idx="14">
                  <c:v>443</c:v>
                </c:pt>
                <c:pt idx="15">
                  <c:v>439</c:v>
                </c:pt>
                <c:pt idx="16">
                  <c:v>437</c:v>
                </c:pt>
                <c:pt idx="17">
                  <c:v>412</c:v>
                </c:pt>
                <c:pt idx="18">
                  <c:v>254</c:v>
                </c:pt>
                <c:pt idx="19">
                  <c:v>83</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690728"/>
        <c:axId val="454689944"/>
      </c:barChart>
      <c:catAx>
        <c:axId val="454684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8768"/>
        <c:crosses val="autoZero"/>
        <c:auto val="1"/>
        <c:lblAlgn val="ctr"/>
        <c:lblOffset val="100"/>
        <c:noMultiLvlLbl val="0"/>
      </c:catAx>
      <c:valAx>
        <c:axId val="45468876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4456"/>
        <c:crosses val="autoZero"/>
        <c:crossBetween val="between"/>
        <c:majorUnit val="500"/>
      </c:valAx>
      <c:valAx>
        <c:axId val="4546899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90728"/>
        <c:crosses val="max"/>
        <c:crossBetween val="between"/>
        <c:majorUnit val="500"/>
      </c:valAx>
      <c:catAx>
        <c:axId val="454690728"/>
        <c:scaling>
          <c:orientation val="minMax"/>
        </c:scaling>
        <c:delete val="1"/>
        <c:axPos val="l"/>
        <c:numFmt formatCode="General" sourceLinked="1"/>
        <c:majorTickMark val="out"/>
        <c:minorTickMark val="none"/>
        <c:tickLblPos val="nextTo"/>
        <c:crossAx val="454689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630</c:v>
                </c:pt>
                <c:pt idx="1">
                  <c:v>740</c:v>
                </c:pt>
                <c:pt idx="2">
                  <c:v>902</c:v>
                </c:pt>
                <c:pt idx="3">
                  <c:v>959</c:v>
                </c:pt>
                <c:pt idx="4">
                  <c:v>524</c:v>
                </c:pt>
                <c:pt idx="5">
                  <c:v>570</c:v>
                </c:pt>
                <c:pt idx="6">
                  <c:v>594</c:v>
                </c:pt>
                <c:pt idx="7">
                  <c:v>661</c:v>
                </c:pt>
                <c:pt idx="8">
                  <c:v>856</c:v>
                </c:pt>
                <c:pt idx="9">
                  <c:v>930</c:v>
                </c:pt>
                <c:pt idx="10">
                  <c:v>1078</c:v>
                </c:pt>
                <c:pt idx="11">
                  <c:v>863</c:v>
                </c:pt>
                <c:pt idx="12">
                  <c:v>839</c:v>
                </c:pt>
                <c:pt idx="13">
                  <c:v>859</c:v>
                </c:pt>
                <c:pt idx="14">
                  <c:v>908</c:v>
                </c:pt>
                <c:pt idx="15">
                  <c:v>855</c:v>
                </c:pt>
                <c:pt idx="16">
                  <c:v>725</c:v>
                </c:pt>
                <c:pt idx="17">
                  <c:v>394</c:v>
                </c:pt>
                <c:pt idx="18">
                  <c:v>223</c:v>
                </c:pt>
                <c:pt idx="19">
                  <c:v>107</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691512"/>
        <c:axId val="45468484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634</c:v>
                </c:pt>
                <c:pt idx="1">
                  <c:v>742</c:v>
                </c:pt>
                <c:pt idx="2">
                  <c:v>904</c:v>
                </c:pt>
                <c:pt idx="3">
                  <c:v>961</c:v>
                </c:pt>
                <c:pt idx="4">
                  <c:v>524</c:v>
                </c:pt>
                <c:pt idx="5">
                  <c:v>574</c:v>
                </c:pt>
                <c:pt idx="6">
                  <c:v>599</c:v>
                </c:pt>
                <c:pt idx="7">
                  <c:v>661</c:v>
                </c:pt>
                <c:pt idx="8">
                  <c:v>857</c:v>
                </c:pt>
                <c:pt idx="9">
                  <c:v>931</c:v>
                </c:pt>
                <c:pt idx="10">
                  <c:v>1078</c:v>
                </c:pt>
                <c:pt idx="11">
                  <c:v>863</c:v>
                </c:pt>
                <c:pt idx="12">
                  <c:v>839</c:v>
                </c:pt>
                <c:pt idx="13">
                  <c:v>859</c:v>
                </c:pt>
                <c:pt idx="14">
                  <c:v>908</c:v>
                </c:pt>
                <c:pt idx="15">
                  <c:v>855</c:v>
                </c:pt>
                <c:pt idx="16">
                  <c:v>725</c:v>
                </c:pt>
                <c:pt idx="17">
                  <c:v>394</c:v>
                </c:pt>
                <c:pt idx="18">
                  <c:v>223</c:v>
                </c:pt>
                <c:pt idx="19">
                  <c:v>107</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686024"/>
        <c:axId val="454685632"/>
      </c:barChart>
      <c:catAx>
        <c:axId val="454691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4848"/>
        <c:crosses val="autoZero"/>
        <c:auto val="1"/>
        <c:lblAlgn val="ctr"/>
        <c:lblOffset val="100"/>
        <c:noMultiLvlLbl val="0"/>
      </c:catAx>
      <c:valAx>
        <c:axId val="45468484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91512"/>
        <c:crosses val="autoZero"/>
        <c:crossBetween val="between"/>
        <c:majorUnit val="1000"/>
      </c:valAx>
      <c:valAx>
        <c:axId val="45468563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6024"/>
        <c:crosses val="max"/>
        <c:crossBetween val="between"/>
        <c:majorUnit val="1000"/>
      </c:valAx>
      <c:catAx>
        <c:axId val="454686024"/>
        <c:scaling>
          <c:orientation val="minMax"/>
        </c:scaling>
        <c:delete val="1"/>
        <c:axPos val="l"/>
        <c:numFmt formatCode="General" sourceLinked="1"/>
        <c:majorTickMark val="out"/>
        <c:minorTickMark val="none"/>
        <c:tickLblPos val="nextTo"/>
        <c:crossAx val="45468563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670</c:v>
                </c:pt>
                <c:pt idx="1">
                  <c:v>739</c:v>
                </c:pt>
                <c:pt idx="2">
                  <c:v>787</c:v>
                </c:pt>
                <c:pt idx="3">
                  <c:v>788</c:v>
                </c:pt>
                <c:pt idx="4">
                  <c:v>474</c:v>
                </c:pt>
                <c:pt idx="5">
                  <c:v>628</c:v>
                </c:pt>
                <c:pt idx="6">
                  <c:v>702</c:v>
                </c:pt>
                <c:pt idx="7">
                  <c:v>717</c:v>
                </c:pt>
                <c:pt idx="8">
                  <c:v>694</c:v>
                </c:pt>
                <c:pt idx="9">
                  <c:v>701</c:v>
                </c:pt>
                <c:pt idx="10">
                  <c:v>837</c:v>
                </c:pt>
                <c:pt idx="11">
                  <c:v>887</c:v>
                </c:pt>
                <c:pt idx="12">
                  <c:v>1057</c:v>
                </c:pt>
                <c:pt idx="13">
                  <c:v>864</c:v>
                </c:pt>
                <c:pt idx="14">
                  <c:v>801</c:v>
                </c:pt>
                <c:pt idx="15">
                  <c:v>752</c:v>
                </c:pt>
                <c:pt idx="16">
                  <c:v>735</c:v>
                </c:pt>
                <c:pt idx="17">
                  <c:v>603</c:v>
                </c:pt>
                <c:pt idx="18">
                  <c:v>351</c:v>
                </c:pt>
                <c:pt idx="19">
                  <c:v>106</c:v>
                </c:pt>
                <c:pt idx="20">
                  <c:v>15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686808"/>
        <c:axId val="45468720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677</c:v>
                </c:pt>
                <c:pt idx="1">
                  <c:v>746</c:v>
                </c:pt>
                <c:pt idx="2">
                  <c:v>795</c:v>
                </c:pt>
                <c:pt idx="3">
                  <c:v>792</c:v>
                </c:pt>
                <c:pt idx="4">
                  <c:v>475</c:v>
                </c:pt>
                <c:pt idx="5">
                  <c:v>633</c:v>
                </c:pt>
                <c:pt idx="6">
                  <c:v>706</c:v>
                </c:pt>
                <c:pt idx="7">
                  <c:v>723</c:v>
                </c:pt>
                <c:pt idx="8">
                  <c:v>701</c:v>
                </c:pt>
                <c:pt idx="9">
                  <c:v>702</c:v>
                </c:pt>
                <c:pt idx="10">
                  <c:v>838</c:v>
                </c:pt>
                <c:pt idx="11">
                  <c:v>888</c:v>
                </c:pt>
                <c:pt idx="12">
                  <c:v>1057</c:v>
                </c:pt>
                <c:pt idx="13">
                  <c:v>864</c:v>
                </c:pt>
                <c:pt idx="14">
                  <c:v>801</c:v>
                </c:pt>
                <c:pt idx="15">
                  <c:v>752</c:v>
                </c:pt>
                <c:pt idx="16">
                  <c:v>735</c:v>
                </c:pt>
                <c:pt idx="17">
                  <c:v>603</c:v>
                </c:pt>
                <c:pt idx="18">
                  <c:v>351</c:v>
                </c:pt>
                <c:pt idx="19">
                  <c:v>106</c:v>
                </c:pt>
                <c:pt idx="20">
                  <c:v>15</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687984"/>
        <c:axId val="454687592"/>
      </c:barChart>
      <c:catAx>
        <c:axId val="454686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7200"/>
        <c:crosses val="autoZero"/>
        <c:auto val="1"/>
        <c:lblAlgn val="ctr"/>
        <c:lblOffset val="100"/>
        <c:noMultiLvlLbl val="0"/>
      </c:catAx>
      <c:valAx>
        <c:axId val="45468720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6808"/>
        <c:crosses val="autoZero"/>
        <c:crossBetween val="between"/>
        <c:majorUnit val="1000"/>
      </c:valAx>
      <c:valAx>
        <c:axId val="45468759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87984"/>
        <c:crosses val="max"/>
        <c:crossBetween val="between"/>
        <c:majorUnit val="1000"/>
      </c:valAx>
      <c:catAx>
        <c:axId val="454687984"/>
        <c:scaling>
          <c:orientation val="minMax"/>
        </c:scaling>
        <c:delete val="1"/>
        <c:axPos val="l"/>
        <c:numFmt formatCode="General" sourceLinked="1"/>
        <c:majorTickMark val="out"/>
        <c:minorTickMark val="none"/>
        <c:tickLblPos val="nextTo"/>
        <c:crossAx val="45468759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横市地区</c:v>
                </c:pt>
              </c:strCache>
            </c:strRef>
          </c:cat>
          <c:val>
            <c:numRef>
              <c:f>管理者用地域特徴シート!$H$3:$H$5</c:f>
              <c:numCache>
                <c:formatCode>0.0%</c:formatCode>
                <c:ptCount val="3"/>
                <c:pt idx="0">
                  <c:v>0.46108733927332846</c:v>
                </c:pt>
                <c:pt idx="1">
                  <c:v>0.45304826418289584</c:v>
                </c:pt>
                <c:pt idx="2">
                  <c:v>0.39453610076281709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775000"/>
        <c:axId val="454776176"/>
      </c:barChart>
      <c:catAx>
        <c:axId val="454775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76176"/>
        <c:crosses val="autoZero"/>
        <c:auto val="1"/>
        <c:lblAlgn val="ctr"/>
        <c:lblOffset val="100"/>
        <c:noMultiLvlLbl val="0"/>
      </c:catAx>
      <c:valAx>
        <c:axId val="4547761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75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横市地区</c:v>
                </c:pt>
              </c:strCache>
            </c:strRef>
          </c:cat>
          <c:val>
            <c:numRef>
              <c:f>管理者用地域特徴シート!$J$3:$J$5</c:f>
              <c:numCache>
                <c:formatCode>0.0%</c:formatCode>
                <c:ptCount val="3"/>
                <c:pt idx="0">
                  <c:v>0.15075281438403673</c:v>
                </c:pt>
                <c:pt idx="1">
                  <c:v>0.1614451030200395</c:v>
                </c:pt>
                <c:pt idx="2">
                  <c:v>0.13517828632251197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778528"/>
        <c:axId val="454776568"/>
      </c:barChart>
      <c:catAx>
        <c:axId val="454778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76568"/>
        <c:crosses val="autoZero"/>
        <c:auto val="1"/>
        <c:lblAlgn val="ctr"/>
        <c:lblOffset val="100"/>
        <c:noMultiLvlLbl val="0"/>
      </c:catAx>
      <c:valAx>
        <c:axId val="454776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78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横市地区</c:v>
                </c:pt>
              </c:strCache>
            </c:strRef>
          </c:cat>
          <c:val>
            <c:numRef>
              <c:f>管理者用地域特徴シート!$P$3:$P$5</c:f>
              <c:numCache>
                <c:formatCode>0.0%</c:formatCode>
                <c:ptCount val="3"/>
                <c:pt idx="0">
                  <c:v>0.34758352842621743</c:v>
                </c:pt>
                <c:pt idx="1">
                  <c:v>0.35933142430278886</c:v>
                </c:pt>
                <c:pt idx="2">
                  <c:v>0.40463682846536386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774216"/>
        <c:axId val="454780880"/>
      </c:barChart>
      <c:catAx>
        <c:axId val="454774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80880"/>
        <c:crosses val="autoZero"/>
        <c:auto val="1"/>
        <c:lblAlgn val="ctr"/>
        <c:lblOffset val="100"/>
        <c:noMultiLvlLbl val="0"/>
      </c:catAx>
      <c:valAx>
        <c:axId val="454780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74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横市地区</c:v>
                </c:pt>
              </c:strCache>
            </c:strRef>
          </c:cat>
          <c:val>
            <c:numRef>
              <c:f>管理者用地域特徴シート!$AO$3:$AO$5</c:f>
              <c:numCache>
                <c:formatCode>0.0%</c:formatCode>
                <c:ptCount val="3"/>
                <c:pt idx="0">
                  <c:v>0.5259093009439566</c:v>
                </c:pt>
                <c:pt idx="1">
                  <c:v>0.53180387374868843</c:v>
                </c:pt>
                <c:pt idx="2">
                  <c:v>0.51775755796888756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774608"/>
        <c:axId val="454780096"/>
      </c:barChart>
      <c:catAx>
        <c:axId val="454774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80096"/>
        <c:crosses val="autoZero"/>
        <c:auto val="1"/>
        <c:lblAlgn val="ctr"/>
        <c:lblOffset val="100"/>
        <c:noMultiLvlLbl val="0"/>
      </c:catAx>
      <c:valAx>
        <c:axId val="4547800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746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横市地区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4.8616419507720533E-2</c:v>
                </c:pt>
                <c:pt idx="1">
                  <c:v>0</c:v>
                </c:pt>
                <c:pt idx="2">
                  <c:v>0</c:v>
                </c:pt>
                <c:pt idx="3">
                  <c:v>7.9957193089741627E-2</c:v>
                </c:pt>
                <c:pt idx="4">
                  <c:v>0.1342302400244611</c:v>
                </c:pt>
                <c:pt idx="5">
                  <c:v>3.2105182693777708E-3</c:v>
                </c:pt>
                <c:pt idx="6">
                  <c:v>8.714263874025378E-3</c:v>
                </c:pt>
                <c:pt idx="7">
                  <c:v>4.0666564745451765E-2</c:v>
                </c:pt>
                <c:pt idx="8">
                  <c:v>0.17031035009937318</c:v>
                </c:pt>
                <c:pt idx="9">
                  <c:v>1.7734291392753402E-2</c:v>
                </c:pt>
                <c:pt idx="10">
                  <c:v>1.1771900321051828E-2</c:v>
                </c:pt>
                <c:pt idx="11">
                  <c:v>2.7518728023238036E-2</c:v>
                </c:pt>
                <c:pt idx="12">
                  <c:v>4.5864546705396726E-2</c:v>
                </c:pt>
                <c:pt idx="13">
                  <c:v>3.2869591805534323E-2</c:v>
                </c:pt>
                <c:pt idx="14">
                  <c:v>5.5343219691178717E-2</c:v>
                </c:pt>
                <c:pt idx="15">
                  <c:v>0.18926769607093716</c:v>
                </c:pt>
                <c:pt idx="16">
                  <c:v>1.0548845742241247E-2</c:v>
                </c:pt>
                <c:pt idx="17">
                  <c:v>4.7393364928909949E-2</c:v>
                </c:pt>
                <c:pt idx="18">
                  <c:v>6.0694083473475005E-2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781272"/>
        <c:axId val="454776960"/>
      </c:barChart>
      <c:catAx>
        <c:axId val="454781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76960"/>
        <c:crosses val="autoZero"/>
        <c:auto val="1"/>
        <c:lblAlgn val="ctr"/>
        <c:lblOffset val="100"/>
        <c:noMultiLvlLbl val="0"/>
      </c:catAx>
      <c:valAx>
        <c:axId val="4547769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81272"/>
        <c:crosses val="autoZero"/>
        <c:crossBetween val="between"/>
      </c:valAx>
      <c:spPr>
        <a:noFill/>
        <a:ln>
          <a:noFill/>
        </a:ln>
        <a:effectLst/>
      </c:spPr>
    </c:plotArea>
    <c:legend>
      <c:legendPos val="b"/>
      <c:layout>
        <c:manualLayout>
          <c:xMode val="edge"/>
          <c:yMode val="edge"/>
          <c:x val="0.5533232782521903"/>
          <c:y val="8.051700067403189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横市地区</c:v>
                </c:pt>
              </c:strCache>
            </c:strRef>
          </c:cat>
          <c:val>
            <c:numRef>
              <c:f>管理者用地域特徴シート!$CK$3:$CK$5</c:f>
              <c:numCache>
                <c:formatCode>0.0%</c:formatCode>
                <c:ptCount val="3"/>
                <c:pt idx="0">
                  <c:v>0.82747216160708559</c:v>
                </c:pt>
                <c:pt idx="1">
                  <c:v>0.87388083564272012</c:v>
                </c:pt>
                <c:pt idx="2">
                  <c:v>0.86852163277786276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777352"/>
        <c:axId val="454777744"/>
      </c:barChart>
      <c:catAx>
        <c:axId val="454777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77744"/>
        <c:crosses val="autoZero"/>
        <c:auto val="1"/>
        <c:lblAlgn val="ctr"/>
        <c:lblOffset val="100"/>
        <c:noMultiLvlLbl val="0"/>
      </c:catAx>
      <c:valAx>
        <c:axId val="454777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77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0.18</c:v>
                </c:pt>
                <c:pt idx="1">
                  <c:v>0.21</c:v>
                </c:pt>
                <c:pt idx="2">
                  <c:v>0.25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315112"/>
        <c:axId val="393319424"/>
      </c:barChart>
      <c:catAx>
        <c:axId val="393315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9424"/>
        <c:crosses val="autoZero"/>
        <c:auto val="1"/>
        <c:lblAlgn val="ctr"/>
        <c:lblOffset val="100"/>
        <c:noMultiLvlLbl val="0"/>
      </c:catAx>
      <c:valAx>
        <c:axId val="393319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5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0.09</c:v>
                </c:pt>
                <c:pt idx="1">
                  <c:v>0.1</c:v>
                </c:pt>
                <c:pt idx="2">
                  <c:v>0.12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313544"/>
        <c:axId val="393315896"/>
      </c:barChart>
      <c:catAx>
        <c:axId val="393313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5896"/>
        <c:crosses val="autoZero"/>
        <c:auto val="1"/>
        <c:lblAlgn val="ctr"/>
        <c:lblOffset val="100"/>
        <c:noMultiLvlLbl val="0"/>
      </c:catAx>
      <c:valAx>
        <c:axId val="393315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3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307263149952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78A-47FD-97E0-C8E2BB06143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404</c:v>
                </c:pt>
                <c:pt idx="1">
                  <c:v>407</c:v>
                </c:pt>
                <c:pt idx="2">
                  <c:v>451</c:v>
                </c:pt>
                <c:pt idx="3">
                  <c:v>474</c:v>
                </c:pt>
                <c:pt idx="4">
                  <c:v>212</c:v>
                </c:pt>
                <c:pt idx="5">
                  <c:v>323</c:v>
                </c:pt>
                <c:pt idx="6">
                  <c:v>433</c:v>
                </c:pt>
                <c:pt idx="7">
                  <c:v>402</c:v>
                </c:pt>
                <c:pt idx="8">
                  <c:v>400</c:v>
                </c:pt>
                <c:pt idx="9">
                  <c:v>411</c:v>
                </c:pt>
                <c:pt idx="10">
                  <c:v>460</c:v>
                </c:pt>
                <c:pt idx="11">
                  <c:v>450</c:v>
                </c:pt>
                <c:pt idx="12">
                  <c:v>478</c:v>
                </c:pt>
                <c:pt idx="13">
                  <c:v>310</c:v>
                </c:pt>
                <c:pt idx="14">
                  <c:v>264</c:v>
                </c:pt>
                <c:pt idx="15">
                  <c:v>215</c:v>
                </c:pt>
                <c:pt idx="16">
                  <c:v>149</c:v>
                </c:pt>
                <c:pt idx="17">
                  <c:v>73</c:v>
                </c:pt>
                <c:pt idx="18">
                  <c:v>17</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317856"/>
        <c:axId val="3933155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422</c:v>
                </c:pt>
                <c:pt idx="1">
                  <c:v>402</c:v>
                </c:pt>
                <c:pt idx="2">
                  <c:v>376</c:v>
                </c:pt>
                <c:pt idx="3">
                  <c:v>372</c:v>
                </c:pt>
                <c:pt idx="4">
                  <c:v>308</c:v>
                </c:pt>
                <c:pt idx="5">
                  <c:v>394</c:v>
                </c:pt>
                <c:pt idx="6">
                  <c:v>472</c:v>
                </c:pt>
                <c:pt idx="7">
                  <c:v>464</c:v>
                </c:pt>
                <c:pt idx="8">
                  <c:v>472</c:v>
                </c:pt>
                <c:pt idx="9">
                  <c:v>489</c:v>
                </c:pt>
                <c:pt idx="10">
                  <c:v>488</c:v>
                </c:pt>
                <c:pt idx="11">
                  <c:v>534</c:v>
                </c:pt>
                <c:pt idx="12">
                  <c:v>474</c:v>
                </c:pt>
                <c:pt idx="13">
                  <c:v>338</c:v>
                </c:pt>
                <c:pt idx="14">
                  <c:v>298</c:v>
                </c:pt>
                <c:pt idx="15">
                  <c:v>317</c:v>
                </c:pt>
                <c:pt idx="16">
                  <c:v>244</c:v>
                </c:pt>
                <c:pt idx="17">
                  <c:v>126</c:v>
                </c:pt>
                <c:pt idx="18">
                  <c:v>68</c:v>
                </c:pt>
                <c:pt idx="19">
                  <c:v>22</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3314328"/>
        <c:axId val="393318248"/>
      </c:barChart>
      <c:catAx>
        <c:axId val="3933178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5504"/>
        <c:crosses val="autoZero"/>
        <c:auto val="1"/>
        <c:lblAlgn val="ctr"/>
        <c:lblOffset val="100"/>
        <c:noMultiLvlLbl val="0"/>
      </c:catAx>
      <c:valAx>
        <c:axId val="3933155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7856"/>
        <c:crosses val="autoZero"/>
        <c:crossBetween val="between"/>
        <c:majorUnit val="500"/>
      </c:valAx>
      <c:valAx>
        <c:axId val="3933182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4328"/>
        <c:crosses val="max"/>
        <c:crossBetween val="between"/>
        <c:majorUnit val="500"/>
      </c:valAx>
      <c:catAx>
        <c:axId val="393314328"/>
        <c:scaling>
          <c:orientation val="minMax"/>
        </c:scaling>
        <c:delete val="1"/>
        <c:axPos val="l"/>
        <c:numFmt formatCode="General" sourceLinked="1"/>
        <c:majorTickMark val="out"/>
        <c:minorTickMark val="none"/>
        <c:tickLblPos val="nextTo"/>
        <c:crossAx val="3933182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6337</c:v>
                </c:pt>
                <c:pt idx="1">
                  <c:v>6573</c:v>
                </c:pt>
                <c:pt idx="2">
                  <c:v>6779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7083</c:v>
                </c:pt>
                <c:pt idx="1">
                  <c:v>7341</c:v>
                </c:pt>
                <c:pt idx="2">
                  <c:v>7502</c:v>
                </c:pt>
              </c:numCache>
            </c:numRef>
          </c:val>
          <c:extLst xmlns:c16r2="http://schemas.microsoft.com/office/drawing/2015/06/chart">
            <c:ext xmlns:c16="http://schemas.microsoft.com/office/drawing/2014/chart" uri="{C3380CC4-5D6E-409C-BE32-E72D297353CC}">
              <c16:uniqueId val="{00000000-D4F2-4953-88FA-F7E93C94D348}"/>
            </c:ext>
          </c:extLst>
        </c:ser>
        <c:dLbls>
          <c:showLegendKey val="0"/>
          <c:showVal val="0"/>
          <c:showCatName val="0"/>
          <c:showSerName val="0"/>
          <c:showPercent val="0"/>
          <c:showBubbleSize val="0"/>
        </c:dLbls>
        <c:gapWidth val="219"/>
        <c:overlap val="100"/>
        <c:axId val="393320600"/>
        <c:axId val="3933131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4F2-4953-88FA-F7E93C94D34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13420</c:v>
                </c:pt>
                <c:pt idx="1">
                  <c:v>13914</c:v>
                </c:pt>
                <c:pt idx="2">
                  <c:v>14281</c:v>
                </c:pt>
              </c:numCache>
            </c:numRef>
          </c:val>
          <c:smooth val="0"/>
          <c:extLst xmlns:c16r2="http://schemas.microsoft.com/office/drawing/2015/06/chart">
            <c:ext xmlns:c16="http://schemas.microsoft.com/office/drawing/2014/chart" uri="{C3380CC4-5D6E-409C-BE32-E72D297353CC}">
              <c16:uniqueId val="{00000002-D4F2-4953-88FA-F7E93C94D348}"/>
            </c:ext>
          </c:extLst>
        </c:ser>
        <c:dLbls>
          <c:showLegendKey val="0"/>
          <c:showVal val="0"/>
          <c:showCatName val="0"/>
          <c:showSerName val="0"/>
          <c:showPercent val="0"/>
          <c:showBubbleSize val="0"/>
        </c:dLbls>
        <c:marker val="1"/>
        <c:smooth val="0"/>
        <c:axId val="393320600"/>
        <c:axId val="393313152"/>
      </c:lineChart>
      <c:catAx>
        <c:axId val="393320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3152"/>
        <c:crosses val="autoZero"/>
        <c:auto val="1"/>
        <c:lblAlgn val="ctr"/>
        <c:lblOffset val="100"/>
        <c:noMultiLvlLbl val="0"/>
      </c:catAx>
      <c:valAx>
        <c:axId val="393313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2060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EA0-40D3-96AF-7A7AD9019A4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387</c:v>
                </c:pt>
                <c:pt idx="1">
                  <c:v>476</c:v>
                </c:pt>
                <c:pt idx="2">
                  <c:v>502</c:v>
                </c:pt>
                <c:pt idx="3">
                  <c:v>453</c:v>
                </c:pt>
                <c:pt idx="4">
                  <c:v>217</c:v>
                </c:pt>
                <c:pt idx="5">
                  <c:v>266</c:v>
                </c:pt>
                <c:pt idx="6">
                  <c:v>334</c:v>
                </c:pt>
                <c:pt idx="7">
                  <c:v>409</c:v>
                </c:pt>
                <c:pt idx="8">
                  <c:v>549</c:v>
                </c:pt>
                <c:pt idx="9">
                  <c:v>427</c:v>
                </c:pt>
                <c:pt idx="10">
                  <c:v>404</c:v>
                </c:pt>
                <c:pt idx="11">
                  <c:v>397</c:v>
                </c:pt>
                <c:pt idx="12">
                  <c:v>461</c:v>
                </c:pt>
                <c:pt idx="13">
                  <c:v>436</c:v>
                </c:pt>
                <c:pt idx="14">
                  <c:v>445</c:v>
                </c:pt>
                <c:pt idx="15">
                  <c:v>245</c:v>
                </c:pt>
                <c:pt idx="16">
                  <c:v>186</c:v>
                </c:pt>
                <c:pt idx="17">
                  <c:v>124</c:v>
                </c:pt>
                <c:pt idx="18">
                  <c:v>46</c:v>
                </c:pt>
                <c:pt idx="19">
                  <c:v>14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3316288"/>
        <c:axId val="3933166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334</c:v>
                </c:pt>
                <c:pt idx="1">
                  <c:v>428</c:v>
                </c:pt>
                <c:pt idx="2">
                  <c:v>486</c:v>
                </c:pt>
                <c:pt idx="3">
                  <c:v>414</c:v>
                </c:pt>
                <c:pt idx="4">
                  <c:v>226</c:v>
                </c:pt>
                <c:pt idx="5">
                  <c:v>258</c:v>
                </c:pt>
                <c:pt idx="6">
                  <c:v>401</c:v>
                </c:pt>
                <c:pt idx="7">
                  <c:v>471</c:v>
                </c:pt>
                <c:pt idx="8">
                  <c:v>551</c:v>
                </c:pt>
                <c:pt idx="9">
                  <c:v>478</c:v>
                </c:pt>
                <c:pt idx="10">
                  <c:v>451</c:v>
                </c:pt>
                <c:pt idx="11">
                  <c:v>462</c:v>
                </c:pt>
                <c:pt idx="12">
                  <c:v>493</c:v>
                </c:pt>
                <c:pt idx="13">
                  <c:v>539</c:v>
                </c:pt>
                <c:pt idx="14">
                  <c:v>457</c:v>
                </c:pt>
                <c:pt idx="15">
                  <c:v>319</c:v>
                </c:pt>
                <c:pt idx="16">
                  <c:v>268</c:v>
                </c:pt>
                <c:pt idx="17">
                  <c:v>265</c:v>
                </c:pt>
                <c:pt idx="18">
                  <c:v>155</c:v>
                </c:pt>
                <c:pt idx="19">
                  <c:v>42</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916320"/>
        <c:axId val="393317072"/>
      </c:barChart>
      <c:catAx>
        <c:axId val="3933162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6680"/>
        <c:crosses val="autoZero"/>
        <c:auto val="1"/>
        <c:lblAlgn val="ctr"/>
        <c:lblOffset val="100"/>
        <c:noMultiLvlLbl val="0"/>
      </c:catAx>
      <c:valAx>
        <c:axId val="39331668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6288"/>
        <c:crosses val="autoZero"/>
        <c:crossBetween val="between"/>
        <c:majorUnit val="500"/>
      </c:valAx>
      <c:valAx>
        <c:axId val="3933170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6320"/>
        <c:crosses val="max"/>
        <c:crossBetween val="between"/>
        <c:majorUnit val="500"/>
      </c:valAx>
      <c:catAx>
        <c:axId val="392916320"/>
        <c:scaling>
          <c:orientation val="minMax"/>
        </c:scaling>
        <c:delete val="1"/>
        <c:axPos val="l"/>
        <c:numFmt formatCode="General" sourceLinked="1"/>
        <c:majorTickMark val="out"/>
        <c:minorTickMark val="none"/>
        <c:tickLblPos val="nextTo"/>
        <c:crossAx val="3933170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60F-4276-A541-CE294EEE3AB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60F-4276-A541-CE294EEE3AB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60F-4276-A541-CE294EEE3AB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60F-4276-A541-CE294EEE3AB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60F-4276-A541-CE294EEE3AB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6337</c:v>
                </c:pt>
                <c:pt idx="1">
                  <c:v>6573</c:v>
                </c:pt>
                <c:pt idx="2">
                  <c:v>6779</c:v>
                </c:pt>
                <c:pt idx="3">
                  <c:v>6856</c:v>
                </c:pt>
                <c:pt idx="4">
                  <c:v>6843</c:v>
                </c:pt>
                <c:pt idx="5">
                  <c:v>6783</c:v>
                </c:pt>
                <c:pt idx="6">
                  <c:v>6726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60F-4276-A541-CE294EEE3AB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60F-4276-A541-CE294EEE3AB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60F-4276-A541-CE294EEE3AB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7083</c:v>
                </c:pt>
                <c:pt idx="1">
                  <c:v>7341</c:v>
                </c:pt>
                <c:pt idx="2">
                  <c:v>7502</c:v>
                </c:pt>
                <c:pt idx="3">
                  <c:v>7486</c:v>
                </c:pt>
                <c:pt idx="4">
                  <c:v>7388</c:v>
                </c:pt>
                <c:pt idx="5">
                  <c:v>7281</c:v>
                </c:pt>
                <c:pt idx="6">
                  <c:v>7182</c:v>
                </c:pt>
              </c:numCache>
            </c:numRef>
          </c:val>
          <c:extLst xmlns:c16r2="http://schemas.microsoft.com/office/drawing/2015/06/chart">
            <c:ext xmlns:c16="http://schemas.microsoft.com/office/drawing/2014/chart" uri="{C3380CC4-5D6E-409C-BE32-E72D297353CC}">
              <c16:uniqueId val="{00000010-B60F-4276-A541-CE294EEE3AB3}"/>
            </c:ext>
          </c:extLst>
        </c:ser>
        <c:dLbls>
          <c:showLegendKey val="0"/>
          <c:showVal val="0"/>
          <c:showCatName val="0"/>
          <c:showSerName val="0"/>
          <c:showPercent val="0"/>
          <c:showBubbleSize val="0"/>
        </c:dLbls>
        <c:gapWidth val="219"/>
        <c:overlap val="100"/>
        <c:axId val="392909656"/>
        <c:axId val="39290887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13420</c:v>
                </c:pt>
                <c:pt idx="1">
                  <c:v>13914</c:v>
                </c:pt>
                <c:pt idx="2">
                  <c:v>14281</c:v>
                </c:pt>
                <c:pt idx="3">
                  <c:v>14342</c:v>
                </c:pt>
                <c:pt idx="4">
                  <c:v>14231</c:v>
                </c:pt>
                <c:pt idx="5">
                  <c:v>14064</c:v>
                </c:pt>
                <c:pt idx="6">
                  <c:v>13908</c:v>
                </c:pt>
              </c:numCache>
            </c:numRef>
          </c:val>
          <c:smooth val="0"/>
          <c:extLst xmlns:c16r2="http://schemas.microsoft.com/office/drawing/2015/06/chart">
            <c:ext xmlns:c16="http://schemas.microsoft.com/office/drawing/2014/chart" uri="{C3380CC4-5D6E-409C-BE32-E72D297353CC}">
              <c16:uniqueId val="{00000011-B60F-4276-A541-CE294EEE3AB3}"/>
            </c:ext>
          </c:extLst>
        </c:ser>
        <c:dLbls>
          <c:showLegendKey val="0"/>
          <c:showVal val="0"/>
          <c:showCatName val="0"/>
          <c:showSerName val="0"/>
          <c:showPercent val="0"/>
          <c:showBubbleSize val="0"/>
        </c:dLbls>
        <c:marker val="1"/>
        <c:smooth val="0"/>
        <c:axId val="392909656"/>
        <c:axId val="392908872"/>
      </c:lineChart>
      <c:catAx>
        <c:axId val="39290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08872"/>
        <c:crosses val="autoZero"/>
        <c:auto val="1"/>
        <c:lblAlgn val="ctr"/>
        <c:lblOffset val="100"/>
        <c:noMultiLvlLbl val="0"/>
      </c:catAx>
      <c:valAx>
        <c:axId val="392908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0965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982</c:v>
                </c:pt>
                <c:pt idx="1">
                  <c:v>1111</c:v>
                </c:pt>
                <c:pt idx="2">
                  <c:v>1135</c:v>
                </c:pt>
                <c:pt idx="3">
                  <c:v>1090</c:v>
                </c:pt>
                <c:pt idx="4">
                  <c:v>985</c:v>
                </c:pt>
                <c:pt idx="5">
                  <c:v>919</c:v>
                </c:pt>
                <c:pt idx="6">
                  <c:v>916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912400"/>
        <c:axId val="392909264"/>
      </c:barChart>
      <c:catAx>
        <c:axId val="392912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09264"/>
        <c:crosses val="autoZero"/>
        <c:auto val="1"/>
        <c:lblAlgn val="ctr"/>
        <c:lblOffset val="100"/>
        <c:noMultiLvlLbl val="0"/>
      </c:catAx>
      <c:valAx>
        <c:axId val="392909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912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横市地区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45202_6</v>
      </c>
      <c r="B5" s="201" t="str">
        <f>VLOOKUP($A$5,$A$7:$CP$50,2,FALSE)</f>
        <v>都城市</v>
      </c>
      <c r="C5" s="201" t="str">
        <f>VLOOKUP($A$5,$A$7:$CP$50,3,FALSE)</f>
        <v>横市地区</v>
      </c>
      <c r="D5" s="188">
        <f>VLOOKUP($A$5,$A$7:$CP$70,4,FALSE)</f>
        <v>5637</v>
      </c>
      <c r="E5" s="189">
        <f>VLOOKUP($A$5,$A$7:$CP$70,5,FALSE)</f>
        <v>2224</v>
      </c>
      <c r="F5" s="189">
        <f>VLOOKUP($A$5,$A$7:$CP$70,6,FALSE)</f>
        <v>811</v>
      </c>
      <c r="G5" s="190">
        <f>VLOOKUP($A$5,$A$7:$CP$70,7,FALSE)</f>
        <v>762</v>
      </c>
      <c r="H5" s="178">
        <f>VLOOKUP($A$5,$A$7:$CP$70,8,FALSE)</f>
        <v>0.39453610076281709</v>
      </c>
      <c r="I5" s="179">
        <f>VLOOKUP($A$5,$A$7:$CP$70,9,FALSE)</f>
        <v>0.14387085329075749</v>
      </c>
      <c r="J5" s="180">
        <f>VLOOKUP($A$5,$A$7:$CP$70,10,FALSE)</f>
        <v>0.13517828632251197</v>
      </c>
      <c r="K5" s="188">
        <f>VLOOKUP($A$5,$A$7:$CP$70,11,FALSE)</f>
        <v>14277</v>
      </c>
      <c r="L5" s="189">
        <f>VLOOKUP($A$5,$A$7:$CP$70,12,FALSE)</f>
        <v>1202</v>
      </c>
      <c r="M5" s="189">
        <f>VLOOKUP($A$5,$A$7:$CP$70,13,FALSE)</f>
        <v>5777</v>
      </c>
      <c r="N5" s="190">
        <f>VLOOKUP($A$5,$A$7:$CP$70,14,FALSE)</f>
        <v>6467</v>
      </c>
      <c r="O5" s="178">
        <f>VLOOKUP($A$5,$A$7:$CP$70,15,FALSE)</f>
        <v>8.4191356727603833E-2</v>
      </c>
      <c r="P5" s="179">
        <f>VLOOKUP($A$5,$A$7:$CP$70,16,FALSE)</f>
        <v>0.40463682846536386</v>
      </c>
      <c r="Q5" s="180">
        <f>VLOOKUP($A$5,$A$7:$CP$70,17,FALSE)</f>
        <v>0.45296630944876376</v>
      </c>
      <c r="R5" s="188">
        <f>VLOOKUP($A$5,$A$7:$CP$70,18,FALSE)</f>
        <v>14277</v>
      </c>
      <c r="S5" s="189">
        <f>VLOOKUP($A$5,$A$7:$CP$70,19,FALSE)</f>
        <v>2201</v>
      </c>
      <c r="T5" s="189">
        <f>VLOOKUP($A$5,$A$7:$CP$70,20,FALSE)</f>
        <v>341</v>
      </c>
      <c r="U5" s="189">
        <f>VLOOKUP($A$5,$A$7:$CP$70,21,FALSE)</f>
        <v>810</v>
      </c>
      <c r="V5" s="189">
        <f>VLOOKUP($A$5,$A$7:$CP$70,22,FALSE)</f>
        <v>55</v>
      </c>
      <c r="W5" s="190">
        <f>VLOOKUP($A$5,$A$7:$CP$70,23,FALSE)</f>
        <v>3407</v>
      </c>
      <c r="X5" s="188">
        <f>VLOOKUP($A$5,$A$7:$CP$70,24,FALSE)</f>
        <v>6778</v>
      </c>
      <c r="Y5" s="189">
        <f>VLOOKUP($A$5,$A$7:$CP$70,25,FALSE)</f>
        <v>1009</v>
      </c>
      <c r="Z5" s="189">
        <f>VLOOKUP($A$5,$A$7:$CP$70,26,FALSE)</f>
        <v>183</v>
      </c>
      <c r="AA5" s="189">
        <f>VLOOKUP($A$5,$A$7:$CP$70,27,FALSE)</f>
        <v>434</v>
      </c>
      <c r="AB5" s="189">
        <f>VLOOKUP($A$5,$A$7:$CP$70,28,FALSE)</f>
        <v>17</v>
      </c>
      <c r="AC5" s="191">
        <f>VLOOKUP($A$5,$A$7:$CP$70,29,FALSE)</f>
        <v>1643</v>
      </c>
      <c r="AD5" s="188">
        <f>VLOOKUP($A$5,$A$7:$CP$70,30,FALSE)</f>
        <v>7499</v>
      </c>
      <c r="AE5" s="189">
        <f>VLOOKUP($A$5,$A$7:$CP$70,31,FALSE)</f>
        <v>1192</v>
      </c>
      <c r="AF5" s="189">
        <f>VLOOKUP($A$5,$A$7:$CP$70,32,FALSE)</f>
        <v>158</v>
      </c>
      <c r="AG5" s="189">
        <f>VLOOKUP($A$5,$A$7:$CP$70,33,FALSE)</f>
        <v>376</v>
      </c>
      <c r="AH5" s="189">
        <f>VLOOKUP($A$5,$A$7:$CP$70,34,FALSE)</f>
        <v>38</v>
      </c>
      <c r="AI5" s="191">
        <f>VLOOKUP($A$5,$A$7:$CP$70,35,FALSE)</f>
        <v>1764</v>
      </c>
      <c r="AJ5" s="178">
        <f>VLOOKUP($A$5,$A$7:$CP$70,36,FALSE)</f>
        <v>0.23863556769629474</v>
      </c>
      <c r="AK5" s="179">
        <f>VLOOKUP($A$5,$A$7:$CP$70,37,FALSE)</f>
        <v>0.10008805400645729</v>
      </c>
      <c r="AL5" s="179">
        <f>VLOOKUP($A$5,$A$7:$CP$70,38,FALSE)</f>
        <v>0.23774581743469328</v>
      </c>
      <c r="AM5" s="179">
        <f>VLOOKUP($A$5,$A$7:$CP$70,39,FALSE)</f>
        <v>1.6143234517170531E-2</v>
      </c>
      <c r="AN5" s="182">
        <f>VLOOKUP($A$5,$A$7:$CP$70,40,FALSE)</f>
        <v>0.48224244203111244</v>
      </c>
      <c r="AO5" s="180">
        <f>VLOOKUP($A$5,$A$7:$CP$70,41,FALSE)</f>
        <v>0.51775755796888756</v>
      </c>
      <c r="AP5" s="192">
        <f>VLOOKUP($A$5,$A$7:$CP$70,42,FALSE)</f>
        <v>6541</v>
      </c>
      <c r="AQ5" s="189">
        <f>VLOOKUP($A$5,$A$7:$CP$70,43,FALSE)</f>
        <v>318</v>
      </c>
      <c r="AR5" s="189">
        <f>VLOOKUP($A$5,$A$7:$CP$70,44,FALSE)</f>
        <v>0</v>
      </c>
      <c r="AS5" s="189">
        <f>VLOOKUP($A$5,$A$7:$CP$70,45,FALSE)</f>
        <v>0</v>
      </c>
      <c r="AT5" s="189">
        <f>VLOOKUP($A$5,$A$7:$CP$70,46,FALSE)</f>
        <v>523</v>
      </c>
      <c r="AU5" s="189">
        <f>VLOOKUP($A$5,$A$7:$CP$70,47,FALSE)</f>
        <v>878</v>
      </c>
      <c r="AV5" s="189">
        <f>VLOOKUP($A$5,$A$7:$CP$70,48,FALSE)</f>
        <v>21</v>
      </c>
      <c r="AW5" s="189">
        <f>VLOOKUP($A$5,$A$7:$CP$70,49,FALSE)</f>
        <v>57</v>
      </c>
      <c r="AX5" s="189">
        <f>VLOOKUP($A$5,$A$7:$CP$70,50,FALSE)</f>
        <v>266</v>
      </c>
      <c r="AY5" s="189">
        <f>VLOOKUP($A$5,$A$7:$CP$70,51,FALSE)</f>
        <v>1114</v>
      </c>
      <c r="AZ5" s="189">
        <f>VLOOKUP($A$5,$A$7:$CP$70,52,FALSE)</f>
        <v>116</v>
      </c>
      <c r="BA5" s="189">
        <f>VLOOKUP($A$5,$A$7:$CP$70,53,FALSE)</f>
        <v>77</v>
      </c>
      <c r="BB5" s="189">
        <f>VLOOKUP($A$5,$A$7:$CP$70,54,FALSE)</f>
        <v>180</v>
      </c>
      <c r="BC5" s="189">
        <f>VLOOKUP($A$5,$A$7:$CP$70,55,FALSE)</f>
        <v>300</v>
      </c>
      <c r="BD5" s="189">
        <f>VLOOKUP($A$5,$A$7:$CP$70,56,FALSE)</f>
        <v>215</v>
      </c>
      <c r="BE5" s="189">
        <f>VLOOKUP($A$5,$A$7:$CP$70,57,FALSE)</f>
        <v>362</v>
      </c>
      <c r="BF5" s="189">
        <f>VLOOKUP($A$5,$A$7:$CP$70,58,FALSE)</f>
        <v>1238</v>
      </c>
      <c r="BG5" s="189">
        <f>VLOOKUP($A$5,$A$7:$CP$70,59,FALSE)</f>
        <v>69</v>
      </c>
      <c r="BH5" s="189">
        <f>VLOOKUP($A$5,$A$7:$CP$70,60,FALSE)</f>
        <v>310</v>
      </c>
      <c r="BI5" s="189">
        <f>VLOOKUP($A$5,$A$7:$CP$70,61,FALSE)</f>
        <v>397</v>
      </c>
      <c r="BJ5" s="178">
        <f>VLOOKUP($A$5,$A$7:$CP$70,62,FALSE)</f>
        <v>4.8616419507720533E-2</v>
      </c>
      <c r="BK5" s="179">
        <f>VLOOKUP($A$5,$A$7:$CP$70,63,FALSE)</f>
        <v>0</v>
      </c>
      <c r="BL5" s="179">
        <f>VLOOKUP($A$5,$A$7:$CP$70,64,FALSE)</f>
        <v>0</v>
      </c>
      <c r="BM5" s="179">
        <f>VLOOKUP($A$5,$A$7:$CP$70,65,FALSE)</f>
        <v>7.9957193089741627E-2</v>
      </c>
      <c r="BN5" s="179">
        <f>VLOOKUP($A$5,$A$7:$CP$70,66,FALSE)</f>
        <v>0.1342302400244611</v>
      </c>
      <c r="BO5" s="179">
        <f>VLOOKUP($A$5,$A$7:$CP$70,67,FALSE)</f>
        <v>3.2105182693777708E-3</v>
      </c>
      <c r="BP5" s="179">
        <f>VLOOKUP($A$5,$A$7:$CP$70,68,FALSE)</f>
        <v>8.714263874025378E-3</v>
      </c>
      <c r="BQ5" s="179">
        <f>VLOOKUP($A$5,$A$7:$CP$70,69,FALSE)</f>
        <v>4.0666564745451765E-2</v>
      </c>
      <c r="BR5" s="179">
        <f>VLOOKUP($A$5,$A$7:$CP$70,70,FALSE)</f>
        <v>0.17031035009937318</v>
      </c>
      <c r="BS5" s="179">
        <f>VLOOKUP($A$5,$A$7:$CP$70,71,FALSE)</f>
        <v>1.7734291392753402E-2</v>
      </c>
      <c r="BT5" s="179">
        <f>VLOOKUP($A$5,$A$7:$CP$70,72,FALSE)</f>
        <v>1.1771900321051828E-2</v>
      </c>
      <c r="BU5" s="179">
        <f>VLOOKUP($A$5,$A$7:$CP$70,73,FALSE)</f>
        <v>2.7518728023238036E-2</v>
      </c>
      <c r="BV5" s="179">
        <f>VLOOKUP($A$5,$A$7:$CP$70,74,FALSE)</f>
        <v>4.5864546705396726E-2</v>
      </c>
      <c r="BW5" s="179">
        <f>VLOOKUP($A$5,$A$7:$CP$70,75,FALSE)</f>
        <v>3.2869591805534323E-2</v>
      </c>
      <c r="BX5" s="179">
        <f>VLOOKUP($A$5,$A$7:$CP$70,76,FALSE)</f>
        <v>5.5343219691178717E-2</v>
      </c>
      <c r="BY5" s="179">
        <f>VLOOKUP($A$5,$A$7:$CP$70,77,FALSE)</f>
        <v>0.18926769607093716</v>
      </c>
      <c r="BZ5" s="179">
        <f>VLOOKUP($A$5,$A$7:$CP$70,78,FALSE)</f>
        <v>1.0548845742241247E-2</v>
      </c>
      <c r="CA5" s="179">
        <f>VLOOKUP($A$5,$A$7:$CP$70,79,FALSE)</f>
        <v>4.7393364928909949E-2</v>
      </c>
      <c r="CB5" s="180">
        <f>VLOOKUP($A$5,$A$7:$CP$70,80,FALSE)</f>
        <v>6.0694083473475005E-2</v>
      </c>
      <c r="CC5" s="188">
        <f>VLOOKUP($A$5,$A$7:$CP$70,81,FALSE)</f>
        <v>6541</v>
      </c>
      <c r="CD5" s="190">
        <f>VLOOKUP($A$5,$A$7:$CP$70,82,FALSE)</f>
        <v>5681</v>
      </c>
      <c r="CE5" s="189">
        <f>VLOOKUP($A$5,$A$7:$CP$70,83,FALSE)</f>
        <v>314</v>
      </c>
      <c r="CF5" s="191">
        <f>VLOOKUP($A$5,$A$7:$CP$70,84,FALSE)</f>
        <v>464</v>
      </c>
      <c r="CG5" s="188">
        <f>VLOOKUP($A$5,$A$7:$CP$70,85,FALSE)</f>
        <v>761</v>
      </c>
      <c r="CH5" s="189">
        <f>VLOOKUP($A$5,$A$7:$CP$70,86,FALSE)</f>
        <v>639</v>
      </c>
      <c r="CI5" s="189">
        <f>VLOOKUP($A$5,$A$7:$CP$70,87,FALSE)</f>
        <v>90</v>
      </c>
      <c r="CJ5" s="191">
        <f>VLOOKUP($A$5,$A$7:$CP$70,88,FALSE)</f>
        <v>18</v>
      </c>
      <c r="CK5" s="178">
        <f>VLOOKUP($A$5,$A$7:$CP$70,89,FALSE)</f>
        <v>0.86852163277786276</v>
      </c>
      <c r="CL5" s="179">
        <f>VLOOKUP($A$5,$A$7:$CP$70,90,FALSE)</f>
        <v>4.8004892218315241E-2</v>
      </c>
      <c r="CM5" s="180">
        <f>VLOOKUP($A$5,$A$7:$CP$70,91,FALSE)</f>
        <v>7.0937165571013608E-2</v>
      </c>
      <c r="CN5" s="178">
        <f>VLOOKUP($A$5,$A$7:$CP$70,92,FALSE)</f>
        <v>0.83968462549277267</v>
      </c>
      <c r="CO5" s="179">
        <f>VLOOKUP($A$5,$A$7:$CP$70,93,FALSE)</f>
        <v>0.11826544021024968</v>
      </c>
      <c r="CP5" s="180">
        <f>VLOOKUP($A$5,$A$7:$CP$70,94,FALSE)</f>
        <v>2.3653088042049936E-2</v>
      </c>
    </row>
    <row r="6" spans="1:94" s="242" customFormat="1" x14ac:dyDescent="0.15"/>
    <row r="7" spans="1:94" x14ac:dyDescent="0.15">
      <c r="A7" t="s">
        <v>426</v>
      </c>
      <c r="B7" t="s">
        <v>427</v>
      </c>
      <c r="C7" t="s">
        <v>428</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429</v>
      </c>
      <c r="B8" t="s">
        <v>427</v>
      </c>
      <c r="C8" t="s">
        <v>430</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431</v>
      </c>
      <c r="B9" t="s">
        <v>427</v>
      </c>
      <c r="C9" t="s">
        <v>432</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433</v>
      </c>
      <c r="B10" t="s">
        <v>427</v>
      </c>
      <c r="C10" t="s">
        <v>434</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435</v>
      </c>
      <c r="B11" t="s">
        <v>427</v>
      </c>
      <c r="C11" t="s">
        <v>436</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437</v>
      </c>
      <c r="B12" t="s">
        <v>427</v>
      </c>
      <c r="C12" t="s">
        <v>438</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439</v>
      </c>
      <c r="B13" t="s">
        <v>427</v>
      </c>
      <c r="C13" t="s">
        <v>440</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441</v>
      </c>
      <c r="B14" t="s">
        <v>427</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427</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427</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427</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427</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427</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427</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427</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横市地区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14281</v>
      </c>
      <c r="F6" s="257"/>
      <c r="G6" s="20" t="s">
        <v>54</v>
      </c>
    </row>
    <row r="7" spans="1:10" ht="22.5" customHeight="1" x14ac:dyDescent="0.15">
      <c r="A7" s="249">
        <f>管理者用グラフシート!B4</f>
        <v>2010</v>
      </c>
      <c r="B7" s="249"/>
      <c r="C7" s="82" t="s">
        <v>226</v>
      </c>
      <c r="D7" s="251">
        <f>E6-管理者用グラフシート!E4</f>
        <v>861</v>
      </c>
      <c r="E7" s="251"/>
      <c r="F7" s="20" t="s">
        <v>356</v>
      </c>
    </row>
    <row r="8" spans="1:10" ht="22.5" customHeight="1" x14ac:dyDescent="0.15">
      <c r="A8" s="248" t="s">
        <v>380</v>
      </c>
      <c r="B8" s="248"/>
      <c r="C8" s="204">
        <f>管理者用グラフシート!C6-管理者用グラフシート!C4</f>
        <v>442</v>
      </c>
      <c r="D8" s="207" t="s">
        <v>381</v>
      </c>
      <c r="F8" s="204">
        <f>管理者用グラフシート!D6-管理者用グラフシート!D4</f>
        <v>419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1135</v>
      </c>
      <c r="G36" s="250"/>
      <c r="H36" s="20" t="s">
        <v>54</v>
      </c>
    </row>
    <row r="37" spans="1:9" ht="22.5" customHeight="1" x14ac:dyDescent="0.15">
      <c r="A37" s="20" t="s">
        <v>66</v>
      </c>
      <c r="F37" s="250">
        <f>管理者用グラフシート!C16</f>
        <v>569</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153</v>
      </c>
      <c r="E40" s="251"/>
      <c r="F40" s="20" t="s">
        <v>60</v>
      </c>
    </row>
    <row r="41" spans="1:9" ht="22.5" customHeight="1" x14ac:dyDescent="0.15">
      <c r="B41" s="20" t="s">
        <v>69</v>
      </c>
      <c r="D41" s="251">
        <f>F37-管理者用グラフシート!C14</f>
        <v>69</v>
      </c>
      <c r="E41" s="251"/>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3546</v>
      </c>
      <c r="D70" s="250"/>
      <c r="E70" s="20" t="s">
        <v>76</v>
      </c>
      <c r="F70" s="37"/>
      <c r="G70" s="255">
        <f>管理者用グラフシート!C32</f>
        <v>0.25</v>
      </c>
      <c r="H70" s="255"/>
      <c r="I70" s="20" t="s">
        <v>77</v>
      </c>
    </row>
    <row r="71" spans="1:9" ht="22.5" customHeight="1" x14ac:dyDescent="0.15">
      <c r="A71" s="20" t="s">
        <v>78</v>
      </c>
      <c r="C71" s="250">
        <f>管理者用グラフシート!C26</f>
        <v>1669</v>
      </c>
      <c r="D71" s="250"/>
      <c r="E71" s="20" t="s">
        <v>76</v>
      </c>
      <c r="F71" s="37"/>
      <c r="G71" s="255">
        <f>管理者用グラフシート!C36</f>
        <v>0.12</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-270</v>
      </c>
      <c r="G135" s="208" t="s">
        <v>386</v>
      </c>
      <c r="H135" s="111"/>
    </row>
    <row r="136" spans="1:8" ht="22.5" customHeight="1" x14ac:dyDescent="0.15">
      <c r="A136" s="35" t="s">
        <v>387</v>
      </c>
      <c r="C136" s="206">
        <f>SUM(管理者用グラフシート!B95:C96)-SUM(管理者用グラフシート!B47:C48)</f>
        <v>-156</v>
      </c>
      <c r="D136" s="20" t="s">
        <v>388</v>
      </c>
      <c r="E136" s="34"/>
      <c r="F136" s="206">
        <f>SUM(管理者用グラフシート!B97:C98)-SUM(管理者用グラフシート!B49:C50)</f>
        <v>233</v>
      </c>
      <c r="G136" s="20" t="s">
        <v>386</v>
      </c>
    </row>
    <row r="137" spans="1:8" ht="18.75" x14ac:dyDescent="0.15">
      <c r="A137" s="20" t="s">
        <v>389</v>
      </c>
      <c r="C137" s="206">
        <f>SUM(管理者用グラフシート!B99:C100)-SUM(管理者用グラフシート!B51:C52)</f>
        <v>-218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横市地区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14231</v>
      </c>
      <c r="E6" s="250"/>
      <c r="F6" s="20" t="s">
        <v>231</v>
      </c>
      <c r="H6" s="34"/>
      <c r="I6" s="34"/>
    </row>
    <row r="7" spans="1:9" ht="22.5" customHeight="1" x14ac:dyDescent="0.15">
      <c r="A7" s="249">
        <f>管理者入力シート!B5</f>
        <v>2020</v>
      </c>
      <c r="B7" s="249"/>
      <c r="C7" s="195" t="s">
        <v>362</v>
      </c>
      <c r="D7" s="251">
        <f>D6-現況シート!E6</f>
        <v>-50</v>
      </c>
      <c r="E7" s="251"/>
      <c r="F7" s="20" t="s">
        <v>232</v>
      </c>
      <c r="I7" s="34"/>
    </row>
    <row r="8" spans="1:9" ht="22.5" customHeight="1" x14ac:dyDescent="0.15">
      <c r="A8" s="248" t="s">
        <v>397</v>
      </c>
      <c r="B8" s="248"/>
      <c r="C8" s="206">
        <f>管理者用グラフシート!I8-管理者用グラフシート!C6</f>
        <v>64</v>
      </c>
      <c r="D8" s="207" t="s">
        <v>398</v>
      </c>
      <c r="F8" s="261">
        <f>管理者用グラフシート!J8-管理者用グラフシート!D6</f>
        <v>-114</v>
      </c>
      <c r="G8" s="261"/>
      <c r="H8" s="20" t="s">
        <v>399</v>
      </c>
    </row>
    <row r="10" spans="1:9" ht="22.5" customHeight="1" x14ac:dyDescent="0.15">
      <c r="A10" s="249">
        <f>管理者入力シート!B11</f>
        <v>2040</v>
      </c>
      <c r="B10" s="249"/>
      <c r="C10" s="20" t="s">
        <v>361</v>
      </c>
      <c r="D10" s="250">
        <f>管理者用グラフシート!K10</f>
        <v>13908</v>
      </c>
      <c r="E10" s="250"/>
      <c r="F10" s="20" t="s">
        <v>231</v>
      </c>
      <c r="H10" s="34"/>
    </row>
    <row r="11" spans="1:9" ht="22.5" customHeight="1" x14ac:dyDescent="0.15">
      <c r="A11" s="249">
        <f>管理者入力シート!B5</f>
        <v>2020</v>
      </c>
      <c r="B11" s="249"/>
      <c r="C11" s="195" t="s">
        <v>362</v>
      </c>
      <c r="D11" s="251">
        <f>D10-現況シート!E6</f>
        <v>-373</v>
      </c>
      <c r="E11" s="251"/>
      <c r="F11" s="20" t="s">
        <v>232</v>
      </c>
      <c r="H11" s="34"/>
    </row>
    <row r="12" spans="1:9" ht="22.5" customHeight="1" x14ac:dyDescent="0.15">
      <c r="A12" s="248" t="s">
        <v>397</v>
      </c>
      <c r="B12" s="248"/>
      <c r="C12" s="206">
        <f>管理者用グラフシート!I10-管理者用グラフシート!C6</f>
        <v>-53</v>
      </c>
      <c r="D12" s="207" t="s">
        <v>398</v>
      </c>
      <c r="F12" s="261">
        <f>管理者用グラフシート!J10-管理者用グラフシート!D6</f>
        <v>-320</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916</v>
      </c>
      <c r="G36" s="250"/>
      <c r="H36" s="82" t="s">
        <v>233</v>
      </c>
      <c r="I36" s="34"/>
    </row>
    <row r="37" spans="1:9" ht="22.5" customHeight="1" x14ac:dyDescent="0.15">
      <c r="A37" s="20" t="s">
        <v>234</v>
      </c>
      <c r="F37" s="250">
        <f>管理者用グラフシート!I28</f>
        <v>472</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-219</v>
      </c>
      <c r="G40" s="251"/>
      <c r="H40" s="35" t="s">
        <v>60</v>
      </c>
    </row>
    <row r="41" spans="1:9" ht="22.5" customHeight="1" x14ac:dyDescent="0.15">
      <c r="A41" s="20" t="s">
        <v>69</v>
      </c>
      <c r="C41" s="199">
        <f>管理者入力シート!B5</f>
        <v>2020</v>
      </c>
      <c r="D41" s="20" t="s">
        <v>374</v>
      </c>
      <c r="F41" s="251">
        <f>F37-現況シート!F37</f>
        <v>-97</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4227</v>
      </c>
      <c r="D70" s="250"/>
      <c r="E70" s="82" t="s">
        <v>239</v>
      </c>
      <c r="F70" s="34"/>
      <c r="G70" s="255">
        <f>管理者用グラフシート!I56</f>
        <v>0.3</v>
      </c>
      <c r="H70" s="255"/>
      <c r="I70" s="110" t="s">
        <v>240</v>
      </c>
    </row>
    <row r="71" spans="1:9" ht="22.5" customHeight="1" x14ac:dyDescent="0.15">
      <c r="A71" s="20" t="s">
        <v>241</v>
      </c>
      <c r="C71" s="250">
        <f>管理者用グラフシート!I46</f>
        <v>2562</v>
      </c>
      <c r="D71" s="250"/>
      <c r="E71" s="20" t="s">
        <v>239</v>
      </c>
      <c r="G71" s="259">
        <f>管理者用グラフシート!I64</f>
        <v>0.18</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127</v>
      </c>
      <c r="H103" s="208" t="s">
        <v>60</v>
      </c>
    </row>
    <row r="104" spans="1:8" ht="22.5" customHeight="1" x14ac:dyDescent="0.15">
      <c r="A104" s="35" t="s">
        <v>387</v>
      </c>
      <c r="C104" s="206">
        <f>SUM(管理者用グラフシート!H99:I100)-SUM(管理者用グラフシート!B95:C96)</f>
        <v>-360</v>
      </c>
      <c r="D104" s="20" t="s">
        <v>423</v>
      </c>
      <c r="E104" s="34"/>
      <c r="G104" s="206">
        <f>SUM(管理者用グラフシート!H101:I102)-SUM(管理者用グラフシート!B97:C98)</f>
        <v>-219</v>
      </c>
      <c r="H104" s="20" t="s">
        <v>60</v>
      </c>
    </row>
    <row r="105" spans="1:8" ht="22.5" customHeight="1" x14ac:dyDescent="0.15">
      <c r="A105" s="20" t="s">
        <v>389</v>
      </c>
      <c r="C105" s="206">
        <f>SUM(管理者用グラフシート!H103:I104)-SUM(管理者用グラフシート!B99:C100)</f>
        <v>227</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135</v>
      </c>
      <c r="H137" s="208" t="s">
        <v>60</v>
      </c>
    </row>
    <row r="138" spans="1:8" ht="22.5" customHeight="1" x14ac:dyDescent="0.15">
      <c r="A138" s="35" t="s">
        <v>387</v>
      </c>
      <c r="C138" s="206">
        <f>SUM(管理者用グラフシート!H147:I148)-SUM(管理者用グラフシート!B95:C96)</f>
        <v>-196</v>
      </c>
      <c r="D138" s="20" t="s">
        <v>423</v>
      </c>
      <c r="E138" s="34"/>
      <c r="G138" s="206">
        <f>SUM(管理者用グラフシート!H149:I150)-SUM(管理者用グラフシート!B97:C98)</f>
        <v>-610</v>
      </c>
      <c r="H138" s="20" t="s">
        <v>60</v>
      </c>
    </row>
    <row r="139" spans="1:8" ht="22.5" customHeight="1" x14ac:dyDescent="0.15">
      <c r="A139" s="20" t="s">
        <v>389</v>
      </c>
      <c r="C139" s="206">
        <f>SUM(管理者用グラフシート!H151:I152)-SUM(管理者用グラフシート!B99:C100)</f>
        <v>10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横市地区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14636</v>
      </c>
      <c r="I36" s="267"/>
    </row>
    <row r="37" spans="1:9" s="130" customFormat="1" ht="17.25" customHeight="1" x14ac:dyDescent="0.15">
      <c r="A37" s="165"/>
      <c r="B37" s="226" t="s">
        <v>5</v>
      </c>
      <c r="C37" s="227">
        <f>管理者用人口入力シート!DX1</f>
        <v>49</v>
      </c>
      <c r="D37" s="228">
        <f>C37</f>
        <v>49</v>
      </c>
      <c r="F37" s="162"/>
      <c r="G37" s="238">
        <f>管理者入力シート!B9</f>
        <v>2030</v>
      </c>
      <c r="H37" s="266">
        <f>管理者用人口入力シート!EU25</f>
        <v>14983</v>
      </c>
      <c r="I37" s="267"/>
    </row>
    <row r="38" spans="1:9" s="132" customFormat="1" ht="17.25" customHeight="1" x14ac:dyDescent="0.15">
      <c r="A38" s="160"/>
      <c r="B38" s="226" t="s">
        <v>6</v>
      </c>
      <c r="C38" s="227">
        <f>C37</f>
        <v>49</v>
      </c>
      <c r="D38" s="228">
        <f>C37</f>
        <v>49</v>
      </c>
      <c r="F38" s="162"/>
      <c r="G38" s="238">
        <f>管理者入力シート!B10</f>
        <v>2035</v>
      </c>
      <c r="H38" s="266">
        <f>管理者用人口入力シート!EU28</f>
        <v>15343</v>
      </c>
      <c r="I38" s="267"/>
    </row>
    <row r="39" spans="1:9" ht="17.25" customHeight="1" thickBot="1" x14ac:dyDescent="0.2">
      <c r="A39" s="166"/>
      <c r="B39" s="229" t="s">
        <v>7</v>
      </c>
      <c r="C39" s="230">
        <f>C37</f>
        <v>49</v>
      </c>
      <c r="D39" s="231">
        <f>C37</f>
        <v>49</v>
      </c>
      <c r="F39" s="162"/>
      <c r="G39" s="239">
        <f>管理者入力シート!B11</f>
        <v>2040</v>
      </c>
      <c r="H39" s="268">
        <f>管理者用人口入力シート!EU31</f>
        <v>15739</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14252</v>
      </c>
      <c r="E43" s="250"/>
      <c r="F43" s="20" t="s">
        <v>231</v>
      </c>
      <c r="H43" s="34"/>
      <c r="I43" s="34"/>
    </row>
    <row r="44" spans="1:9" ht="22.5" customHeight="1" x14ac:dyDescent="0.15">
      <c r="A44" s="249">
        <f>管理者入力シート!B11</f>
        <v>2040</v>
      </c>
      <c r="B44" s="249"/>
      <c r="C44" s="20" t="s">
        <v>417</v>
      </c>
      <c r="D44" s="250">
        <f>管理者用グラフシート!U10</f>
        <v>13960</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21</v>
      </c>
      <c r="E46" s="257"/>
      <c r="F46" s="20" t="s">
        <v>122</v>
      </c>
    </row>
    <row r="47" spans="1:9" ht="22.5" customHeight="1" x14ac:dyDescent="0.15">
      <c r="A47" s="249">
        <f>管理者入力シート!B11</f>
        <v>2040</v>
      </c>
      <c r="B47" s="249"/>
      <c r="C47" s="20" t="s">
        <v>418</v>
      </c>
      <c r="D47" s="257">
        <f>D44-将来予測シート①!D10</f>
        <v>52</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925</v>
      </c>
      <c r="G78" s="250"/>
      <c r="H78" s="82" t="s">
        <v>264</v>
      </c>
      <c r="I78" s="34"/>
    </row>
    <row r="79" spans="1:9" ht="22.5" customHeight="1" x14ac:dyDescent="0.15">
      <c r="A79" s="20" t="s">
        <v>234</v>
      </c>
      <c r="F79" s="250">
        <f>管理者用グラフシート!Q28</f>
        <v>476</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9</v>
      </c>
      <c r="D82" s="251"/>
      <c r="E82" s="20" t="s">
        <v>60</v>
      </c>
    </row>
    <row r="83" spans="1:13" ht="22.5" customHeight="1" x14ac:dyDescent="0.15">
      <c r="A83" s="20" t="s">
        <v>69</v>
      </c>
      <c r="C83" s="251">
        <f>F79-将来予測シート①!F37</f>
        <v>4</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4227</v>
      </c>
      <c r="D112" s="250"/>
      <c r="E112" s="20" t="s">
        <v>270</v>
      </c>
      <c r="F112" s="36"/>
      <c r="G112" s="111">
        <f>管理者用グラフシート!Q56</f>
        <v>0.3</v>
      </c>
      <c r="H112" s="82" t="s">
        <v>271</v>
      </c>
      <c r="I112" s="34"/>
    </row>
    <row r="113" spans="1:9" ht="22.5" customHeight="1" x14ac:dyDescent="0.15">
      <c r="A113" s="20" t="s">
        <v>268</v>
      </c>
      <c r="C113" s="250">
        <f>管理者用グラフシート!Q46</f>
        <v>2562</v>
      </c>
      <c r="D113" s="250"/>
      <c r="E113" s="82" t="s">
        <v>270</v>
      </c>
      <c r="F113" s="34"/>
      <c r="G113" s="111">
        <f>管理者用グラフシート!Q64</f>
        <v>0.18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横市地区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0.39453610076281709</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2" t="str">
        <f>地域特徴シート!A1</f>
        <v>横市地区</v>
      </c>
      <c r="B11" s="252"/>
      <c r="C11" s="257">
        <f>管理者用地域特徴シート!D5</f>
        <v>5637</v>
      </c>
      <c r="D11" s="252"/>
      <c r="E11" s="20" t="s">
        <v>413</v>
      </c>
    </row>
    <row r="12" spans="1:8" ht="22.5" customHeight="1" x14ac:dyDescent="0.15">
      <c r="A12" s="252" t="str">
        <f>A8</f>
        <v>都城市</v>
      </c>
      <c r="B12" s="252"/>
      <c r="C12" s="257">
        <f>管理者用地域特徴シート!D4</f>
        <v>70860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0.13517828632251197</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0.40463682846536386</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3407</v>
      </c>
      <c r="F70" s="282"/>
      <c r="G70" s="20" t="s">
        <v>290</v>
      </c>
    </row>
    <row r="71" spans="1:8" ht="22.5" customHeight="1" x14ac:dyDescent="0.15">
      <c r="A71" s="20" t="s">
        <v>295</v>
      </c>
      <c r="F71" s="280">
        <f>管理者用地域特徴シート!AK5</f>
        <v>0.10008805400645729</v>
      </c>
      <c r="G71" s="280"/>
      <c r="H71" s="20" t="s">
        <v>271</v>
      </c>
    </row>
    <row r="72" spans="1:8" ht="22.5" customHeight="1" x14ac:dyDescent="0.15">
      <c r="A72" s="20" t="s">
        <v>296</v>
      </c>
      <c r="F72" s="280">
        <f>管理者用地域特徴シート!AL5</f>
        <v>0.23774581743469328</v>
      </c>
      <c r="G72" s="280"/>
      <c r="H72" s="20" t="s">
        <v>297</v>
      </c>
    </row>
    <row r="73" spans="1:8" ht="22.5" customHeight="1" x14ac:dyDescent="0.15">
      <c r="A73" s="20" t="s">
        <v>298</v>
      </c>
      <c r="E73" s="280"/>
      <c r="F73" s="280"/>
    </row>
    <row r="74" spans="1:8" ht="22.5" customHeight="1" x14ac:dyDescent="0.15">
      <c r="A74" s="20" t="s">
        <v>339</v>
      </c>
      <c r="C74" s="177">
        <f>管理者用地域特徴シート!AN5</f>
        <v>0.48224244203111244</v>
      </c>
      <c r="D74" s="156" t="s">
        <v>299</v>
      </c>
      <c r="E74" s="177">
        <f>管理者用地域特徴シート!AO5</f>
        <v>0.51775755796888756</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0.86852163277786276</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0.83968462549277267</v>
      </c>
      <c r="D141" s="280"/>
      <c r="E141" s="20" t="s">
        <v>316</v>
      </c>
      <c r="F141" s="157" t="str">
        <f>管理者入力シート!B3</f>
        <v>都城市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横市地区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45202_6</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461</v>
      </c>
      <c r="DW1" s="289"/>
      <c r="DX1" s="284">
        <f>DW17</f>
        <v>49</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371.12881691921069</v>
      </c>
      <c r="E3" s="9">
        <v>412.14237363014342</v>
      </c>
      <c r="F3" s="9">
        <v>485.16988801266871</v>
      </c>
      <c r="G3" s="9">
        <v>469.14819911067116</v>
      </c>
      <c r="H3" s="9">
        <v>260.09109908475273</v>
      </c>
      <c r="I3" s="9">
        <v>386.13270753511728</v>
      </c>
      <c r="J3" s="9">
        <v>383.13558799599105</v>
      </c>
      <c r="K3" s="9">
        <v>357.12083473237067</v>
      </c>
      <c r="L3" s="9">
        <v>425.13839661939846</v>
      </c>
      <c r="M3" s="9">
        <v>472.15003302308196</v>
      </c>
      <c r="N3" s="9">
        <v>455.15105773548686</v>
      </c>
      <c r="O3" s="9">
        <v>493.15921176260974</v>
      </c>
      <c r="P3" s="9">
        <v>310.10050694465758</v>
      </c>
      <c r="Q3" s="9">
        <v>286.07855980753891</v>
      </c>
      <c r="R3" s="9">
        <v>244.06020232848331</v>
      </c>
      <c r="S3" s="9">
        <v>188.05169006342265</v>
      </c>
      <c r="T3" s="9">
        <v>106.02458392024333</v>
      </c>
      <c r="U3" s="9">
        <v>51.010733530153225</v>
      </c>
      <c r="V3" s="9">
        <v>11.003238698811455</v>
      </c>
      <c r="W3" s="9">
        <v>6.0022785451868739</v>
      </c>
      <c r="X3" s="9">
        <v>0</v>
      </c>
      <c r="Y3" s="9">
        <f>SUM(D3:X3)</f>
        <v>6172.0000000000009</v>
      </c>
      <c r="Z3" s="9">
        <f>E3*3/5+F3*3/5</f>
        <v>538.38735698568723</v>
      </c>
      <c r="AA3" s="9">
        <f>F3*2/5+G3*1/5</f>
        <v>287.8975950272017</v>
      </c>
      <c r="AB3" s="9">
        <f t="shared" ref="AB3:AB20" si="0">SUM(Q3:X3)</f>
        <v>892.23128689383975</v>
      </c>
      <c r="AC3" s="9">
        <f>SUM(S3:X3)</f>
        <v>362.09252475781756</v>
      </c>
      <c r="AD3" s="13">
        <f>AB3/Y3</f>
        <v>0.14456112879031749</v>
      </c>
      <c r="AE3" s="13">
        <f>AC3/Y3</f>
        <v>5.8666967718376137E-2</v>
      </c>
      <c r="AF3" s="9">
        <f>SUM(H3:K3)</f>
        <v>1386.4802293482317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1.1805666351257311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1.0960969390556214</v>
      </c>
      <c r="AO3" s="6">
        <f t="shared" si="1"/>
        <v>0.95086787397635053</v>
      </c>
      <c r="AP3" s="6">
        <f t="shared" si="1"/>
        <v>0.47732076378849408</v>
      </c>
      <c r="AQ3" s="6">
        <f t="shared" si="1"/>
        <v>1.0743957738532037</v>
      </c>
      <c r="AR3" s="6">
        <f t="shared" si="1"/>
        <v>1.1536317680988233</v>
      </c>
      <c r="AS3" s="6">
        <f t="shared" si="1"/>
        <v>1.1168476043688276</v>
      </c>
      <c r="AT3" s="6">
        <f t="shared" si="1"/>
        <v>1.0934657810696204</v>
      </c>
      <c r="AU3" s="6">
        <f t="shared" si="1"/>
        <v>1.0205339044632973</v>
      </c>
      <c r="AV3" s="6">
        <f t="shared" si="1"/>
        <v>0.98406121177932671</v>
      </c>
      <c r="AW3" s="6">
        <f t="shared" si="1"/>
        <v>0.98117644499670487</v>
      </c>
      <c r="AX3" s="6">
        <f t="shared" si="1"/>
        <v>1.0440247785804917</v>
      </c>
      <c r="AY3" s="6">
        <f t="shared" si="1"/>
        <v>1.0129024846664123</v>
      </c>
      <c r="AZ3" s="6">
        <f t="shared" si="1"/>
        <v>0.94369640328195092</v>
      </c>
      <c r="BA3" s="6">
        <f t="shared" si="1"/>
        <v>0.88801278639578429</v>
      </c>
      <c r="BB3" s="6">
        <f t="shared" si="1"/>
        <v>0.83787680727738723</v>
      </c>
      <c r="BC3" s="6">
        <f t="shared" si="1"/>
        <v>0.72131108389166199</v>
      </c>
      <c r="BD3" s="6">
        <f t="shared" si="1"/>
        <v>0.48961036729986651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0.45194490497261469</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0.19958279604252788</v>
      </c>
      <c r="BH3" s="7" t="str">
        <f>BI3&amp;"_"&amp;IF(BJ3="男性",1,IF(BJ3="女性",2,IF(BJ3="合計",3)))</f>
        <v>2025_1</v>
      </c>
      <c r="BI3" s="28">
        <f>管理者入力シート!B8</f>
        <v>2025</v>
      </c>
      <c r="BJ3" s="3" t="s">
        <v>21</v>
      </c>
      <c r="BK3" s="9">
        <f>CM4*AK$13</f>
        <v>354.1071502639258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447.18909286184424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538.76804254319109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491.39116662623627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226.07320791926782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262.78250705629154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304.12361640205262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380.44704213977707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435.67089293075321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561.68454217146234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420.05541904668559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391.40275259884476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396.91801990398011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460.16024378767077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399.03560356596586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383.82456892987676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200.68004811028285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125.38891300705684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56.775938605941327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16.848566626275602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3.1436148139635232</v>
      </c>
      <c r="CF3" s="9">
        <f t="shared" ref="CF3:CF14" si="2">SUM(BK3:CE3)</f>
        <v>6856.4709499113469</v>
      </c>
      <c r="CG3" s="9">
        <f>BL3*3/5+BM3*3/5</f>
        <v>591.57428124302123</v>
      </c>
      <c r="CH3" s="9">
        <f>BM3*2/5+BN3*1/5</f>
        <v>313.78545034252369</v>
      </c>
      <c r="CI3" s="9">
        <f t="shared" ref="CI3:CI14" si="3">SUM(BX3:CE3)</f>
        <v>1645.8574974470334</v>
      </c>
      <c r="CJ3" s="9">
        <f>SUM(BZ3:CE3)</f>
        <v>786.66165009339682</v>
      </c>
      <c r="CK3" s="13">
        <f>CI3/CF3</f>
        <v>0.24004440614866371</v>
      </c>
      <c r="CL3" s="13">
        <f>CJ3/CF3</f>
        <v>0.11473273289425491</v>
      </c>
      <c r="CM3" s="9">
        <f>SUM(BO3:BR3)</f>
        <v>1173.426373517389</v>
      </c>
      <c r="CO3" s="7" t="str">
        <f>CP3&amp;"_"&amp;IF(CQ3="男性",1,IF(CQ3="女性",2,IF(CQ3="合計",3)))</f>
        <v>2025_1</v>
      </c>
      <c r="CP3" s="28">
        <f>管理者入力シート!B8</f>
        <v>2025</v>
      </c>
      <c r="CQ3" s="3" t="s">
        <v>21</v>
      </c>
      <c r="CR3" s="9">
        <f>BK3+将来予測シート②!$G17</f>
        <v>355.1071502639258</v>
      </c>
      <c r="CS3" s="9">
        <f>BL3+将来予測シート②!$G18</f>
        <v>447.18909286184424</v>
      </c>
      <c r="CT3" s="9">
        <f>BM3+将来予測シート②!$G19</f>
        <v>539.76804254319109</v>
      </c>
      <c r="CU3" s="9">
        <f>BN3+将来予測シート②!$G20</f>
        <v>491.39116662623627</v>
      </c>
      <c r="CV3" s="9">
        <f>BO3+将来予測シート②!$G21</f>
        <v>226.07320791926782</v>
      </c>
      <c r="CW3" s="9">
        <f>BP3+将来予測シート②!$G22</f>
        <v>264.78250705629154</v>
      </c>
      <c r="CX3" s="9">
        <f>BQ3+将来予測シート②!$G23</f>
        <v>304.12361640205262</v>
      </c>
      <c r="CY3" s="9">
        <f>BR3+将来予測シート②!$G24</f>
        <v>380.44704213977707</v>
      </c>
      <c r="CZ3" s="9">
        <f>BS3+将来予測シート②!$G25</f>
        <v>435.67089293075321</v>
      </c>
      <c r="DA3" s="9">
        <f>BT3+将来予測シート②!$G26</f>
        <v>561.68454217146234</v>
      </c>
      <c r="DB3" s="9">
        <f>BU3+将来予測シート②!$G27</f>
        <v>420.05541904668559</v>
      </c>
      <c r="DC3" s="9">
        <f>BV3+将来予測シート②!$G28</f>
        <v>391.40275259884476</v>
      </c>
      <c r="DD3" s="9">
        <f>BW3+将来予測シート②!$G29</f>
        <v>396.91801990398011</v>
      </c>
      <c r="DE3" s="9">
        <f>BX3</f>
        <v>460.16024378767077</v>
      </c>
      <c r="DF3" s="9">
        <f t="shared" ref="DF3:DL3" si="4">BY3</f>
        <v>399.03560356596586</v>
      </c>
      <c r="DG3" s="9">
        <f t="shared" si="4"/>
        <v>383.82456892987676</v>
      </c>
      <c r="DH3" s="9">
        <f t="shared" si="4"/>
        <v>200.68004811028285</v>
      </c>
      <c r="DI3" s="9">
        <f t="shared" si="4"/>
        <v>125.38891300705684</v>
      </c>
      <c r="DJ3" s="9">
        <f t="shared" si="4"/>
        <v>56.775938605941327</v>
      </c>
      <c r="DK3" s="9">
        <f t="shared" si="4"/>
        <v>16.848566626275602</v>
      </c>
      <c r="DL3" s="9">
        <f t="shared" si="4"/>
        <v>3.1436148139635232</v>
      </c>
      <c r="DM3" s="9">
        <f t="shared" ref="DM3:DM4" si="5">SUM(CR3:DL3)</f>
        <v>6860.4709499113469</v>
      </c>
      <c r="DN3" s="9">
        <f>CS3*3/5+CT3*3/5</f>
        <v>592.17428124302114</v>
      </c>
      <c r="DO3" s="9">
        <f>CT3*2/5+CU3*1/5</f>
        <v>314.18545034252367</v>
      </c>
      <c r="DP3" s="9">
        <f t="shared" ref="DP3:DP14" si="6">SUM(DE3:DL3)</f>
        <v>1645.8574974470334</v>
      </c>
      <c r="DQ3" s="9">
        <f>SUM(DG3:DL3)</f>
        <v>786.66165009339682</v>
      </c>
      <c r="DR3" s="13">
        <f>DP3/DM3</f>
        <v>0.23990444817324119</v>
      </c>
      <c r="DS3" s="13">
        <f>DQ3/DM3</f>
        <v>0.11466583793399232</v>
      </c>
      <c r="DT3" s="9">
        <f>SUM(CV3:CY3)</f>
        <v>1175.426373517389</v>
      </c>
      <c r="DV3" s="288"/>
      <c r="DW3" s="289"/>
      <c r="DX3" s="28">
        <f>管理者入力シート!B8</f>
        <v>2025</v>
      </c>
      <c r="DY3" s="3" t="s">
        <v>21</v>
      </c>
      <c r="DZ3" s="9">
        <f>BK$3</f>
        <v>354.1071502639258</v>
      </c>
      <c r="EA3" s="9">
        <f>BL$3</f>
        <v>447.18909286184424</v>
      </c>
      <c r="EB3" s="9">
        <f t="shared" ref="EB3:ED3" si="7">BM$3</f>
        <v>538.76804254319109</v>
      </c>
      <c r="EC3" s="9">
        <f t="shared" si="7"/>
        <v>491.39116662623627</v>
      </c>
      <c r="ED3" s="9">
        <f t="shared" si="7"/>
        <v>226.07320791926782</v>
      </c>
      <c r="EE3" s="9">
        <f>BP$3+DX1</f>
        <v>311.78250705629154</v>
      </c>
      <c r="EF3" s="9">
        <f>BQ$3+DX1</f>
        <v>353.12361640205262</v>
      </c>
      <c r="EG3" s="9">
        <f>BR$3+DX1</f>
        <v>429.44704213977707</v>
      </c>
      <c r="EH3" s="9">
        <f t="shared" ref="EH3:ET3" si="8">BS$3</f>
        <v>435.67089293075321</v>
      </c>
      <c r="EI3" s="9">
        <f t="shared" si="8"/>
        <v>561.68454217146234</v>
      </c>
      <c r="EJ3" s="9">
        <f t="shared" si="8"/>
        <v>420.05541904668559</v>
      </c>
      <c r="EK3" s="9">
        <f t="shared" si="8"/>
        <v>391.40275259884476</v>
      </c>
      <c r="EL3" s="9">
        <f t="shared" si="8"/>
        <v>396.91801990398011</v>
      </c>
      <c r="EM3" s="9">
        <f t="shared" si="8"/>
        <v>460.16024378767077</v>
      </c>
      <c r="EN3" s="9">
        <f t="shared" si="8"/>
        <v>399.03560356596586</v>
      </c>
      <c r="EO3" s="9">
        <f t="shared" si="8"/>
        <v>383.82456892987676</v>
      </c>
      <c r="EP3" s="9">
        <f t="shared" si="8"/>
        <v>200.68004811028285</v>
      </c>
      <c r="EQ3" s="9">
        <f t="shared" si="8"/>
        <v>125.38891300705684</v>
      </c>
      <c r="ER3" s="9">
        <f t="shared" si="8"/>
        <v>56.775938605941327</v>
      </c>
      <c r="ES3" s="9">
        <f t="shared" si="8"/>
        <v>16.848566626275602</v>
      </c>
      <c r="ET3" s="9">
        <f t="shared" si="8"/>
        <v>3.1436148139635232</v>
      </c>
      <c r="EU3" s="9">
        <f t="shared" ref="EU3:EU4" si="9">SUM(DZ3:ET3)</f>
        <v>7003.4709499113469</v>
      </c>
      <c r="EV3" s="9">
        <f>EA3*3/5+EB3*3/5</f>
        <v>591.57428124302123</v>
      </c>
      <c r="EW3" s="9">
        <f>EB3*2/5+EC3*1/5</f>
        <v>313.78545034252369</v>
      </c>
      <c r="EX3" s="9">
        <f t="shared" ref="EX3:EX14" si="10">SUM(EM3:ET3)</f>
        <v>1645.8574974470334</v>
      </c>
      <c r="EY3" s="9">
        <f>SUM(EO3:ET3)</f>
        <v>786.66165009339682</v>
      </c>
      <c r="EZ3" s="13">
        <f>EX3/EU3</f>
        <v>0.23500597192708672</v>
      </c>
      <c r="FA3" s="13">
        <f>EY3/EU3</f>
        <v>0.112324539606087</v>
      </c>
      <c r="FB3" s="9">
        <f>SUM(ED3:EG3)</f>
        <v>1320.426373517389</v>
      </c>
    </row>
    <row r="4" spans="1:158" x14ac:dyDescent="0.15">
      <c r="A4" s="7" t="str">
        <f t="shared" ref="A4:A14" si="11">B4&amp;"_"&amp;IF(C4="男性",1,IF(C4="女性",2,IF(C4="合計",3)))</f>
        <v>2005_2</v>
      </c>
      <c r="B4" s="29">
        <v>2005</v>
      </c>
      <c r="C4" s="4" t="s">
        <v>22</v>
      </c>
      <c r="D4" s="10">
        <v>358.16140351789903</v>
      </c>
      <c r="E4" s="10">
        <v>355.15620262515802</v>
      </c>
      <c r="F4" s="10">
        <v>436.20168767590792</v>
      </c>
      <c r="G4" s="10">
        <v>456.20101812014548</v>
      </c>
      <c r="H4" s="10">
        <v>329.14349927425775</v>
      </c>
      <c r="I4" s="10">
        <v>414.18947647710661</v>
      </c>
      <c r="J4" s="10">
        <v>449.20230936909849</v>
      </c>
      <c r="K4" s="10">
        <v>457.21191413870781</v>
      </c>
      <c r="L4" s="10">
        <v>503.22616782074425</v>
      </c>
      <c r="M4" s="10">
        <v>520.23846069806518</v>
      </c>
      <c r="N4" s="10">
        <v>524.24377916625485</v>
      </c>
      <c r="O4" s="10">
        <v>492.20557338840996</v>
      </c>
      <c r="P4" s="10">
        <v>338.12302241737206</v>
      </c>
      <c r="Q4" s="10">
        <v>306.10039746744565</v>
      </c>
      <c r="R4" s="10">
        <v>338.14428640546879</v>
      </c>
      <c r="S4" s="10">
        <v>276.10193583293881</v>
      </c>
      <c r="T4" s="10">
        <v>154.06474037155922</v>
      </c>
      <c r="U4" s="10">
        <v>98.048866645510032</v>
      </c>
      <c r="V4" s="10">
        <v>45.023940130165386</v>
      </c>
      <c r="W4" s="10">
        <v>15.010120852994271</v>
      </c>
      <c r="X4" s="10">
        <v>2.001197604790419</v>
      </c>
      <c r="Y4" s="10">
        <f>SUM(D4:X4)</f>
        <v>6868.0000000000009</v>
      </c>
      <c r="Z4" s="10">
        <f t="shared" ref="Z4:Z11" si="12">E4*3/5+F4*3/5</f>
        <v>474.8147341806395</v>
      </c>
      <c r="AA4" s="10">
        <f t="shared" ref="AA4:AA11" si="13">F4*2/5+G4*1/5</f>
        <v>265.72087869439224</v>
      </c>
      <c r="AB4" s="10">
        <f t="shared" si="0"/>
        <v>1234.4954853108727</v>
      </c>
      <c r="AC4" s="10">
        <f t="shared" ref="AC4:AC11" si="14">SUM(S4:X4)</f>
        <v>590.25080143795799</v>
      </c>
      <c r="AD4" s="14">
        <f t="shared" ref="AD4:AD11" si="15">AB4/Y4</f>
        <v>0.17974599378434369</v>
      </c>
      <c r="AE4" s="14">
        <f t="shared" ref="AE4:AE11" si="16">AC4/Y4</f>
        <v>8.5942166778968834E-2</v>
      </c>
      <c r="AF4" s="10">
        <f t="shared" ref="AF4:AF20" si="17">SUM(H4:K4)</f>
        <v>1649.7471992591704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1.0696144781340842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1.0588550577949079</v>
      </c>
      <c r="AO4" s="193">
        <f t="shared" si="18"/>
        <v>0.90336399885027063</v>
      </c>
      <c r="AP4" s="193">
        <f t="shared" si="18"/>
        <v>0.6403839588458845</v>
      </c>
      <c r="AQ4" s="193">
        <f t="shared" si="18"/>
        <v>1.14425531106664</v>
      </c>
      <c r="AR4" s="193">
        <f t="shared" si="18"/>
        <v>1.1262083230736812</v>
      </c>
      <c r="AS4" s="193">
        <f t="shared" si="18"/>
        <v>1.0511436195106143</v>
      </c>
      <c r="AT4" s="193">
        <f t="shared" si="18"/>
        <v>1.053823847645003</v>
      </c>
      <c r="AU4" s="193">
        <f t="shared" si="18"/>
        <v>0.9997446176261906</v>
      </c>
      <c r="AV4" s="193">
        <f t="shared" si="18"/>
        <v>0.97994899320445794</v>
      </c>
      <c r="AW4" s="193">
        <f t="shared" si="18"/>
        <v>0.99307317168898668</v>
      </c>
      <c r="AX4" s="193">
        <f t="shared" si="18"/>
        <v>1.0226050269904678</v>
      </c>
      <c r="AY4" s="193">
        <f t="shared" si="18"/>
        <v>1.0228970583664976</v>
      </c>
      <c r="AZ4" s="193">
        <f t="shared" si="18"/>
        <v>0.98655206717043153</v>
      </c>
      <c r="BA4" s="193">
        <f t="shared" si="18"/>
        <v>0.95076284594852256</v>
      </c>
      <c r="BB4" s="193">
        <f t="shared" si="18"/>
        <v>0.93182166476212425</v>
      </c>
      <c r="BC4" s="193">
        <f t="shared" si="18"/>
        <v>0.88727692254954416</v>
      </c>
      <c r="BD4" s="193">
        <f t="shared" si="18"/>
        <v>0.75615906719814518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0.48920844820628123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0.14304436797434913</v>
      </c>
      <c r="BH4" s="7" t="str">
        <f t="shared" ref="BH4:BH20" si="19">BI4&amp;"_"&amp;IF(BJ4="男性",1,IF(BJ4="女性",2,IF(BJ4="合計",3)))</f>
        <v>2025_2</v>
      </c>
      <c r="BI4" s="29">
        <f>BI3</f>
        <v>2025</v>
      </c>
      <c r="BJ4" s="4" t="s">
        <v>22</v>
      </c>
      <c r="BK4" s="10">
        <f>CM4*AK$14</f>
        <v>306.17027475468166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360.43790931646242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469.49709197941689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447.1963446359116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257.61909525726088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259.56665883778629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291.79787733153341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432.22042684172351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490.37204831249181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543.86619247557519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461.08458495505124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446.19037870603694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463.67111418399679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492.38478519522704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533.41898143015362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437.26639197824096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298.89605663617334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230.91842249152234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190.47872199405089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69.417681063369017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5.8906123496022325</v>
      </c>
      <c r="CF4" s="10">
        <f t="shared" si="2"/>
        <v>7488.3616507262677</v>
      </c>
      <c r="CG4" s="10">
        <f t="shared" ref="CG4:CG14" si="20">BL4*3/5+BM4*3/5</f>
        <v>497.9610007775276</v>
      </c>
      <c r="CH4" s="10">
        <f t="shared" ref="CH4:CH14" si="21">BM4*2/5+BN4*1/5</f>
        <v>277.2381057189491</v>
      </c>
      <c r="CI4" s="10">
        <f t="shared" si="3"/>
        <v>2258.6716531383395</v>
      </c>
      <c r="CJ4" s="10">
        <f t="shared" ref="CJ4:CJ14" si="22">SUM(BZ4:CE4)</f>
        <v>1232.8678865129586</v>
      </c>
      <c r="CK4" s="14">
        <f t="shared" ref="CK4:CK14" si="23">CI4/CF4</f>
        <v>0.30162427490655175</v>
      </c>
      <c r="CL4" s="14">
        <f t="shared" ref="CL4:CL14" si="24">CJ4/CF4</f>
        <v>0.1646378666010859</v>
      </c>
      <c r="CM4" s="10">
        <f t="shared" ref="CM4:CM14" si="25">SUM(BO4:BR4)</f>
        <v>1241.2040582683042</v>
      </c>
      <c r="CO4" s="7" t="str">
        <f t="shared" ref="CO4:CO20" si="26">CP4&amp;"_"&amp;IF(CQ4="男性",1,IF(CQ4="女性",2,IF(CQ4="合計",3)))</f>
        <v>2025_2</v>
      </c>
      <c r="CP4" s="29">
        <f>CP3</f>
        <v>2025</v>
      </c>
      <c r="CQ4" s="4" t="s">
        <v>22</v>
      </c>
      <c r="CR4" s="10">
        <f>BK4+将来予測シート②!$H17</f>
        <v>307.17027475468166</v>
      </c>
      <c r="CS4" s="10">
        <f>BL4+将来予測シート②!$H18</f>
        <v>360.43790931646242</v>
      </c>
      <c r="CT4" s="10">
        <f>BM4+将来予測シート②!$H19</f>
        <v>470.49709197941689</v>
      </c>
      <c r="CU4" s="10">
        <f>BN4+将来予測シート②!$H20</f>
        <v>447.1963446359116</v>
      </c>
      <c r="CV4" s="10">
        <f>BO4+将来予測シート②!$H21</f>
        <v>257.61909525726088</v>
      </c>
      <c r="CW4" s="10">
        <f>BP4+将来予測シート②!$H22</f>
        <v>261.56665883778629</v>
      </c>
      <c r="CX4" s="10">
        <f>BQ4+将来予測シート②!$H23</f>
        <v>291.79787733153341</v>
      </c>
      <c r="CY4" s="10">
        <f>BR4+将来予測シート②!$H24</f>
        <v>432.22042684172351</v>
      </c>
      <c r="CZ4" s="10">
        <f>BS4+将来予測シート②!$H25</f>
        <v>491.37204831249181</v>
      </c>
      <c r="DA4" s="10">
        <f>BT4+将来予測シート②!$H26</f>
        <v>543.86619247557519</v>
      </c>
      <c r="DB4" s="10">
        <f>BU4+将来予測シート②!$H27</f>
        <v>461.08458495505124</v>
      </c>
      <c r="DC4" s="10">
        <f>BV4+将来予測シート②!$H28</f>
        <v>446.19037870603694</v>
      </c>
      <c r="DD4" s="10">
        <f>BW4+将来予測シート②!$H29</f>
        <v>463.67111418399679</v>
      </c>
      <c r="DE4" s="10">
        <f>BX4</f>
        <v>492.38478519522704</v>
      </c>
      <c r="DF4" s="10">
        <f t="shared" ref="DF4" si="27">BY4</f>
        <v>533.41898143015362</v>
      </c>
      <c r="DG4" s="10">
        <f t="shared" ref="DG4" si="28">BZ4</f>
        <v>437.26639197824096</v>
      </c>
      <c r="DH4" s="10">
        <f t="shared" ref="DH4" si="29">CA4</f>
        <v>298.89605663617334</v>
      </c>
      <c r="DI4" s="10">
        <f t="shared" ref="DI4" si="30">CB4</f>
        <v>230.91842249152234</v>
      </c>
      <c r="DJ4" s="10">
        <f t="shared" ref="DJ4" si="31">CC4</f>
        <v>190.47872199405089</v>
      </c>
      <c r="DK4" s="10">
        <f t="shared" ref="DK4" si="32">CD4</f>
        <v>69.417681063369017</v>
      </c>
      <c r="DL4" s="10">
        <f t="shared" ref="DL4" si="33">CE4</f>
        <v>5.8906123496022325</v>
      </c>
      <c r="DM4" s="10">
        <f t="shared" si="5"/>
        <v>7493.3616507262677</v>
      </c>
      <c r="DN4" s="10">
        <f t="shared" ref="DN4:DN14" si="34">CS4*3/5+CT4*3/5</f>
        <v>498.56100077752762</v>
      </c>
      <c r="DO4" s="10">
        <f t="shared" ref="DO4:DO14" si="35">CT4*2/5+CU4*1/5</f>
        <v>277.63810571894908</v>
      </c>
      <c r="DP4" s="10">
        <f t="shared" si="6"/>
        <v>2258.6716531383395</v>
      </c>
      <c r="DQ4" s="10">
        <f t="shared" ref="DQ4:DQ14" si="36">SUM(DG4:DL4)</f>
        <v>1232.8678865129586</v>
      </c>
      <c r="DR4" s="14">
        <f t="shared" ref="DR4:DR14" si="37">DP4/DM4</f>
        <v>0.30142301391784898</v>
      </c>
      <c r="DS4" s="14">
        <f t="shared" ref="DS4:DS14" si="38">DQ4/DM4</f>
        <v>0.16452801078851803</v>
      </c>
      <c r="DT4" s="10">
        <f>SUM(CV4:CY4)</f>
        <v>1243.2040582683042</v>
      </c>
      <c r="DV4" s="288"/>
      <c r="DW4" s="289"/>
      <c r="DX4" s="29">
        <f>DX3</f>
        <v>2025</v>
      </c>
      <c r="DY4" s="4" t="s">
        <v>22</v>
      </c>
      <c r="DZ4" s="10">
        <f>BK$4</f>
        <v>306.17027475468166</v>
      </c>
      <c r="EA4" s="10">
        <f>BL$4</f>
        <v>360.43790931646242</v>
      </c>
      <c r="EB4" s="10">
        <f t="shared" ref="EB4:ED4" si="39">BM$4</f>
        <v>469.49709197941689</v>
      </c>
      <c r="EC4" s="10">
        <f t="shared" si="39"/>
        <v>447.1963446359116</v>
      </c>
      <c r="ED4" s="10">
        <f t="shared" si="39"/>
        <v>257.61909525726088</v>
      </c>
      <c r="EE4" s="10">
        <f>BP$4+DX1</f>
        <v>308.56665883778629</v>
      </c>
      <c r="EF4" s="10">
        <f>BQ$4+DX1</f>
        <v>340.79787733153341</v>
      </c>
      <c r="EG4" s="10">
        <f>BR$4+DX1</f>
        <v>481.22042684172351</v>
      </c>
      <c r="EH4" s="10">
        <f t="shared" ref="EH4:ET4" si="40">BS$4</f>
        <v>490.37204831249181</v>
      </c>
      <c r="EI4" s="10">
        <f t="shared" si="40"/>
        <v>543.86619247557519</v>
      </c>
      <c r="EJ4" s="10">
        <f t="shared" si="40"/>
        <v>461.08458495505124</v>
      </c>
      <c r="EK4" s="10">
        <f t="shared" si="40"/>
        <v>446.19037870603694</v>
      </c>
      <c r="EL4" s="10">
        <f t="shared" si="40"/>
        <v>463.67111418399679</v>
      </c>
      <c r="EM4" s="10">
        <f t="shared" si="40"/>
        <v>492.38478519522704</v>
      </c>
      <c r="EN4" s="10">
        <f t="shared" si="40"/>
        <v>533.41898143015362</v>
      </c>
      <c r="EO4" s="10">
        <f t="shared" si="40"/>
        <v>437.26639197824096</v>
      </c>
      <c r="EP4" s="10">
        <f t="shared" si="40"/>
        <v>298.89605663617334</v>
      </c>
      <c r="EQ4" s="10">
        <f t="shared" si="40"/>
        <v>230.91842249152234</v>
      </c>
      <c r="ER4" s="10">
        <f t="shared" si="40"/>
        <v>190.47872199405089</v>
      </c>
      <c r="ES4" s="10">
        <f t="shared" si="40"/>
        <v>69.417681063369017</v>
      </c>
      <c r="ET4" s="10">
        <f t="shared" si="40"/>
        <v>5.8906123496022325</v>
      </c>
      <c r="EU4" s="10">
        <f t="shared" si="9"/>
        <v>7635.3616507262677</v>
      </c>
      <c r="EV4" s="10">
        <f t="shared" ref="EV4:EV14" si="41">EA4*3/5+EB4*3/5</f>
        <v>497.9610007775276</v>
      </c>
      <c r="EW4" s="10">
        <f t="shared" ref="EW4:EW14" si="42">EB4*2/5+EC4*1/5</f>
        <v>277.2381057189491</v>
      </c>
      <c r="EX4" s="10">
        <f t="shared" si="10"/>
        <v>2258.6716531383395</v>
      </c>
      <c r="EY4" s="10">
        <f t="shared" ref="EY4:EY14" si="43">SUM(EO4:ET4)</f>
        <v>1232.8678865129586</v>
      </c>
      <c r="EZ4" s="14">
        <f t="shared" ref="EZ4:EZ14" si="44">EX4/EU4</f>
        <v>0.29581724566032797</v>
      </c>
      <c r="FA4" s="14">
        <f t="shared" ref="FA4:FA14" si="45">EY4/EU4</f>
        <v>0.16146817176573286</v>
      </c>
      <c r="FB4" s="10">
        <f>SUM(ED4:EG4)</f>
        <v>1388.2040582683042</v>
      </c>
    </row>
    <row r="5" spans="1:158" x14ac:dyDescent="0.15">
      <c r="A5" s="7" t="str">
        <f t="shared" si="11"/>
        <v>2005_3</v>
      </c>
      <c r="B5" s="30">
        <v>2005</v>
      </c>
      <c r="C5" s="5" t="s">
        <v>23</v>
      </c>
      <c r="D5" s="11">
        <v>729.29022043710972</v>
      </c>
      <c r="E5" s="11">
        <v>767.29857625530144</v>
      </c>
      <c r="F5" s="11">
        <v>921.37157568857663</v>
      </c>
      <c r="G5" s="11">
        <v>925.34921723081663</v>
      </c>
      <c r="H5" s="11">
        <v>589.23459835901053</v>
      </c>
      <c r="I5" s="11">
        <v>800.32218401222394</v>
      </c>
      <c r="J5" s="11">
        <v>832.33789736508947</v>
      </c>
      <c r="K5" s="11">
        <v>814.33274887107848</v>
      </c>
      <c r="L5" s="11">
        <v>928.36456444014266</v>
      </c>
      <c r="M5" s="11">
        <v>992.38849372114714</v>
      </c>
      <c r="N5" s="11">
        <v>979.39483690174166</v>
      </c>
      <c r="O5" s="11">
        <v>985.36478515101976</v>
      </c>
      <c r="P5" s="11">
        <v>648.22352936202969</v>
      </c>
      <c r="Q5" s="11">
        <v>592.17895727498455</v>
      </c>
      <c r="R5" s="11">
        <v>582.20448873395208</v>
      </c>
      <c r="S5" s="11">
        <v>464.15362589636146</v>
      </c>
      <c r="T5" s="11">
        <v>260.08932429180254</v>
      </c>
      <c r="U5" s="11">
        <v>149.05960017566326</v>
      </c>
      <c r="V5" s="11">
        <v>56.027178828976844</v>
      </c>
      <c r="W5" s="11">
        <v>21.012399398181145</v>
      </c>
      <c r="X5" s="11">
        <v>2.001197604790419</v>
      </c>
      <c r="Y5" s="11">
        <f>SUM(D5:X5)</f>
        <v>13040.000000000002</v>
      </c>
      <c r="Z5" s="11">
        <f t="shared" si="12"/>
        <v>1013.2020911663267</v>
      </c>
      <c r="AA5" s="11">
        <f t="shared" si="13"/>
        <v>553.618473721594</v>
      </c>
      <c r="AB5" s="11">
        <f t="shared" si="0"/>
        <v>2126.7267722047122</v>
      </c>
      <c r="AC5" s="11">
        <f t="shared" si="14"/>
        <v>952.34332619577572</v>
      </c>
      <c r="AD5" s="15">
        <f t="shared" si="15"/>
        <v>0.16309254388072944</v>
      </c>
      <c r="AE5" s="15">
        <f t="shared" si="16"/>
        <v>7.3032463665320208E-2</v>
      </c>
      <c r="AF5" s="11">
        <f t="shared" si="17"/>
        <v>3036.2274286074025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1.1332500667620604</v>
      </c>
      <c r="AN5" s="6">
        <f t="shared" si="1"/>
        <v>1.1692387401577111</v>
      </c>
      <c r="AO5" s="6">
        <f t="shared" si="1"/>
        <v>1.006892041579428</v>
      </c>
      <c r="AP5" s="6">
        <f t="shared" si="1"/>
        <v>0.52216736948458808</v>
      </c>
      <c r="AQ5" s="6">
        <f t="shared" si="1"/>
        <v>1.3660568249005143</v>
      </c>
      <c r="AR5" s="6">
        <f t="shared" si="1"/>
        <v>1.1320718357803914</v>
      </c>
      <c r="AS5" s="6">
        <f t="shared" si="1"/>
        <v>1.1592273199354439</v>
      </c>
      <c r="AT5" s="6">
        <f t="shared" si="1"/>
        <v>1.0392130381051552</v>
      </c>
      <c r="AU5" s="6">
        <f t="shared" si="1"/>
        <v>1.0246046296900477</v>
      </c>
      <c r="AV5" s="6">
        <f t="shared" si="1"/>
        <v>0.98491996771420876</v>
      </c>
      <c r="AW5" s="6">
        <f t="shared" si="1"/>
        <v>0.95845408896743101</v>
      </c>
      <c r="AX5" s="6">
        <f t="shared" si="1"/>
        <v>0.95505471885859028</v>
      </c>
      <c r="AY5" s="6">
        <f t="shared" si="1"/>
        <v>0.98506346880190987</v>
      </c>
      <c r="AZ5" s="6">
        <f t="shared" si="1"/>
        <v>0.88888479954007671</v>
      </c>
      <c r="BA5" s="6">
        <f t="shared" si="1"/>
        <v>0.83882576177022805</v>
      </c>
      <c r="BB5" s="6">
        <f t="shared" si="1"/>
        <v>0.8014314837084775</v>
      </c>
      <c r="BC5" s="6">
        <f t="shared" si="1"/>
        <v>0.63208509625476983</v>
      </c>
      <c r="BD5" s="6">
        <f t="shared" si="1"/>
        <v>0.42541278342526589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0.29489647351120313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0.25089062551397251</v>
      </c>
      <c r="BH5" s="7" t="str">
        <f t="shared" si="19"/>
        <v>2025_3</v>
      </c>
      <c r="BI5" s="30">
        <f>BI4</f>
        <v>2025</v>
      </c>
      <c r="BJ5" s="5" t="s">
        <v>23</v>
      </c>
      <c r="BK5" s="16">
        <f>BK3+BK4</f>
        <v>660.27742501860746</v>
      </c>
      <c r="BL5" s="16">
        <f t="shared" ref="BL5:CE5" si="46">BL3+BL4</f>
        <v>807.62700217830661</v>
      </c>
      <c r="BM5" s="16">
        <f t="shared" si="46"/>
        <v>1008.2651345226079</v>
      </c>
      <c r="BN5" s="16">
        <f t="shared" si="46"/>
        <v>938.58751126214793</v>
      </c>
      <c r="BO5" s="16">
        <f t="shared" si="46"/>
        <v>483.6923031765287</v>
      </c>
      <c r="BP5" s="16">
        <f t="shared" si="46"/>
        <v>522.34916589407783</v>
      </c>
      <c r="BQ5" s="16">
        <f t="shared" si="46"/>
        <v>595.92149373358598</v>
      </c>
      <c r="BR5" s="16">
        <f t="shared" si="46"/>
        <v>812.66746898150063</v>
      </c>
      <c r="BS5" s="16">
        <f t="shared" si="46"/>
        <v>926.04294124324497</v>
      </c>
      <c r="BT5" s="16">
        <f t="shared" si="46"/>
        <v>1105.5507346470376</v>
      </c>
      <c r="BU5" s="16">
        <f t="shared" si="46"/>
        <v>881.14000400173677</v>
      </c>
      <c r="BV5" s="16">
        <f t="shared" si="46"/>
        <v>837.59313130488169</v>
      </c>
      <c r="BW5" s="16">
        <f t="shared" si="46"/>
        <v>860.58913408797684</v>
      </c>
      <c r="BX5" s="16">
        <f t="shared" si="46"/>
        <v>952.54502898289775</v>
      </c>
      <c r="BY5" s="16">
        <f t="shared" si="46"/>
        <v>932.45458499611948</v>
      </c>
      <c r="BZ5" s="16">
        <f t="shared" si="46"/>
        <v>821.09096090811772</v>
      </c>
      <c r="CA5" s="16">
        <f t="shared" si="46"/>
        <v>499.57610474645617</v>
      </c>
      <c r="CB5" s="16">
        <f t="shared" si="46"/>
        <v>356.30733549857916</v>
      </c>
      <c r="CC5" s="16">
        <f t="shared" si="46"/>
        <v>247.25466059999221</v>
      </c>
      <c r="CD5" s="16">
        <f t="shared" si="46"/>
        <v>86.266247689644615</v>
      </c>
      <c r="CE5" s="16">
        <f t="shared" si="46"/>
        <v>9.0342271635657561</v>
      </c>
      <c r="CF5" s="11">
        <f>SUM(BK5:CE5)</f>
        <v>14344.832600637614</v>
      </c>
      <c r="CG5" s="11">
        <f t="shared" si="20"/>
        <v>1089.5352820205489</v>
      </c>
      <c r="CH5" s="11">
        <f t="shared" si="21"/>
        <v>591.02355606147285</v>
      </c>
      <c r="CI5" s="11">
        <f t="shared" si="3"/>
        <v>3904.5291505853734</v>
      </c>
      <c r="CJ5" s="11">
        <f t="shared" si="22"/>
        <v>2019.5295366063554</v>
      </c>
      <c r="CK5" s="15">
        <f t="shared" si="23"/>
        <v>0.27219063890726902</v>
      </c>
      <c r="CL5" s="15">
        <f t="shared" si="24"/>
        <v>0.14078446175221238</v>
      </c>
      <c r="CM5" s="11">
        <f t="shared" si="25"/>
        <v>2414.630431785693</v>
      </c>
      <c r="CO5" s="7" t="str">
        <f t="shared" si="26"/>
        <v>2025_3</v>
      </c>
      <c r="CP5" s="30">
        <f>CP4</f>
        <v>2025</v>
      </c>
      <c r="CQ5" s="5" t="s">
        <v>23</v>
      </c>
      <c r="CR5" s="16">
        <f>CR3+CR4</f>
        <v>662.27742501860746</v>
      </c>
      <c r="CS5" s="16">
        <f t="shared" ref="CS5" si="47">CS3+CS4</f>
        <v>807.62700217830661</v>
      </c>
      <c r="CT5" s="16">
        <f t="shared" ref="CT5" si="48">CT3+CT4</f>
        <v>1010.2651345226079</v>
      </c>
      <c r="CU5" s="16">
        <f t="shared" ref="CU5" si="49">CU3+CU4</f>
        <v>938.58751126214793</v>
      </c>
      <c r="CV5" s="16">
        <f t="shared" ref="CV5" si="50">CV3+CV4</f>
        <v>483.6923031765287</v>
      </c>
      <c r="CW5" s="16">
        <f t="shared" ref="CW5" si="51">CW3+CW4</f>
        <v>526.34916589407783</v>
      </c>
      <c r="CX5" s="16">
        <f t="shared" ref="CX5" si="52">CX3+CX4</f>
        <v>595.92149373358598</v>
      </c>
      <c r="CY5" s="16">
        <f t="shared" ref="CY5" si="53">CY3+CY4</f>
        <v>812.66746898150063</v>
      </c>
      <c r="CZ5" s="16">
        <f t="shared" ref="CZ5" si="54">CZ3+CZ4</f>
        <v>927.04294124324497</v>
      </c>
      <c r="DA5" s="16">
        <f t="shared" ref="DA5" si="55">DA3+DA4</f>
        <v>1105.5507346470376</v>
      </c>
      <c r="DB5" s="16">
        <f t="shared" ref="DB5" si="56">DB3+DB4</f>
        <v>881.14000400173677</v>
      </c>
      <c r="DC5" s="16">
        <f t="shared" ref="DC5" si="57">DC3+DC4</f>
        <v>837.59313130488169</v>
      </c>
      <c r="DD5" s="16">
        <f t="shared" ref="DD5" si="58">DD3+DD4</f>
        <v>860.58913408797684</v>
      </c>
      <c r="DE5" s="16">
        <f t="shared" ref="DE5" si="59">DE3+DE4</f>
        <v>952.54502898289775</v>
      </c>
      <c r="DF5" s="16">
        <f t="shared" ref="DF5" si="60">DF3+DF4</f>
        <v>932.45458499611948</v>
      </c>
      <c r="DG5" s="16">
        <f t="shared" ref="DG5" si="61">DG3+DG4</f>
        <v>821.09096090811772</v>
      </c>
      <c r="DH5" s="16">
        <f t="shared" ref="DH5" si="62">DH3+DH4</f>
        <v>499.57610474645617</v>
      </c>
      <c r="DI5" s="16">
        <f t="shared" ref="DI5" si="63">DI3+DI4</f>
        <v>356.30733549857916</v>
      </c>
      <c r="DJ5" s="16">
        <f t="shared" ref="DJ5" si="64">DJ3+DJ4</f>
        <v>247.25466059999221</v>
      </c>
      <c r="DK5" s="16">
        <f t="shared" ref="DK5" si="65">DK3+DK4</f>
        <v>86.266247689644615</v>
      </c>
      <c r="DL5" s="16">
        <f t="shared" ref="DL5" si="66">DL3+DL4</f>
        <v>9.0342271635657561</v>
      </c>
      <c r="DM5" s="11">
        <f>SUM(CR5:DL5)</f>
        <v>14353.832600637614</v>
      </c>
      <c r="DN5" s="11">
        <f t="shared" si="34"/>
        <v>1090.7352820205488</v>
      </c>
      <c r="DO5" s="11">
        <f t="shared" si="35"/>
        <v>591.8235560614728</v>
      </c>
      <c r="DP5" s="11">
        <f t="shared" si="6"/>
        <v>3904.5291505853734</v>
      </c>
      <c r="DQ5" s="11">
        <f t="shared" si="36"/>
        <v>2019.5295366063554</v>
      </c>
      <c r="DR5" s="15">
        <f t="shared" si="37"/>
        <v>0.27201997258989419</v>
      </c>
      <c r="DS5" s="15">
        <f t="shared" si="38"/>
        <v>0.14069618845329473</v>
      </c>
      <c r="DT5" s="11">
        <f>SUM(CV5:CY5)</f>
        <v>2418.630431785693</v>
      </c>
      <c r="DV5" s="288"/>
      <c r="DW5" s="289"/>
      <c r="DX5" s="30">
        <f>DX4</f>
        <v>2025</v>
      </c>
      <c r="DY5" s="5" t="s">
        <v>23</v>
      </c>
      <c r="DZ5" s="16">
        <f>DZ3+DZ4</f>
        <v>660.27742501860746</v>
      </c>
      <c r="EA5" s="16">
        <f t="shared" ref="EA5:ET5" si="67">EA3+EA4</f>
        <v>807.62700217830661</v>
      </c>
      <c r="EB5" s="16">
        <f t="shared" si="67"/>
        <v>1008.2651345226079</v>
      </c>
      <c r="EC5" s="16">
        <f t="shared" si="67"/>
        <v>938.58751126214793</v>
      </c>
      <c r="ED5" s="16">
        <f t="shared" si="67"/>
        <v>483.6923031765287</v>
      </c>
      <c r="EE5" s="16">
        <f t="shared" si="67"/>
        <v>620.34916589407783</v>
      </c>
      <c r="EF5" s="16">
        <f t="shared" si="67"/>
        <v>693.92149373358598</v>
      </c>
      <c r="EG5" s="16">
        <f t="shared" si="67"/>
        <v>910.66746898150063</v>
      </c>
      <c r="EH5" s="16">
        <f t="shared" si="67"/>
        <v>926.04294124324497</v>
      </c>
      <c r="EI5" s="16">
        <f t="shared" si="67"/>
        <v>1105.5507346470376</v>
      </c>
      <c r="EJ5" s="16">
        <f t="shared" si="67"/>
        <v>881.14000400173677</v>
      </c>
      <c r="EK5" s="16">
        <f t="shared" si="67"/>
        <v>837.59313130488169</v>
      </c>
      <c r="EL5" s="16">
        <f t="shared" si="67"/>
        <v>860.58913408797684</v>
      </c>
      <c r="EM5" s="16">
        <f t="shared" si="67"/>
        <v>952.54502898289775</v>
      </c>
      <c r="EN5" s="16">
        <f t="shared" si="67"/>
        <v>932.45458499611948</v>
      </c>
      <c r="EO5" s="16">
        <f t="shared" si="67"/>
        <v>821.09096090811772</v>
      </c>
      <c r="EP5" s="16">
        <f t="shared" si="67"/>
        <v>499.57610474645617</v>
      </c>
      <c r="EQ5" s="16">
        <f t="shared" si="67"/>
        <v>356.30733549857916</v>
      </c>
      <c r="ER5" s="16">
        <f t="shared" si="67"/>
        <v>247.25466059999221</v>
      </c>
      <c r="ES5" s="16">
        <f t="shared" si="67"/>
        <v>86.266247689644615</v>
      </c>
      <c r="ET5" s="16">
        <f t="shared" si="67"/>
        <v>9.0342271635657561</v>
      </c>
      <c r="EU5" s="11">
        <f>SUM(DZ5:ET5)</f>
        <v>14638.832600637614</v>
      </c>
      <c r="EV5" s="11">
        <f t="shared" si="41"/>
        <v>1089.5352820205489</v>
      </c>
      <c r="EW5" s="11">
        <f t="shared" si="42"/>
        <v>591.02355606147285</v>
      </c>
      <c r="EX5" s="11">
        <f t="shared" si="10"/>
        <v>3904.5291505853734</v>
      </c>
      <c r="EY5" s="11">
        <f t="shared" si="43"/>
        <v>2019.5295366063554</v>
      </c>
      <c r="EZ5" s="15">
        <f t="shared" si="44"/>
        <v>0.26672407951541888</v>
      </c>
      <c r="FA5" s="15">
        <f t="shared" si="45"/>
        <v>0.1379570073448611</v>
      </c>
      <c r="FB5" s="11">
        <f>SUM(ED5:EG5)</f>
        <v>2708.630431785693</v>
      </c>
    </row>
    <row r="6" spans="1:158" x14ac:dyDescent="0.15">
      <c r="A6" s="7" t="str">
        <f t="shared" si="11"/>
        <v>2010_1</v>
      </c>
      <c r="B6" s="28">
        <v>2010</v>
      </c>
      <c r="C6" s="3" t="s">
        <v>21</v>
      </c>
      <c r="D6" s="9">
        <v>404.29752765566269</v>
      </c>
      <c r="E6" s="9">
        <v>407.30120788199395</v>
      </c>
      <c r="F6" s="9">
        <v>451.32219137218453</v>
      </c>
      <c r="G6" s="9">
        <v>474.3572354195486</v>
      </c>
      <c r="H6" s="9">
        <v>212.16658068017449</v>
      </c>
      <c r="I6" s="9">
        <v>323.24792897514163</v>
      </c>
      <c r="J6" s="9">
        <v>433.33801717182268</v>
      </c>
      <c r="K6" s="9">
        <v>402.31204886810559</v>
      </c>
      <c r="L6" s="9">
        <v>400.30059332783497</v>
      </c>
      <c r="M6" s="9">
        <v>411.32322275393943</v>
      </c>
      <c r="N6" s="9">
        <v>460.374275855875</v>
      </c>
      <c r="O6" s="9">
        <v>450.37768682566286</v>
      </c>
      <c r="P6" s="9">
        <v>478.39955605250037</v>
      </c>
      <c r="Q6" s="9">
        <v>310.25315989652296</v>
      </c>
      <c r="R6" s="9">
        <v>264.21540192712672</v>
      </c>
      <c r="S6" s="9">
        <v>215.20122878249839</v>
      </c>
      <c r="T6" s="9">
        <v>149.12802530350265</v>
      </c>
      <c r="U6" s="9">
        <v>73.068388204523558</v>
      </c>
      <c r="V6" s="9">
        <v>17.012793974028781</v>
      </c>
      <c r="W6" s="9">
        <v>4.0029290713499517</v>
      </c>
      <c r="X6" s="9">
        <v>0</v>
      </c>
      <c r="Y6" s="9">
        <f t="shared" ref="Y6:Y11" si="68">SUM(D6:X6)</f>
        <v>6341.9999999999991</v>
      </c>
      <c r="Z6" s="9">
        <f t="shared" si="12"/>
        <v>515.17403955250711</v>
      </c>
      <c r="AA6" s="9">
        <f t="shared" si="13"/>
        <v>275.40032363278351</v>
      </c>
      <c r="AB6" s="9">
        <f t="shared" si="0"/>
        <v>1032.881927159553</v>
      </c>
      <c r="AC6" s="9">
        <f t="shared" si="14"/>
        <v>458.41336533590334</v>
      </c>
      <c r="AD6" s="13">
        <f t="shared" si="15"/>
        <v>0.16286375388829283</v>
      </c>
      <c r="AE6" s="13">
        <f t="shared" si="16"/>
        <v>7.2282145275292239E-2</v>
      </c>
      <c r="AF6" s="9">
        <f t="shared" si="17"/>
        <v>1371.0645756952445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1.0869532100468295</v>
      </c>
      <c r="AN6" s="193">
        <f t="shared" si="18"/>
        <v>1.1384780722664722</v>
      </c>
      <c r="AO6" s="193">
        <f t="shared" si="18"/>
        <v>0.93758930739294755</v>
      </c>
      <c r="AP6" s="193">
        <f t="shared" si="18"/>
        <v>0.60572838002644702</v>
      </c>
      <c r="AQ6" s="193">
        <f t="shared" si="18"/>
        <v>1.1543011659560429</v>
      </c>
      <c r="AR6" s="193">
        <f t="shared" si="18"/>
        <v>1.1362170170782522</v>
      </c>
      <c r="AS6" s="193">
        <f t="shared" si="18"/>
        <v>1.1075904214743648</v>
      </c>
      <c r="AT6" s="193">
        <f t="shared" si="18"/>
        <v>1.0295525921566915</v>
      </c>
      <c r="AU6" s="193">
        <f t="shared" si="18"/>
        <v>0.97391112162045146</v>
      </c>
      <c r="AV6" s="193">
        <f t="shared" si="18"/>
        <v>0.95030328486503457</v>
      </c>
      <c r="AW6" s="193">
        <f t="shared" si="18"/>
        <v>0.98704862900232737</v>
      </c>
      <c r="AX6" s="193">
        <f t="shared" si="18"/>
        <v>0.98638367596356313</v>
      </c>
      <c r="AY6" s="193">
        <f t="shared" si="18"/>
        <v>0.97607772306056206</v>
      </c>
      <c r="AZ6" s="193">
        <f t="shared" si="18"/>
        <v>0.99261177236161346</v>
      </c>
      <c r="BA6" s="193">
        <f t="shared" si="18"/>
        <v>0.96445938960756561</v>
      </c>
      <c r="BB6" s="193">
        <f t="shared" si="18"/>
        <v>0.94153893864906935</v>
      </c>
      <c r="BC6" s="193">
        <f t="shared" si="18"/>
        <v>0.83732135528417895</v>
      </c>
      <c r="BD6" s="193">
        <f t="shared" si="18"/>
        <v>0.68372994792121033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0.41245624366042516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0.13649864816552026</v>
      </c>
      <c r="BH6" s="7" t="str">
        <f t="shared" si="19"/>
        <v>2030_1</v>
      </c>
      <c r="BI6" s="28">
        <f>管理者入力シート!B9</f>
        <v>2030</v>
      </c>
      <c r="BJ6" s="3" t="s">
        <v>21</v>
      </c>
      <c r="BK6" s="9">
        <f>CM7*$AK$13</f>
        <v>337.52058176508785</v>
      </c>
      <c r="BL6" s="9">
        <f>IF(管理者入力シート!$B$14=1,BK3*管理者用人口入力シート!AM$3,IF(管理者入力シート!$B$14=2,BK3*管理者用人口入力シート!AM$7))</f>
        <v>409.58385146337127</v>
      </c>
      <c r="BM6" s="9">
        <f>IF(管理者入力シート!$B$14=1,BL3*管理者用人口入力シート!AN$3,IF(管理者入力シート!$B$14=2,BL3*管理者用人口入力シート!AN$7))</f>
        <v>506.25261904643526</v>
      </c>
      <c r="BN6" s="9">
        <f>IF(管理者入力シート!$B$14=1,BM3*管理者用人口入力シート!AO$3,IF(管理者入力シート!$B$14=2,BM3*管理者用人口入力シート!AO$7))</f>
        <v>527.1732544446387</v>
      </c>
      <c r="BO6" s="9">
        <f>IF(管理者入力シート!$B$14=1,BN3*管理者用人口入力シート!AP$3,IF(管理者入力シート!$B$14=2,BN3*管理者用人口入力シート!AP$7))</f>
        <v>245.32249514430575</v>
      </c>
      <c r="BP6" s="9">
        <f>IF(管理者入力シート!$B$14=1,BO3*管理者用人口入力シート!AQ$3,IF(管理者入力シート!$B$14=2,BO3*管理者用人口入力シート!AQ$7))</f>
        <v>273.88334619314907</v>
      </c>
      <c r="BQ6" s="9">
        <f>IF(管理者入力シート!$B$14=1,BP3*管理者用人口入力シート!AR$3,IF(管理者入力シート!$B$14=2,BP3*管理者用人口入力シート!AR$7))</f>
        <v>300.30810126032287</v>
      </c>
      <c r="BR6" s="9">
        <f>IF(管理者入力シート!$B$14=1,BQ3*管理者用人口入力シート!AS$3,IF(管理者入力シート!$B$14=2,BQ3*管理者用人口入力シート!AS$7))</f>
        <v>346.04406775185254</v>
      </c>
      <c r="BS6" s="9">
        <f>IF(管理者入力シート!$B$14=1,BR3*管理者用人口入力シート!AT$3,IF(管理者入力シート!$B$14=2,BR3*管理者用人口入力シート!AT$7))</f>
        <v>405.55438707695464</v>
      </c>
      <c r="BT6" s="9">
        <f>IF(管理者入力シート!$B$14=1,BS3*管理者用人口入力シート!AU$3,IF(管理者入力シート!$B$14=2,BS3*管理者用人口入力シート!AU$7))</f>
        <v>445.50278316044381</v>
      </c>
      <c r="BU6" s="9">
        <f>IF(管理者入力シート!$B$14=1,BT3*管理者用人口入力シート!AV$3,IF(管理者入力シート!$B$14=2,BT3*管理者用人口入力シート!AV$7))</f>
        <v>552.97309358072414</v>
      </c>
      <c r="BV6" s="9">
        <f>IF(管理者入力シート!$B$14=1,BU3*管理者用人口入力シート!AW$3,IF(管理者入力シート!$B$14=2,BU3*管理者用人口入力シート!AW$7))</f>
        <v>407.34820403215201</v>
      </c>
      <c r="BW6" s="9">
        <f>IF(管理者入力シート!$B$14=1,BV3*管理者用人口入力シート!AX$3,IF(管理者入力シート!$B$14=2,BV3*管理者用人口入力シート!AX$7))</f>
        <v>390.8349616485948</v>
      </c>
      <c r="BX6" s="9">
        <f>IF(管理者入力シート!$B$14=1,BW3*管理者用人口入力シート!AY$3,IF(管理者入力シート!$B$14=2,BW3*管理者用人口入力シート!AY$7))</f>
        <v>396.47585205909695</v>
      </c>
      <c r="BY6" s="9">
        <f>IF(管理者入力シート!$B$14=1,BX3*管理者用人口入力シート!AZ$3,IF(管理者入力シート!$B$14=2,BX3*管理者用人口入力シート!AZ$7))</f>
        <v>421.45186901592939</v>
      </c>
      <c r="BZ6" s="9">
        <f>IF(管理者入力シート!$B$14=1,BY3*管理者用人口入力シート!BA$3,IF(管理者入力シート!$B$14=2,BY3*管理者用人口入力シート!BA$7))</f>
        <v>344.39523696793907</v>
      </c>
      <c r="CA6" s="9">
        <f>IF(管理者入力シート!$B$14=1,BZ3*管理者用人口入力シート!BB$3,IF(管理者入力シート!$B$14=2,BZ3*管理者用人口入力シート!BB$7))</f>
        <v>314.52564028521175</v>
      </c>
      <c r="CB6" s="9">
        <f>IF(管理者入力シート!$B$14=1,CA3*管理者用人口入力シート!BC$3,IF(管理者入力シート!$B$14=2,CA3*管理者用人口入力シート!BC$7))</f>
        <v>135.50436161851187</v>
      </c>
      <c r="CC6" s="9">
        <f>IF(管理者入力シート!$B$14=1,CB3*管理者用人口入力シート!BD$3,IF(管理者入力シート!$B$14=2,CB3*管理者用人口入力シート!BD$7))</f>
        <v>57.225514786660263</v>
      </c>
      <c r="CD6" s="9">
        <f>IF(管理者入力シート!$B$14=1,CC3*管理者用人口入力シート!BE$3,IF(管理者入力シート!$B$14=2,CC3*管理者用人口入力シート!BE$7))</f>
        <v>20.727258298374956</v>
      </c>
      <c r="CE6" s="9">
        <f>IF(管理者入力シート!$B$14=1,CD3*管理者用人口入力シート!BF$3,IF(管理者入力シート!$B$14=2,CD3*管理者用人口入力シート!BF$7))</f>
        <v>3.7702203051154801</v>
      </c>
      <c r="CF6" s="9">
        <f t="shared" si="2"/>
        <v>6842.3776999048732</v>
      </c>
      <c r="CG6" s="9">
        <f t="shared" si="20"/>
        <v>549.5018823058839</v>
      </c>
      <c r="CH6" s="9">
        <f t="shared" si="21"/>
        <v>307.9356985075018</v>
      </c>
      <c r="CI6" s="9">
        <f t="shared" si="3"/>
        <v>1694.0759533368398</v>
      </c>
      <c r="CJ6" s="9">
        <f t="shared" si="22"/>
        <v>876.1482322618134</v>
      </c>
      <c r="CK6" s="13">
        <f t="shared" si="23"/>
        <v>0.24758585796285287</v>
      </c>
      <c r="CL6" s="13">
        <f t="shared" si="24"/>
        <v>0.1280473353983359</v>
      </c>
      <c r="CM6" s="9">
        <f t="shared" si="25"/>
        <v>1165.5580103496302</v>
      </c>
      <c r="CO6" s="7" t="str">
        <f t="shared" si="26"/>
        <v>2030_1</v>
      </c>
      <c r="CP6" s="28">
        <f>管理者入力シート!B9</f>
        <v>2030</v>
      </c>
      <c r="CQ6" s="3" t="s">
        <v>21</v>
      </c>
      <c r="CR6" s="9">
        <f>DT7*$AK$13+将来予測シート②!$G17</f>
        <v>339.73661666352132</v>
      </c>
      <c r="CS6" s="9">
        <f>IF(管理者入力シート!$B$14=1,CR3*管理者用人口入力シート!AM$3,IF(管理者入力シート!$B$14=2,CR3*管理者用人口入力シート!AM$7))+将来予測シート②!$G18</f>
        <v>410.74051788809072</v>
      </c>
      <c r="CT6" s="9">
        <f>IF(管理者入力シート!$B$14=1,CS3*管理者用人口入力シート!AN$3,IF(管理者入力シート!$B$14=2,CS3*管理者用人口入力シート!AN$7))+将来予測シート②!$G19</f>
        <v>507.25261904643526</v>
      </c>
      <c r="CU6" s="9">
        <f>IF(管理者入力シート!$B$14=1,CT3*管理者用人口入力シート!AO$3,IF(管理者入力シート!$B$14=2,CT3*管理者用人口入力シート!AO$7))+将来予測シート②!$G20</f>
        <v>528.15173351692408</v>
      </c>
      <c r="CV6" s="9">
        <f>IF(管理者入力シート!$B$14=1,CU3*管理者用人口入力シート!AP$3,IF(管理者入力シート!$B$14=2,CU3*管理者用人口入力シート!AP$7))+将来予測シート②!$G21</f>
        <v>245.32249514430575</v>
      </c>
      <c r="CW6" s="9">
        <f>IF(管理者入力シート!$B$14=1,CV3*管理者用人口入力シート!AQ$3,IF(管理者入力シート!$B$14=2,CV3*管理者用人口入力シート!AQ$7))+将来予測シート②!$G22</f>
        <v>275.88334619314907</v>
      </c>
      <c r="CX6" s="9">
        <f>IF(管理者入力シート!$B$14=1,CW3*管理者用人口入力シート!AR$3,IF(管理者入力シート!$B$14=2,CW3*管理者用人口入力シート!AR$7))+将来予測シート②!$G23</f>
        <v>302.5937031797535</v>
      </c>
      <c r="CY6" s="9">
        <f>IF(管理者入力シート!$B$14=1,CX3*管理者用人口入力シート!AS$3,IF(管理者入力シート!$B$14=2,CX3*管理者用人口入力シート!AS$7))+将来予測シート②!$G24</f>
        <v>346.04406775185254</v>
      </c>
      <c r="CZ6" s="9">
        <f>IF(管理者入力シート!$B$14=1,CY3*管理者用人口入力シート!AT$3,IF(管理者入力シート!$B$14=2,CY3*管理者用人口入力シート!AT$7))+将来予測シート②!$G25</f>
        <v>405.55438707695464</v>
      </c>
      <c r="DA6" s="9">
        <f>IF(管理者入力シート!$B$14=1,CZ3*管理者用人口入力シート!AU$3,IF(管理者入力シート!$B$14=2,CZ3*管理者用人口入力シート!AU$7))+将来予測シート②!$G26</f>
        <v>445.50278316044381</v>
      </c>
      <c r="DB6" s="9">
        <f>IF(管理者入力シート!$B$14=1,DA3*管理者用人口入力シート!AV$3,IF(管理者入力シート!$B$14=2,DA3*管理者用人口入力シート!AV$7))+将来予測シート②!$G27</f>
        <v>552.97309358072414</v>
      </c>
      <c r="DC6" s="9">
        <f>IF(管理者入力シート!$B$14=1,DB3*管理者用人口入力シート!AW$3,IF(管理者入力シート!$B$14=2,DB3*管理者用人口入力シート!AW$7))+将来予測シート②!$G28</f>
        <v>407.34820403215201</v>
      </c>
      <c r="DD6" s="9">
        <f>IF(管理者入力シート!$B$14=1,DC3*管理者用人口入力シート!AX$3,IF(管理者入力シート!$B$14=2,DC3*管理者用人口入力シート!AX$7))+将来予測シート②!$G29</f>
        <v>390.8349616485948</v>
      </c>
      <c r="DE6" s="9">
        <f>IF(管理者入力シート!$B$14=1,DD3*管理者用人口入力シート!AY$3,IF(管理者入力シート!$B$14=2,DD3*管理者用人口入力シート!AY$7))</f>
        <v>396.47585205909695</v>
      </c>
      <c r="DF6" s="9">
        <f>IF(管理者入力シート!$B$14=1,DE3*管理者用人口入力シート!AZ$3,IF(管理者入力シート!$B$14=2,DE3*管理者用人口入力シート!AZ$7))</f>
        <v>421.45186901592939</v>
      </c>
      <c r="DG6" s="9">
        <f>IF(管理者入力シート!$B$14=1,DF3*管理者用人口入力シート!BA$3,IF(管理者入力シート!$B$14=2,DF3*管理者用人口入力シート!BA$7))</f>
        <v>344.39523696793907</v>
      </c>
      <c r="DH6" s="9">
        <f>IF(管理者入力シート!$B$14=1,DG3*管理者用人口入力シート!BB$3,IF(管理者入力シート!$B$14=2,DG3*管理者用人口入力シート!BB$7))</f>
        <v>314.52564028521175</v>
      </c>
      <c r="DI6" s="9">
        <f>IF(管理者入力シート!$B$14=1,DH3*管理者用人口入力シート!BC$3,IF(管理者入力シート!$B$14=2,DH3*管理者用人口入力シート!BC$7))</f>
        <v>135.50436161851187</v>
      </c>
      <c r="DJ6" s="9">
        <f>IF(管理者入力シート!$B$14=1,DI3*管理者用人口入力シート!BD$3,IF(管理者入力シート!$B$14=2,DI3*管理者用人口入力シート!BD$7))</f>
        <v>57.225514786660263</v>
      </c>
      <c r="DK6" s="9">
        <f>IF(管理者入力シート!$B$14=1,DJ3*管理者用人口入力シート!BE$3,IF(管理者入力シート!$B$14=2,DJ3*管理者用人口入力シート!BE$7))</f>
        <v>20.727258298374956</v>
      </c>
      <c r="DL6" s="9">
        <f>IF(管理者入力シート!$B$14=1,DK3*管理者用人口入力シート!BF$3,IF(管理者入力シート!$B$14=2,DK3*管理者用人口入力シート!BF$7))</f>
        <v>3.7702203051154801</v>
      </c>
      <c r="DM6" s="9">
        <f t="shared" ref="DM6:DM14" si="69">SUM(CR6:DL6)</f>
        <v>6852.0144822197426</v>
      </c>
      <c r="DN6" s="9">
        <f t="shared" si="34"/>
        <v>550.79588216071556</v>
      </c>
      <c r="DO6" s="9">
        <f t="shared" si="35"/>
        <v>308.53139432195894</v>
      </c>
      <c r="DP6" s="9">
        <f t="shared" si="6"/>
        <v>1694.0759533368398</v>
      </c>
      <c r="DQ6" s="9">
        <f t="shared" si="36"/>
        <v>876.1482322618134</v>
      </c>
      <c r="DR6" s="13">
        <f t="shared" si="37"/>
        <v>0.24723764926837047</v>
      </c>
      <c r="DS6" s="13">
        <f t="shared" si="38"/>
        <v>0.12786724758614068</v>
      </c>
      <c r="DT6" s="9">
        <f t="shared" ref="DT6:DT14" si="70">SUM(CV6:CY6)</f>
        <v>1169.8436122690607</v>
      </c>
      <c r="DV6" s="7" t="s">
        <v>400</v>
      </c>
      <c r="DX6" s="28">
        <f>管理者入力シート!B9</f>
        <v>2030</v>
      </c>
      <c r="DY6" s="3" t="s">
        <v>21</v>
      </c>
      <c r="DZ6" s="9">
        <f>FB7*$AK$13</f>
        <v>410.35588750859614</v>
      </c>
      <c r="EA6" s="129">
        <f>IF(管理者入力シート!$B$14=1,DZ3*管理者用人口入力シート!AM$3,IF(管理者入力シート!$B$14=2,DZ3*管理者用人口入力シート!AM$7))</f>
        <v>409.58385146337127</v>
      </c>
      <c r="EB6" s="9">
        <f>IF(管理者入力シート!$B$14=1,EA3*管理者用人口入力シート!AN$3,IF(管理者入力シート!$B$14=2,EA3*管理者用人口入力シート!AN$7))</f>
        <v>506.25261904643526</v>
      </c>
      <c r="EC6" s="9">
        <f>IF(管理者入力シート!$B$14=1,EB3*管理者用人口入力シート!AO$3,IF(管理者入力シート!$B$14=2,EB3*管理者用人口入力シート!AO$7))</f>
        <v>527.1732544446387</v>
      </c>
      <c r="ED6" s="9">
        <f>IF(管理者入力シート!$B$14=1,EC3*管理者用人口入力シート!AP$3,IF(管理者入力シート!$B$14=2,EC3*管理者用人口入力シート!AP$7))</f>
        <v>245.32249514430575</v>
      </c>
      <c r="EE6" s="9">
        <f>IF(管理者入力シート!$B$14=1,ED3*管理者用人口入力シート!AQ$3,IF(管理者入力シート!$B$14=2,ED3*管理者用人口入力シート!AQ$7))+DX1</f>
        <v>322.88334619314907</v>
      </c>
      <c r="EF6" s="9">
        <f>IF(管理者入力シート!$B$14=1,EE3*管理者用人口入力シート!AR$3,IF(管理者入力シート!$B$14=2,EE3*管理者用人口入力シート!AR$7))+DX1</f>
        <v>405.30534828637263</v>
      </c>
      <c r="EG6" s="9">
        <f>IF(管理者入力シート!$B$14=1,EF3*管理者用人口入力シート!AS$3,IF(管理者入力シート!$B$14=2,EF3*管理者用人口入力シート!AS$7))+DX1</f>
        <v>450.79823614048786</v>
      </c>
      <c r="EH6" s="9">
        <f>IF(管理者入力シート!$B$14=1,EG3*管理者用人口入力シート!AT$3,IF(管理者入力シート!$B$14=2,EG3*管理者用人口入力シート!AT$7))</f>
        <v>457.78810889800559</v>
      </c>
      <c r="EI6" s="9">
        <f>IF(管理者入力シート!$B$14=1,EH3*管理者用人口入力シート!AU$3,IF(管理者入力シート!$B$14=2,EH3*管理者用人口入力シート!AU$7))</f>
        <v>445.50278316044381</v>
      </c>
      <c r="EJ6" s="9">
        <f>IF(管理者入力シート!$B$14=1,EI3*管理者用人口入力シート!AV$3,IF(管理者入力シート!$B$14=2,EI3*管理者用人口入力シート!AV$7))</f>
        <v>552.97309358072414</v>
      </c>
      <c r="EK6" s="9">
        <f>IF(管理者入力シート!$B$14=1,EJ3*管理者用人口入力シート!AW$3,IF(管理者入力シート!$B$14=2,EJ3*管理者用人口入力シート!AW$7))</f>
        <v>407.34820403215201</v>
      </c>
      <c r="EL6" s="9">
        <f>IF(管理者入力シート!$B$14=1,EK3*管理者用人口入力シート!AX$3,IF(管理者入力シート!$B$14=2,EK3*管理者用人口入力シート!AX$7))</f>
        <v>390.8349616485948</v>
      </c>
      <c r="EM6" s="9">
        <f>IF(管理者入力シート!$B$14=1,EL3*管理者用人口入力シート!AY$3,IF(管理者入力シート!$B$14=2,EL3*管理者用人口入力シート!AY$7))</f>
        <v>396.47585205909695</v>
      </c>
      <c r="EN6" s="9">
        <f>IF(管理者入力シート!$B$14=1,EM3*管理者用人口入力シート!AZ$3,IF(管理者入力シート!$B$14=2,EM3*管理者用人口入力シート!AZ$7))</f>
        <v>421.45186901592939</v>
      </c>
      <c r="EO6" s="9">
        <f>IF(管理者入力シート!$B$14=1,EN3*管理者用人口入力シート!BA$3,IF(管理者入力シート!$B$14=2,EN3*管理者用人口入力シート!BA$7))</f>
        <v>344.39523696793907</v>
      </c>
      <c r="EP6" s="9">
        <f>IF(管理者入力シート!$B$14=1,EO3*管理者用人口入力シート!BB$3,IF(管理者入力シート!$B$14=2,EO3*管理者用人口入力シート!BB$7))</f>
        <v>314.52564028521175</v>
      </c>
      <c r="EQ6" s="9">
        <f>IF(管理者入力シート!$B$14=1,EP3*管理者用人口入力シート!BC$3,IF(管理者入力シート!$B$14=2,EP3*管理者用人口入力シート!BC$7))</f>
        <v>135.50436161851187</v>
      </c>
      <c r="ER6" s="9">
        <f>IF(管理者入力シート!$B$14=1,EQ3*管理者用人口入力シート!BD$3,IF(管理者入力シート!$B$14=2,EQ3*管理者用人口入力シート!BD$7))</f>
        <v>57.225514786660263</v>
      </c>
      <c r="ES6" s="9">
        <f>IF(管理者入力シート!$B$14=1,ER3*管理者用人口入力シート!BE$3,IF(管理者入力シート!$B$14=2,ER3*管理者用人口入力シート!BE$7))</f>
        <v>20.727258298374956</v>
      </c>
      <c r="ET6" s="9">
        <f>IF(管理者入力シート!$B$14=1,ES3*管理者用人口入力シート!BF$3,IF(管理者入力シート!$B$14=2,ES3*管理者用人口入力シート!BF$7))</f>
        <v>3.7702203051154801</v>
      </c>
      <c r="EU6" s="9">
        <f t="shared" ref="EU6:EU14" si="71">SUM(DZ6:ET6)</f>
        <v>7226.1981428841173</v>
      </c>
      <c r="EV6" s="9">
        <f t="shared" si="41"/>
        <v>549.5018823058839</v>
      </c>
      <c r="EW6" s="9">
        <f t="shared" si="42"/>
        <v>307.9356985075018</v>
      </c>
      <c r="EX6" s="9">
        <f t="shared" si="10"/>
        <v>1694.0759533368398</v>
      </c>
      <c r="EY6" s="9">
        <f t="shared" si="43"/>
        <v>876.1482322618134</v>
      </c>
      <c r="EZ6" s="13">
        <f t="shared" si="44"/>
        <v>0.23443530330054041</v>
      </c>
      <c r="FA6" s="13">
        <f t="shared" si="45"/>
        <v>0.1212460847236228</v>
      </c>
      <c r="FB6" s="9">
        <f t="shared" ref="FB6:FB14" si="72">SUM(ED6:EG6)</f>
        <v>1424.3094257643154</v>
      </c>
    </row>
    <row r="7" spans="1:158" x14ac:dyDescent="0.15">
      <c r="A7" s="7" t="str">
        <f t="shared" si="11"/>
        <v>2010_2</v>
      </c>
      <c r="B7" s="29">
        <v>2010</v>
      </c>
      <c r="C7" s="4" t="s">
        <v>22</v>
      </c>
      <c r="D7" s="10">
        <v>422.19507970670168</v>
      </c>
      <c r="E7" s="10">
        <v>402.19013891606335</v>
      </c>
      <c r="F7" s="10">
        <v>376.16187867438111</v>
      </c>
      <c r="G7" s="10">
        <v>372.16991083657098</v>
      </c>
      <c r="H7" s="10">
        <v>308.13909029078275</v>
      </c>
      <c r="I7" s="10">
        <v>394.17954132543252</v>
      </c>
      <c r="J7" s="10">
        <v>472.21594739637203</v>
      </c>
      <c r="K7" s="10">
        <v>464.20534980574115</v>
      </c>
      <c r="L7" s="10">
        <v>472.21252853322903</v>
      </c>
      <c r="M7" s="10">
        <v>489.20361917805667</v>
      </c>
      <c r="N7" s="10">
        <v>488.20248576832415</v>
      </c>
      <c r="O7" s="10">
        <v>534.24558701586682</v>
      </c>
      <c r="P7" s="10">
        <v>474.20225330985454</v>
      </c>
      <c r="Q7" s="10">
        <v>338.12946492625616</v>
      </c>
      <c r="R7" s="10">
        <v>298.10286916175198</v>
      </c>
      <c r="S7" s="10">
        <v>317.10282676952608</v>
      </c>
      <c r="T7" s="10">
        <v>244.07812281633451</v>
      </c>
      <c r="U7" s="10">
        <v>126.03243750640542</v>
      </c>
      <c r="V7" s="10">
        <v>68.020825297444347</v>
      </c>
      <c r="W7" s="10">
        <v>22.008980630013696</v>
      </c>
      <c r="X7" s="10">
        <v>3.0010621348911313</v>
      </c>
      <c r="Y7" s="10">
        <f t="shared" si="68"/>
        <v>7086.0000000000009</v>
      </c>
      <c r="Z7" s="10">
        <f t="shared" si="12"/>
        <v>467.01121055426665</v>
      </c>
      <c r="AA7" s="10">
        <f t="shared" si="13"/>
        <v>224.89873363706664</v>
      </c>
      <c r="AB7" s="10">
        <f t="shared" si="0"/>
        <v>1416.4765892426233</v>
      </c>
      <c r="AC7" s="10">
        <f t="shared" si="14"/>
        <v>780.24425515461519</v>
      </c>
      <c r="AD7" s="14">
        <f t="shared" si="15"/>
        <v>0.19989790985642436</v>
      </c>
      <c r="AE7" s="14">
        <f t="shared" si="16"/>
        <v>0.11011067670824373</v>
      </c>
      <c r="AF7" s="10">
        <f t="shared" si="17"/>
        <v>1638.7399288183285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1.1566664247194589</v>
      </c>
      <c r="AN7" s="48">
        <f t="shared" si="73"/>
        <v>1.1320772959971057</v>
      </c>
      <c r="AO7" s="48">
        <f t="shared" si="73"/>
        <v>0.97847907228531872</v>
      </c>
      <c r="AP7" s="48">
        <f t="shared" si="73"/>
        <v>0.49924075116902505</v>
      </c>
      <c r="AQ7" s="48">
        <f t="shared" si="73"/>
        <v>1.2114807796727269</v>
      </c>
      <c r="AR7" s="48">
        <f t="shared" si="73"/>
        <v>1.1428009597153013</v>
      </c>
      <c r="AS7" s="48">
        <f t="shared" si="73"/>
        <v>1.137840171196639</v>
      </c>
      <c r="AT7" s="48">
        <f t="shared" si="73"/>
        <v>1.0659943228785915</v>
      </c>
      <c r="AU7" s="48">
        <f t="shared" si="73"/>
        <v>1.0225672414412439</v>
      </c>
      <c r="AV7" s="48">
        <f t="shared" si="73"/>
        <v>0.98449049611182116</v>
      </c>
      <c r="AW7" s="48">
        <f t="shared" si="73"/>
        <v>0.96974871781591931</v>
      </c>
      <c r="AX7" s="48">
        <f t="shared" si="73"/>
        <v>0.99854934349214486</v>
      </c>
      <c r="AY7" s="48">
        <f t="shared" si="73"/>
        <v>0.99888599705049896</v>
      </c>
      <c r="AZ7" s="48">
        <f t="shared" si="73"/>
        <v>0.91588066267280066</v>
      </c>
      <c r="BA7" s="48">
        <f t="shared" si="73"/>
        <v>0.86306894394952405</v>
      </c>
      <c r="BB7" s="48">
        <f t="shared" si="73"/>
        <v>0.81945155611618581</v>
      </c>
      <c r="BC7" s="48">
        <f t="shared" si="73"/>
        <v>0.67522587768190101</v>
      </c>
      <c r="BD7" s="48">
        <f t="shared" si="73"/>
        <v>0.45638416837890311</v>
      </c>
      <c r="BE7" s="48">
        <f t="shared" si="73"/>
        <v>0.36507116935986589</v>
      </c>
      <c r="BF7" s="48">
        <f t="shared" si="73"/>
        <v>0.22377098234788489</v>
      </c>
      <c r="BH7" s="7" t="str">
        <f t="shared" si="19"/>
        <v>2030_2</v>
      </c>
      <c r="BI7" s="29">
        <f>BI6</f>
        <v>2030</v>
      </c>
      <c r="BJ7" s="4" t="s">
        <v>22</v>
      </c>
      <c r="BK7" s="10">
        <f>CM7*$AK$14</f>
        <v>291.82909516895023</v>
      </c>
      <c r="BL7" s="10">
        <f>IF(管理者入力シート!$B$14=1,BK4*管理者用人口入力シート!AM$4,IF(管理者入力シート!$B$14=2,BK4*管理者用人口入力シート!AM$8))</f>
        <v>330.12779038609301</v>
      </c>
      <c r="BM7" s="10">
        <f>IF(管理者入力シート!$B$14=1,BL4*管理者用人口入力シート!AN$4,IF(管理者入力シート!$B$14=2,BL4*管理者用人口入力シート!AN$8))</f>
        <v>395.74100723563134</v>
      </c>
      <c r="BN7" s="10">
        <f>IF(管理者入力シート!$B$14=1,BM4*管理者用人口入力シート!AO$4,IF(管理者入力シート!$B$14=2,BM4*管理者用人口入力シート!AO$8))</f>
        <v>432.08642188283198</v>
      </c>
      <c r="BO7" s="10">
        <f>IF(管理者入力シート!$B$14=1,BN4*管理者用人口入力シート!AP$4,IF(管理者入力シート!$B$14=2,BN4*管理者用人口入力シート!AP$8))</f>
        <v>278.52066812743777</v>
      </c>
      <c r="BP7" s="10">
        <f>IF(管理者入力シート!$B$14=1,BO4*管理者用人口入力シート!AQ$4,IF(管理者入力シート!$B$14=2,BO4*管理者用人口入力シート!AQ$8))</f>
        <v>296.07319226883794</v>
      </c>
      <c r="BQ7" s="10">
        <f>IF(管理者入力シート!$B$14=1,BP4*管理者用人口入力シート!AR$4,IF(管理者入力シート!$B$14=2,BP4*管理者用人口入力シート!AR$8))</f>
        <v>293.62221996855004</v>
      </c>
      <c r="BR7" s="10">
        <f>IF(管理者入力シート!$B$14=1,BQ4*管理者用人口入力シート!AS$4,IF(管理者入力シート!$B$14=2,BQ4*管理者用人口入力シート!AS$8))</f>
        <v>314.84931530330618</v>
      </c>
      <c r="BS7" s="10">
        <f>IF(管理者入力シート!$B$14=1,BR4*管理者用人口入力シート!AT$4,IF(管理者入力シート!$B$14=2,BR4*管理者用人口入力シート!AT$8))</f>
        <v>450.20837242988972</v>
      </c>
      <c r="BT7" s="10">
        <f>IF(管理者入力シート!$B$14=1,BS4*管理者用人口入力シート!AU$4,IF(管理者入力シート!$B$14=2,BS4*管理者用人口入力シート!AU$8))</f>
        <v>483.8713485335681</v>
      </c>
      <c r="BU7" s="10">
        <f>IF(管理者入力シート!$B$14=1,BT4*管理者用人口入力シート!AV$4,IF(管理者入力シート!$B$14=2,BT4*管理者用人口入力シート!AV$8))</f>
        <v>524.83756757310482</v>
      </c>
      <c r="BV7" s="10">
        <f>IF(管理者入力シート!$B$14=1,BU4*管理者用人口入力シート!AW$4,IF(管理者入力シート!$B$14=2,BU4*管理者用人口入力シート!AW$8))</f>
        <v>456.4997064212576</v>
      </c>
      <c r="BW7" s="10">
        <f>IF(管理者入力シート!$B$14=1,BV4*管理者用人口入力シート!AX$4,IF(管理者入力シート!$B$14=2,BV4*管理者用人口入力シート!AX$8))</f>
        <v>448.12286211650786</v>
      </c>
      <c r="BX7" s="10">
        <f>IF(管理者入力シート!$B$14=1,BW4*管理者用人口入力シート!AY$4,IF(管理者入力シート!$B$14=2,BW4*管理者用人口入力シート!AY$8))</f>
        <v>463.30630067512789</v>
      </c>
      <c r="BY7" s="10">
        <f>IF(管理者入力シート!$B$14=1,BX4*管理者用人口入力シート!AZ$4,IF(管理者入力シート!$B$14=2,BX4*管理者用人口入力シート!AZ$8))</f>
        <v>487.25279715065545</v>
      </c>
      <c r="BZ7" s="10">
        <f>IF(管理者入力シート!$B$14=1,BY4*管理者用人口入力シート!BA$4,IF(管理者入力シート!$B$14=2,BY4*管理者用人口入力シート!BA$8))</f>
        <v>510.79488483645645</v>
      </c>
      <c r="CA7" s="10">
        <f>IF(管理者入力シート!$B$14=1,BZ4*管理者用人口入力シート!BB$4,IF(管理者入力シート!$B$14=2,BZ4*管理者用人口入力シート!BB$8))</f>
        <v>409.57330590128714</v>
      </c>
      <c r="CB7" s="10">
        <f>IF(管理者入力シート!$B$14=1,CA4*管理者用人口入力シート!BC$4,IF(管理者入力シート!$B$14=2,CA4*管理者用人口入力シート!BC$8))</f>
        <v>257.62966110746993</v>
      </c>
      <c r="CC7" s="10">
        <f>IF(管理者入力シート!$B$14=1,CB4*管理者用人口入力シート!BD$4,IF(管理者入力シート!$B$14=2,CB4*管理者用人口入力シート!BD$8))</f>
        <v>166.03798929000357</v>
      </c>
      <c r="CD7" s="10">
        <f>IF(管理者入力シート!$B$14=1,CC4*管理者用人口入力シート!BE$4,IF(管理者入力シート!$B$14=2,CC4*管理者用人口入力シート!BE$8))</f>
        <v>85.562286895148048</v>
      </c>
      <c r="CE7" s="10">
        <f>IF(管理者入力シート!$B$14=1,CD4*管理者用人口入力シート!BF$4,IF(管理者入力シート!$B$14=2,CD4*管理者用人口入力シート!BF$8))</f>
        <v>9.6999536370004904</v>
      </c>
      <c r="CF7" s="10">
        <f t="shared" si="2"/>
        <v>7386.2467469091162</v>
      </c>
      <c r="CG7" s="10">
        <f t="shared" si="20"/>
        <v>435.52127857303458</v>
      </c>
      <c r="CH7" s="10">
        <f t="shared" si="21"/>
        <v>244.71368727081892</v>
      </c>
      <c r="CI7" s="10">
        <f t="shared" si="3"/>
        <v>2389.857179493149</v>
      </c>
      <c r="CJ7" s="10">
        <f t="shared" si="22"/>
        <v>1439.2980816673658</v>
      </c>
      <c r="CK7" s="14">
        <f t="shared" si="23"/>
        <v>0.32355501533890946</v>
      </c>
      <c r="CL7" s="14">
        <f t="shared" si="24"/>
        <v>0.19486190090652755</v>
      </c>
      <c r="CM7" s="10">
        <f t="shared" si="25"/>
        <v>1183.0653956681319</v>
      </c>
      <c r="CO7" s="7" t="str">
        <f t="shared" si="26"/>
        <v>2030_2</v>
      </c>
      <c r="CP7" s="29">
        <f>CP6</f>
        <v>2030</v>
      </c>
      <c r="CQ7" s="4" t="s">
        <v>22</v>
      </c>
      <c r="CR7" s="10">
        <f>DT7*$AK$14+将来予測シート②!$H17</f>
        <v>293.88051064781632</v>
      </c>
      <c r="CS7" s="10">
        <f>IF(管理者入力シート!$B$14=1,CR4*管理者用人口入力シート!AM$4,IF(管理者入力シート!$B$14=2,CR4*管理者用人口入力シート!AM$8))+将来予測シート②!$H18</f>
        <v>331.20603937891445</v>
      </c>
      <c r="CT7" s="10">
        <f>IF(管理者入力シート!$B$14=1,CS4*管理者用人口入力シート!AN$4,IF(管理者入力シート!$B$14=2,CS4*管理者用人口入力シート!AN$8))+将来予測シート②!$H19</f>
        <v>396.74100723563134</v>
      </c>
      <c r="CU7" s="10">
        <f>IF(管理者入力シート!$B$14=1,CT4*管理者用人口入力シート!AO$4,IF(管理者入力シート!$B$14=2,CT4*管理者用人口入力シート!AO$8))+将来予測シート②!$H20</f>
        <v>433.00673945085174</v>
      </c>
      <c r="CV7" s="10">
        <f>IF(管理者入力シート!$B$14=1,CU4*管理者用人口入力シート!AP$4,IF(管理者入力シート!$B$14=2,CU4*管理者用人口入力シート!AP$8))+将来予測シート②!$H21</f>
        <v>278.52066812743777</v>
      </c>
      <c r="CW7" s="10">
        <f>IF(管理者入力シート!$B$14=1,CV4*管理者用人口入力シート!AQ$4,IF(管理者入力シート!$B$14=2,CV4*管理者用人口入力シート!AQ$8))+将来予測シート②!$H22</f>
        <v>298.07319226883794</v>
      </c>
      <c r="CX7" s="10">
        <f>IF(管理者入力シート!$B$14=1,CW4*管理者用人口入力シート!AR$4,IF(管理者入力シート!$B$14=2,CW4*管理者用人口入力シート!AR$8))+将来予測シート②!$H23</f>
        <v>295.88462316997237</v>
      </c>
      <c r="CY7" s="10">
        <f>IF(管理者入力シート!$B$14=1,CX4*管理者用人口入力シート!AS$4,IF(管理者入力シート!$B$14=2,CX4*管理者用人口入力シート!AS$8))+将来予測シート②!$H24</f>
        <v>314.84931530330618</v>
      </c>
      <c r="CZ7" s="10">
        <f>IF(管理者入力シート!$B$14=1,CY4*管理者用人口入力シート!AT$4,IF(管理者入力シート!$B$14=2,CY4*管理者用人口入力シート!AT$8))+将来予測シート②!$H25</f>
        <v>451.20837242988972</v>
      </c>
      <c r="DA7" s="10">
        <f>IF(管理者入力シート!$B$14=1,CZ4*管理者用人口入力シート!AU$4,IF(管理者入力シート!$B$14=2,CZ4*管理者用人口入力シート!AU$8))+将来予測シート②!$H26</f>
        <v>484.85809186487893</v>
      </c>
      <c r="DB7" s="10">
        <f>IF(管理者入力シート!$B$14=1,DA4*管理者用人口入力シート!AV$4,IF(管理者入力シート!$B$14=2,DA4*管理者用人口入力シート!AV$8))+将来予測シート②!$H27</f>
        <v>524.83756757310482</v>
      </c>
      <c r="DC7" s="10">
        <f>IF(管理者入力シート!$B$14=1,DB4*管理者用人口入力シート!AW$4,IF(管理者入力シート!$B$14=2,DB4*管理者用人口入力シート!AW$8))+将来予測シート②!$H28</f>
        <v>456.4997064212576</v>
      </c>
      <c r="DD7" s="10">
        <f>IF(管理者入力シート!$B$14=1,DC4*管理者用人口入力シート!AX$4,IF(管理者入力シート!$B$14=2,DC4*管理者用人口入力シート!AX$8))+将来予測シート②!$H29</f>
        <v>448.12286211650786</v>
      </c>
      <c r="DE7" s="10">
        <f>IF(管理者入力シート!$B$14=1,DD4*管理者用人口入力シート!AY$4,IF(管理者入力シート!$B$14=2,DD4*管理者用人口入力シート!AY$8))</f>
        <v>463.30630067512789</v>
      </c>
      <c r="DF7" s="10">
        <f>IF(管理者入力シート!$B$14=1,DE4*管理者用人口入力シート!AZ$4,IF(管理者入力シート!$B$14=2,DE4*管理者用人口入力シート!AZ$8))</f>
        <v>487.25279715065545</v>
      </c>
      <c r="DG7" s="10">
        <f>IF(管理者入力シート!$B$14=1,DF4*管理者用人口入力シート!BA$4,IF(管理者入力シート!$B$14=2,DF4*管理者用人口入力シート!BA$8))</f>
        <v>510.79488483645645</v>
      </c>
      <c r="DH7" s="10">
        <f>IF(管理者入力シート!$B$14=1,DG4*管理者用人口入力シート!BB$4,IF(管理者入力シート!$B$14=2,DG4*管理者用人口入力シート!BB$8))</f>
        <v>409.57330590128714</v>
      </c>
      <c r="DI7" s="10">
        <f>IF(管理者入力シート!$B$14=1,DH4*管理者用人口入力シート!BC$4,IF(管理者入力シート!$B$14=2,DH4*管理者用人口入力シート!BC$8))</f>
        <v>257.62966110746993</v>
      </c>
      <c r="DJ7" s="10">
        <f>IF(管理者入力シート!$B$14=1,DI4*管理者用人口入力シート!BD$4,IF(管理者入力シート!$B$14=2,DI4*管理者用人口入力シート!BD$8))</f>
        <v>166.03798929000357</v>
      </c>
      <c r="DK7" s="10">
        <f>IF(管理者入力シート!$B$14=1,DJ4*管理者用人口入力シート!BE$4,IF(管理者入力シート!$B$14=2,DJ4*管理者用人口入力シート!BE$8))</f>
        <v>85.562286895148048</v>
      </c>
      <c r="DL7" s="10">
        <f>IF(管理者入力シート!$B$14=1,DK4*管理者用人口入力シート!BF$4,IF(管理者入力シート!$B$14=2,DK4*管理者用人口入力シート!BF$8))</f>
        <v>9.6999536370004904</v>
      </c>
      <c r="DM7" s="10">
        <f t="shared" si="69"/>
        <v>7397.5458754815563</v>
      </c>
      <c r="DN7" s="10">
        <f t="shared" si="34"/>
        <v>436.7682279687275</v>
      </c>
      <c r="DO7" s="10">
        <f t="shared" si="35"/>
        <v>245.29775078442287</v>
      </c>
      <c r="DP7" s="10">
        <f t="shared" si="6"/>
        <v>2389.857179493149</v>
      </c>
      <c r="DQ7" s="10">
        <f t="shared" si="36"/>
        <v>1439.2980816673658</v>
      </c>
      <c r="DR7" s="14">
        <f t="shared" si="37"/>
        <v>0.32306081229101902</v>
      </c>
      <c r="DS7" s="14">
        <f t="shared" si="38"/>
        <v>0.19456426575707747</v>
      </c>
      <c r="DT7" s="10">
        <f t="shared" si="70"/>
        <v>1187.3277988695543</v>
      </c>
      <c r="DV7" s="7" t="s">
        <v>401</v>
      </c>
      <c r="DW7" s="210">
        <f>(SUM(BK12:BW12)-SUM(D12:P12))/4</f>
        <v>-61.107197754813569</v>
      </c>
      <c r="DX7" s="29">
        <f>DX6</f>
        <v>2030</v>
      </c>
      <c r="DY7" s="4" t="s">
        <v>22</v>
      </c>
      <c r="DZ7" s="10">
        <f>FB7*$AK$14</f>
        <v>354.80439954987099</v>
      </c>
      <c r="EA7" s="10">
        <f>IF(管理者入力シート!$B$14=1,DZ4*管理者用人口入力シート!AM$4,IF(管理者入力シート!$B$14=2,DZ4*管理者用人口入力シート!AM$8))</f>
        <v>330.12779038609301</v>
      </c>
      <c r="EB7" s="10">
        <f>IF(管理者入力シート!$B$14=1,EA4*管理者用人口入力シート!AN$4,IF(管理者入力シート!$B$14=2,EA4*管理者用人口入力シート!AN$8))</f>
        <v>395.74100723563134</v>
      </c>
      <c r="EC7" s="10">
        <f>IF(管理者入力シート!$B$14=1,EB4*管理者用人口入力シート!AO$4,IF(管理者入力シート!$B$14=2,EB4*管理者用人口入力シート!AO$8))</f>
        <v>432.08642188283198</v>
      </c>
      <c r="ED7" s="10">
        <f>IF(管理者入力シート!$B$14=1,EC4*管理者用人口入力シート!AP$4,IF(管理者入力シート!$B$14=2,EC4*管理者用人口入力シート!AP$8))</f>
        <v>278.52066812743777</v>
      </c>
      <c r="EE7" s="10">
        <f>IF(管理者入力シート!$B$14=1,ED4*管理者用人口入力シート!AQ$4,IF(管理者入力シート!$B$14=2,ED4*管理者用人口入力シート!AQ$8))+DX1</f>
        <v>345.07319226883794</v>
      </c>
      <c r="EF7" s="10">
        <f>IF(管理者入力シート!$B$14=1,EE4*管理者用人口入力シート!AR$4,IF(管理者入力シート!$B$14=2,EE4*管理者用人口入力シート!AR$8))+DX1</f>
        <v>398.05109840339662</v>
      </c>
      <c r="EG7" s="10">
        <f>IF(管理者入力シート!$B$14=1,EF4*管理者用人口入力シート!AS$4,IF(管理者入力シート!$B$14=2,EF4*管理者用人口入力シート!AS$8))+DX1</f>
        <v>416.72021549951813</v>
      </c>
      <c r="EH7" s="10">
        <f>IF(管理者入力シート!$B$14=1,EG4*管理者用人口入力シート!AT$4,IF(管理者入力シート!$B$14=2,EG4*管理者用人口入力シート!AT$8))</f>
        <v>501.24763128736828</v>
      </c>
      <c r="EI7" s="10">
        <f>IF(管理者入力シート!$B$14=1,EH4*管理者用人口入力シート!AU$4,IF(管理者入力シート!$B$14=2,EH4*管理者用人口入力シート!AU$8))</f>
        <v>483.8713485335681</v>
      </c>
      <c r="EJ7" s="10">
        <f>IF(管理者入力シート!$B$14=1,EI4*管理者用人口入力シート!AV$4,IF(管理者入力シート!$B$14=2,EI4*管理者用人口入力シート!AV$8))</f>
        <v>524.83756757310482</v>
      </c>
      <c r="EK7" s="10">
        <f>IF(管理者入力シート!$B$14=1,EJ4*管理者用人口入力シート!AW$4,IF(管理者入力シート!$B$14=2,EJ4*管理者用人口入力シート!AW$8))</f>
        <v>456.4997064212576</v>
      </c>
      <c r="EL7" s="10">
        <f>IF(管理者入力シート!$B$14=1,EK4*管理者用人口入力シート!AX$4,IF(管理者入力シート!$B$14=2,EK4*管理者用人口入力シート!AX$8))</f>
        <v>448.12286211650786</v>
      </c>
      <c r="EM7" s="10">
        <f>IF(管理者入力シート!$B$14=1,EL4*管理者用人口入力シート!AY$4,IF(管理者入力シート!$B$14=2,EL4*管理者用人口入力シート!AY$8))</f>
        <v>463.30630067512789</v>
      </c>
      <c r="EN7" s="10">
        <f>IF(管理者入力シート!$B$14=1,EM4*管理者用人口入力シート!AZ$4,IF(管理者入力シート!$B$14=2,EM4*管理者用人口入力シート!AZ$8))</f>
        <v>487.25279715065545</v>
      </c>
      <c r="EO7" s="10">
        <f>IF(管理者入力シート!$B$14=1,EN4*管理者用人口入力シート!BA$4,IF(管理者入力シート!$B$14=2,EN4*管理者用人口入力シート!BA$8))</f>
        <v>510.79488483645645</v>
      </c>
      <c r="EP7" s="10">
        <f>IF(管理者入力シート!$B$14=1,EO4*管理者用人口入力シート!BB$4,IF(管理者入力シート!$B$14=2,EO4*管理者用人口入力シート!BB$8))</f>
        <v>409.57330590128714</v>
      </c>
      <c r="EQ7" s="10">
        <f>IF(管理者入力シート!$B$14=1,EP4*管理者用人口入力シート!BC$4,IF(管理者入力シート!$B$14=2,EP4*管理者用人口入力シート!BC$8))</f>
        <v>257.62966110746993</v>
      </c>
      <c r="ER7" s="10">
        <f>IF(管理者入力シート!$B$14=1,EQ4*管理者用人口入力シート!BD$4,IF(管理者入力シート!$B$14=2,EQ4*管理者用人口入力シート!BD$8))</f>
        <v>166.03798929000357</v>
      </c>
      <c r="ES7" s="10">
        <f>IF(管理者入力シート!$B$14=1,ER4*管理者用人口入力シート!BE$4,IF(管理者入力シート!$B$14=2,ER4*管理者用人口入力シート!BE$8))</f>
        <v>85.562286895148048</v>
      </c>
      <c r="ET7" s="10">
        <f>IF(管理者入力シート!$B$14=1,ES4*管理者用人口入力シート!BF$4,IF(管理者入力シート!$B$14=2,ES4*管理者用人口入力シート!BF$8))</f>
        <v>9.6999536370004904</v>
      </c>
      <c r="EU7" s="10">
        <f t="shared" si="71"/>
        <v>7755.5610887785742</v>
      </c>
      <c r="EV7" s="10">
        <f t="shared" si="41"/>
        <v>435.52127857303458</v>
      </c>
      <c r="EW7" s="10">
        <f t="shared" si="42"/>
        <v>244.71368727081892</v>
      </c>
      <c r="EX7" s="10">
        <f t="shared" si="10"/>
        <v>2389.857179493149</v>
      </c>
      <c r="EY7" s="10">
        <f t="shared" si="43"/>
        <v>1439.2980816673658</v>
      </c>
      <c r="EZ7" s="14">
        <f t="shared" si="44"/>
        <v>0.30814755401140531</v>
      </c>
      <c r="FA7" s="14">
        <f t="shared" si="45"/>
        <v>0.18558271480188177</v>
      </c>
      <c r="FB7" s="10">
        <f t="shared" si="72"/>
        <v>1438.3651742991904</v>
      </c>
    </row>
    <row r="8" spans="1:158" x14ac:dyDescent="0.15">
      <c r="A8" s="7" t="str">
        <f t="shared" si="11"/>
        <v>2010_3</v>
      </c>
      <c r="B8" s="30">
        <v>2010</v>
      </c>
      <c r="C8" s="5" t="s">
        <v>23</v>
      </c>
      <c r="D8" s="11">
        <v>826.49260736236442</v>
      </c>
      <c r="E8" s="11">
        <v>809.49134679805729</v>
      </c>
      <c r="F8" s="11">
        <v>827.48407004656565</v>
      </c>
      <c r="G8" s="11">
        <v>846.52714625611952</v>
      </c>
      <c r="H8" s="11">
        <v>520.30567097095718</v>
      </c>
      <c r="I8" s="11">
        <v>717.42747030057421</v>
      </c>
      <c r="J8" s="11">
        <v>905.55396456819471</v>
      </c>
      <c r="K8" s="11">
        <v>866.51739867384674</v>
      </c>
      <c r="L8" s="11">
        <v>872.51312186106406</v>
      </c>
      <c r="M8" s="11">
        <v>900.52684193199616</v>
      </c>
      <c r="N8" s="11">
        <v>948.57676162419921</v>
      </c>
      <c r="O8" s="11">
        <v>984.62327384152968</v>
      </c>
      <c r="P8" s="11">
        <v>952.60180936235497</v>
      </c>
      <c r="Q8" s="11">
        <v>648.38262482277912</v>
      </c>
      <c r="R8" s="11">
        <v>562.31827108887865</v>
      </c>
      <c r="S8" s="11">
        <v>532.30405555202447</v>
      </c>
      <c r="T8" s="11">
        <v>393.20614811983717</v>
      </c>
      <c r="U8" s="11">
        <v>199.10082571092897</v>
      </c>
      <c r="V8" s="11">
        <v>85.033619271473128</v>
      </c>
      <c r="W8" s="11">
        <v>26.011909701363649</v>
      </c>
      <c r="X8" s="11">
        <v>3.0010621348911313</v>
      </c>
      <c r="Y8" s="11">
        <f t="shared" si="68"/>
        <v>13428.000000000002</v>
      </c>
      <c r="Z8" s="11">
        <f t="shared" si="12"/>
        <v>982.18525010677376</v>
      </c>
      <c r="AA8" s="11">
        <f t="shared" si="13"/>
        <v>500.29905726985021</v>
      </c>
      <c r="AB8" s="11">
        <f t="shared" si="0"/>
        <v>2449.3585164021761</v>
      </c>
      <c r="AC8" s="11">
        <f t="shared" si="14"/>
        <v>1238.6576204905184</v>
      </c>
      <c r="AD8" s="15">
        <f t="shared" si="15"/>
        <v>0.18240680044698956</v>
      </c>
      <c r="AE8" s="15">
        <f t="shared" si="16"/>
        <v>9.2244386393395758E-2</v>
      </c>
      <c r="AF8" s="11">
        <f t="shared" si="17"/>
        <v>3009.8045045135727</v>
      </c>
      <c r="AH8" s="7"/>
      <c r="AI8" s="30" t="s">
        <v>88</v>
      </c>
      <c r="AJ8" s="5">
        <f>AJ7</f>
        <v>2010</v>
      </c>
      <c r="AK8" s="5">
        <f>AK7</f>
        <v>2020</v>
      </c>
      <c r="AL8" s="33" t="s">
        <v>22</v>
      </c>
      <c r="AM8" s="47">
        <f t="shared" si="73"/>
        <v>1.0782489928214203</v>
      </c>
      <c r="AN8" s="47">
        <f t="shared" si="73"/>
        <v>1.0979450191188769</v>
      </c>
      <c r="AO8" s="47">
        <f t="shared" si="73"/>
        <v>0.92031756801972908</v>
      </c>
      <c r="AP8" s="47">
        <f t="shared" si="73"/>
        <v>0.62281517160923472</v>
      </c>
      <c r="AQ8" s="47">
        <f t="shared" si="73"/>
        <v>1.1492672620916413</v>
      </c>
      <c r="AR8" s="47">
        <f t="shared" si="73"/>
        <v>1.1312016007111547</v>
      </c>
      <c r="AS8" s="47">
        <f t="shared" si="73"/>
        <v>1.0789979631879991</v>
      </c>
      <c r="AT8" s="47">
        <f t="shared" si="73"/>
        <v>1.0416175277036439</v>
      </c>
      <c r="AU8" s="47">
        <f t="shared" si="73"/>
        <v>0.98674333131079872</v>
      </c>
      <c r="AV8" s="47">
        <f t="shared" si="73"/>
        <v>0.96501230419222106</v>
      </c>
      <c r="AW8" s="47">
        <f t="shared" si="73"/>
        <v>0.99005631790045512</v>
      </c>
      <c r="AX8" s="47">
        <f t="shared" si="73"/>
        <v>1.004331073691179</v>
      </c>
      <c r="AY8" s="47">
        <f t="shared" si="73"/>
        <v>0.99921320630570021</v>
      </c>
      <c r="AZ8" s="47">
        <f t="shared" si="73"/>
        <v>0.98957728142932611</v>
      </c>
      <c r="BA8" s="47">
        <f t="shared" si="73"/>
        <v>0.95758663005759648</v>
      </c>
      <c r="BB8" s="47">
        <f t="shared" si="73"/>
        <v>0.93666770054824644</v>
      </c>
      <c r="BC8" s="47">
        <f t="shared" si="73"/>
        <v>0.86193730357930309</v>
      </c>
      <c r="BD8" s="47">
        <f t="shared" si="73"/>
        <v>0.7190331005145304</v>
      </c>
      <c r="BE8" s="47">
        <f t="shared" si="73"/>
        <v>0.44919603617363812</v>
      </c>
      <c r="BF8" s="47">
        <f t="shared" si="73"/>
        <v>0.13973318452032035</v>
      </c>
      <c r="BH8" s="7" t="str">
        <f t="shared" si="19"/>
        <v>2030_3</v>
      </c>
      <c r="BI8" s="30">
        <f>BI7</f>
        <v>2030</v>
      </c>
      <c r="BJ8" s="5" t="s">
        <v>23</v>
      </c>
      <c r="BK8" s="16">
        <f>BK6+BK7</f>
        <v>629.34967693403814</v>
      </c>
      <c r="BL8" s="16">
        <f t="shared" ref="BL8" si="74">BL6+BL7</f>
        <v>739.71164184946429</v>
      </c>
      <c r="BM8" s="16">
        <f t="shared" ref="BM8" si="75">BM6+BM7</f>
        <v>901.99362628206654</v>
      </c>
      <c r="BN8" s="16">
        <f t="shared" ref="BN8" si="76">BN6+BN7</f>
        <v>959.25967632747074</v>
      </c>
      <c r="BO8" s="16">
        <f t="shared" ref="BO8" si="77">BO6+BO7</f>
        <v>523.84316327174349</v>
      </c>
      <c r="BP8" s="16">
        <f t="shared" ref="BP8" si="78">BP6+BP7</f>
        <v>569.95653846198707</v>
      </c>
      <c r="BQ8" s="16">
        <f t="shared" ref="BQ8" si="79">BQ6+BQ7</f>
        <v>593.93032122887291</v>
      </c>
      <c r="BR8" s="16">
        <f t="shared" ref="BR8" si="80">BR6+BR7</f>
        <v>660.89338305515867</v>
      </c>
      <c r="BS8" s="16">
        <f t="shared" ref="BS8" si="81">BS6+BS7</f>
        <v>855.7627595068443</v>
      </c>
      <c r="BT8" s="16">
        <f t="shared" ref="BT8" si="82">BT6+BT7</f>
        <v>929.37413169401191</v>
      </c>
      <c r="BU8" s="16">
        <f t="shared" ref="BU8" si="83">BU6+BU7</f>
        <v>1077.810661153829</v>
      </c>
      <c r="BV8" s="16">
        <f t="shared" ref="BV8" si="84">BV6+BV7</f>
        <v>863.84791045340967</v>
      </c>
      <c r="BW8" s="16">
        <f t="shared" ref="BW8" si="85">BW6+BW7</f>
        <v>838.9578237651026</v>
      </c>
      <c r="BX8" s="16">
        <f t="shared" ref="BX8" si="86">BX6+BX7</f>
        <v>859.78215273422484</v>
      </c>
      <c r="BY8" s="16">
        <f t="shared" ref="BY8" si="87">BY6+BY7</f>
        <v>908.70466616658484</v>
      </c>
      <c r="BZ8" s="16">
        <f t="shared" ref="BZ8" si="88">BZ6+BZ7</f>
        <v>855.19012180439552</v>
      </c>
      <c r="CA8" s="16">
        <f t="shared" ref="CA8" si="89">CA6+CA7</f>
        <v>724.09894618649889</v>
      </c>
      <c r="CB8" s="16">
        <f t="shared" ref="CB8" si="90">CB6+CB7</f>
        <v>393.13402272598182</v>
      </c>
      <c r="CC8" s="16">
        <f t="shared" ref="CC8" si="91">CC6+CC7</f>
        <v>223.26350407666382</v>
      </c>
      <c r="CD8" s="16">
        <f t="shared" ref="CD8" si="92">CD6+CD7</f>
        <v>106.289545193523</v>
      </c>
      <c r="CE8" s="16">
        <f t="shared" ref="CE8" si="93">CE6+CE7</f>
        <v>13.47017394211597</v>
      </c>
      <c r="CF8" s="11">
        <f t="shared" si="2"/>
        <v>14228.624446813988</v>
      </c>
      <c r="CG8" s="11">
        <f t="shared" si="20"/>
        <v>985.02316087891859</v>
      </c>
      <c r="CH8" s="11">
        <f t="shared" si="21"/>
        <v>552.64938577832072</v>
      </c>
      <c r="CI8" s="11">
        <f t="shared" si="3"/>
        <v>4083.9331328299886</v>
      </c>
      <c r="CJ8" s="11">
        <f t="shared" si="22"/>
        <v>2315.4463139291793</v>
      </c>
      <c r="CK8" s="15">
        <f t="shared" si="23"/>
        <v>0.28702234345249339</v>
      </c>
      <c r="CL8" s="15">
        <f t="shared" si="24"/>
        <v>0.16273156429029539</v>
      </c>
      <c r="CM8" s="11">
        <f t="shared" si="25"/>
        <v>2348.6234060177621</v>
      </c>
      <c r="CO8" s="7" t="str">
        <f t="shared" si="26"/>
        <v>2030_3</v>
      </c>
      <c r="CP8" s="30">
        <f>CP7</f>
        <v>2030</v>
      </c>
      <c r="CQ8" s="5" t="s">
        <v>23</v>
      </c>
      <c r="CR8" s="16">
        <f>CR6+CR7</f>
        <v>633.61712731133764</v>
      </c>
      <c r="CS8" s="16">
        <f t="shared" ref="CS8" si="94">CS6+CS7</f>
        <v>741.94655726700512</v>
      </c>
      <c r="CT8" s="16">
        <f t="shared" ref="CT8" si="95">CT6+CT7</f>
        <v>903.99362628206654</v>
      </c>
      <c r="CU8" s="16">
        <f t="shared" ref="CU8" si="96">CU6+CU7</f>
        <v>961.15847296777588</v>
      </c>
      <c r="CV8" s="16">
        <f t="shared" ref="CV8" si="97">CV6+CV7</f>
        <v>523.84316327174349</v>
      </c>
      <c r="CW8" s="16">
        <f t="shared" ref="CW8" si="98">CW6+CW7</f>
        <v>573.95653846198707</v>
      </c>
      <c r="CX8" s="16">
        <f t="shared" ref="CX8" si="99">CX6+CX7</f>
        <v>598.47832634972588</v>
      </c>
      <c r="CY8" s="16">
        <f t="shared" ref="CY8" si="100">CY6+CY7</f>
        <v>660.89338305515867</v>
      </c>
      <c r="CZ8" s="16">
        <f t="shared" ref="CZ8" si="101">CZ6+CZ7</f>
        <v>856.7627595068443</v>
      </c>
      <c r="DA8" s="16">
        <f t="shared" ref="DA8" si="102">DA6+DA7</f>
        <v>930.36087502532268</v>
      </c>
      <c r="DB8" s="16">
        <f t="shared" ref="DB8" si="103">DB6+DB7</f>
        <v>1077.810661153829</v>
      </c>
      <c r="DC8" s="16">
        <f t="shared" ref="DC8" si="104">DC6+DC7</f>
        <v>863.84791045340967</v>
      </c>
      <c r="DD8" s="16">
        <f t="shared" ref="DD8" si="105">DD6+DD7</f>
        <v>838.9578237651026</v>
      </c>
      <c r="DE8" s="16">
        <f t="shared" ref="DE8" si="106">DE6+DE7</f>
        <v>859.78215273422484</v>
      </c>
      <c r="DF8" s="16">
        <f t="shared" ref="DF8" si="107">DF6+DF7</f>
        <v>908.70466616658484</v>
      </c>
      <c r="DG8" s="16">
        <f t="shared" ref="DG8" si="108">DG6+DG7</f>
        <v>855.19012180439552</v>
      </c>
      <c r="DH8" s="16">
        <f t="shared" ref="DH8" si="109">DH6+DH7</f>
        <v>724.09894618649889</v>
      </c>
      <c r="DI8" s="16">
        <f t="shared" ref="DI8" si="110">DI6+DI7</f>
        <v>393.13402272598182</v>
      </c>
      <c r="DJ8" s="16">
        <f t="shared" ref="DJ8" si="111">DJ6+DJ7</f>
        <v>223.26350407666382</v>
      </c>
      <c r="DK8" s="16">
        <f t="shared" ref="DK8" si="112">DK6+DK7</f>
        <v>106.289545193523</v>
      </c>
      <c r="DL8" s="16">
        <f t="shared" ref="DL8" si="113">DL6+DL7</f>
        <v>13.47017394211597</v>
      </c>
      <c r="DM8" s="11">
        <f t="shared" si="69"/>
        <v>14249.560357701295</v>
      </c>
      <c r="DN8" s="11">
        <f t="shared" si="34"/>
        <v>987.56411012944295</v>
      </c>
      <c r="DO8" s="11">
        <f t="shared" si="35"/>
        <v>553.82914510638182</v>
      </c>
      <c r="DP8" s="11">
        <f t="shared" si="6"/>
        <v>4083.9331328299886</v>
      </c>
      <c r="DQ8" s="11">
        <f t="shared" si="36"/>
        <v>2315.4463139291793</v>
      </c>
      <c r="DR8" s="15">
        <f t="shared" si="37"/>
        <v>0.28660064102418376</v>
      </c>
      <c r="DS8" s="15">
        <f t="shared" si="38"/>
        <v>0.16249247385922169</v>
      </c>
      <c r="DT8" s="11">
        <f t="shared" si="70"/>
        <v>2357.1714111386154</v>
      </c>
      <c r="DV8" s="7" t="s">
        <v>402</v>
      </c>
      <c r="DW8" s="210">
        <f>(SUM(BK13:BW13)-SUM(D13:P13))/4</f>
        <v>-201.2051357057901</v>
      </c>
      <c r="DX8" s="30">
        <f>DX7</f>
        <v>2030</v>
      </c>
      <c r="DY8" s="5" t="s">
        <v>23</v>
      </c>
      <c r="DZ8" s="16">
        <f>DZ6+DZ7</f>
        <v>765.16028705846713</v>
      </c>
      <c r="EA8" s="16">
        <f t="shared" ref="EA8:ET8" si="114">EA6+EA7</f>
        <v>739.71164184946429</v>
      </c>
      <c r="EB8" s="16">
        <f t="shared" si="114"/>
        <v>901.99362628206654</v>
      </c>
      <c r="EC8" s="16">
        <f t="shared" si="114"/>
        <v>959.25967632747074</v>
      </c>
      <c r="ED8" s="16">
        <f t="shared" si="114"/>
        <v>523.84316327174349</v>
      </c>
      <c r="EE8" s="16">
        <f t="shared" si="114"/>
        <v>667.95653846198707</v>
      </c>
      <c r="EF8" s="16">
        <f t="shared" si="114"/>
        <v>803.3564466897692</v>
      </c>
      <c r="EG8" s="16">
        <f t="shared" si="114"/>
        <v>867.51845164000599</v>
      </c>
      <c r="EH8" s="16">
        <f t="shared" si="114"/>
        <v>959.03574018537392</v>
      </c>
      <c r="EI8" s="16">
        <f t="shared" si="114"/>
        <v>929.37413169401191</v>
      </c>
      <c r="EJ8" s="16">
        <f t="shared" si="114"/>
        <v>1077.810661153829</v>
      </c>
      <c r="EK8" s="16">
        <f t="shared" si="114"/>
        <v>863.84791045340967</v>
      </c>
      <c r="EL8" s="16">
        <f t="shared" si="114"/>
        <v>838.9578237651026</v>
      </c>
      <c r="EM8" s="16">
        <f t="shared" si="114"/>
        <v>859.78215273422484</v>
      </c>
      <c r="EN8" s="16">
        <f t="shared" si="114"/>
        <v>908.70466616658484</v>
      </c>
      <c r="EO8" s="16">
        <f t="shared" si="114"/>
        <v>855.19012180439552</v>
      </c>
      <c r="EP8" s="16">
        <f t="shared" si="114"/>
        <v>724.09894618649889</v>
      </c>
      <c r="EQ8" s="16">
        <f t="shared" si="114"/>
        <v>393.13402272598182</v>
      </c>
      <c r="ER8" s="16">
        <f t="shared" si="114"/>
        <v>223.26350407666382</v>
      </c>
      <c r="ES8" s="16">
        <f t="shared" si="114"/>
        <v>106.289545193523</v>
      </c>
      <c r="ET8" s="16">
        <f t="shared" si="114"/>
        <v>13.47017394211597</v>
      </c>
      <c r="EU8" s="11">
        <f t="shared" si="71"/>
        <v>14981.759231662691</v>
      </c>
      <c r="EV8" s="11">
        <f t="shared" si="41"/>
        <v>985.02316087891859</v>
      </c>
      <c r="EW8" s="11">
        <f t="shared" si="42"/>
        <v>552.64938577832072</v>
      </c>
      <c r="EX8" s="11">
        <f t="shared" si="10"/>
        <v>4083.9331328299886</v>
      </c>
      <c r="EY8" s="11">
        <f t="shared" si="43"/>
        <v>2315.4463139291793</v>
      </c>
      <c r="EZ8" s="15">
        <f t="shared" si="44"/>
        <v>0.27259369675351203</v>
      </c>
      <c r="FA8" s="15">
        <f t="shared" si="45"/>
        <v>0.15455102956371625</v>
      </c>
      <c r="FB8" s="11">
        <f t="shared" si="72"/>
        <v>2862.6746000635057</v>
      </c>
    </row>
    <row r="9" spans="1:158" x14ac:dyDescent="0.15">
      <c r="A9" s="7" t="str">
        <f t="shared" si="11"/>
        <v>2015_1</v>
      </c>
      <c r="B9" s="28">
        <v>2015</v>
      </c>
      <c r="C9" s="3" t="s">
        <v>21</v>
      </c>
      <c r="D9" s="9">
        <v>403.12083184441747</v>
      </c>
      <c r="E9" s="9">
        <v>458.17020020751568</v>
      </c>
      <c r="F9" s="9">
        <v>476.23235116865658</v>
      </c>
      <c r="G9" s="9">
        <v>454.43272268084019</v>
      </c>
      <c r="H9" s="9">
        <v>247.69386981500719</v>
      </c>
      <c r="I9" s="9">
        <v>289.83160555395796</v>
      </c>
      <c r="J9" s="9">
        <v>365.93987636709812</v>
      </c>
      <c r="K9" s="9">
        <v>502.33726827223143</v>
      </c>
      <c r="L9" s="9">
        <v>418.08792657053368</v>
      </c>
      <c r="M9" s="9">
        <v>410.14984119137273</v>
      </c>
      <c r="N9" s="9">
        <v>405.12045527491432</v>
      </c>
      <c r="O9" s="9">
        <v>441.24760714948343</v>
      </c>
      <c r="P9" s="9">
        <v>430.13533507146565</v>
      </c>
      <c r="Q9" s="9">
        <v>471.25392615836972</v>
      </c>
      <c r="R9" s="9">
        <v>275.77931784129618</v>
      </c>
      <c r="S9" s="9">
        <v>221.63068579294907</v>
      </c>
      <c r="T9" s="9">
        <v>172.46904007904519</v>
      </c>
      <c r="U9" s="9">
        <v>94.261602228248222</v>
      </c>
      <c r="V9" s="9">
        <v>31.084226406484234</v>
      </c>
      <c r="W9" s="9">
        <v>5.0170129475137344</v>
      </c>
      <c r="X9" s="9">
        <v>1.0042973785990545</v>
      </c>
      <c r="Y9" s="9">
        <f t="shared" si="68"/>
        <v>6574.9999999999991</v>
      </c>
      <c r="Z9" s="9">
        <f t="shared" si="12"/>
        <v>560.64153082570328</v>
      </c>
      <c r="AA9" s="9">
        <f t="shared" si="13"/>
        <v>281.37948500363063</v>
      </c>
      <c r="AB9" s="9">
        <f t="shared" si="0"/>
        <v>1272.5001088325052</v>
      </c>
      <c r="AC9" s="9">
        <f t="shared" si="14"/>
        <v>525.46686483283952</v>
      </c>
      <c r="AD9" s="13">
        <f t="shared" si="15"/>
        <v>0.19353613822547611</v>
      </c>
      <c r="AE9" s="13">
        <f t="shared" si="16"/>
        <v>7.9918914803473698E-2</v>
      </c>
      <c r="AF9" s="9">
        <f t="shared" si="17"/>
        <v>1405.8026200082945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354.03207612362496</v>
      </c>
      <c r="BL9" s="9">
        <f>IF(管理者入力シート!$B$14=1,BK6*管理者用人口入力シート!AM$3,IF(管理者入力シート!$B$14=2,BK6*管理者用人口入力シート!AM$7))</f>
        <v>390.39872457945597</v>
      </c>
      <c r="BM9" s="9">
        <f>IF(管理者入力シート!$B$14=1,BL6*管理者用人口入力シート!AN$3,IF(管理者入力シート!$B$14=2,BL6*管理者用人口入力シート!AN$7))</f>
        <v>463.68057904873353</v>
      </c>
      <c r="BN9" s="9">
        <f>IF(管理者入力シート!$B$14=1,BM6*管理者用人口入力シート!AO$3,IF(管理者入力シート!$B$14=2,BM6*管理者用人口入力シート!AO$7))</f>
        <v>495.35759302656885</v>
      </c>
      <c r="BO9" s="9">
        <f>IF(管理者入力シート!$B$14=1,BN6*管理者用人口入力シート!AP$3,IF(管理者入力シート!$B$14=2,BN6*管理者用人口入力シート!AP$7))</f>
        <v>263.18637154516102</v>
      </c>
      <c r="BP9" s="9">
        <f>IF(管理者入力シート!$B$14=1,BO6*管理者用人口入力シート!AQ$3,IF(管理者入力シート!$B$14=2,BO6*管理者用人口入力シート!AQ$7))</f>
        <v>297.20348768868229</v>
      </c>
      <c r="BQ9" s="9">
        <f>IF(管理者入力シート!$B$14=1,BP6*管理者用人口入力シート!AR$3,IF(管理者入力シート!$B$14=2,BP6*管理者用人口入力シート!AR$7))</f>
        <v>312.99415087956885</v>
      </c>
      <c r="BR9" s="9">
        <f>IF(管理者入力シート!$B$14=1,BQ6*管理者用人口入力シート!AS$3,IF(管理者入力シート!$B$14=2,BQ6*管理者用人口入力シート!AS$7))</f>
        <v>341.70262134978339</v>
      </c>
      <c r="BS9" s="9">
        <f>IF(管理者入力シート!$B$14=1,BR6*管理者用人口入力シート!AT$3,IF(管理者入力シート!$B$14=2,BR6*管理者用人口入力シート!AT$7))</f>
        <v>368.88101168928949</v>
      </c>
      <c r="BT9" s="9">
        <f>IF(管理者入力シート!$B$14=1,BS6*管理者用人口入力シート!AU$3,IF(管理者入力シート!$B$14=2,BS6*管理者用人口入力シート!AU$7))</f>
        <v>414.70663084767597</v>
      </c>
      <c r="BU9" s="9">
        <f>IF(管理者入力シート!$B$14=1,BT6*管理者用人口入力シート!AV$3,IF(管理者入力シート!$B$14=2,BT6*管理者用人口入力シート!AV$7))</f>
        <v>438.59325601282239</v>
      </c>
      <c r="BV9" s="9">
        <f>IF(管理者入力シート!$B$14=1,BU6*管理者用人口入力シート!AW$3,IF(管理者入力シート!$B$14=2,BU6*管理者用人口入力シート!AW$7))</f>
        <v>536.24494848660959</v>
      </c>
      <c r="BW9" s="9">
        <f>IF(管理者入力シート!$B$14=1,BV6*管理者用人口入力シート!AX$3,IF(管理者入力シート!$B$14=2,BV6*管理者用人口入力シート!AX$7))</f>
        <v>406.75728170900965</v>
      </c>
      <c r="BX9" s="9">
        <f>IF(管理者入力シート!$B$14=1,BW6*管理者用人口入力シート!AY$3,IF(管理者入力シート!$B$14=2,BW6*管理者用人口入力シート!AY$7))</f>
        <v>390.39957034855013</v>
      </c>
      <c r="BY9" s="9">
        <f>IF(管理者入力シート!$B$14=1,BX6*管理者用人口入力シート!AZ$3,IF(管理者入力シート!$B$14=2,BX6*管理者用人口入力シート!AZ$7))</f>
        <v>363.12456611764901</v>
      </c>
      <c r="BZ9" s="9">
        <f>IF(管理者入力シート!$B$14=1,BY6*管理者用人口入力シート!BA$3,IF(管理者入力シート!$B$14=2,BY6*管理者用人口入力シート!BA$7))</f>
        <v>363.74201951713133</v>
      </c>
      <c r="CA9" s="9">
        <f>IF(管理者入力シート!$B$14=1,BZ6*管理者用人口入力シート!BB$3,IF(管理者入力シート!$B$14=2,BZ6*管理者用人口入力シート!BB$7))</f>
        <v>282.2152128523802</v>
      </c>
      <c r="CB9" s="9">
        <f>IF(管理者入力シート!$B$14=1,CA6*管理者用人口入力シート!BC$3,IF(管理者入力シート!$B$14=2,CA6*管理者用人口入力シート!BC$7))</f>
        <v>212.37585151504399</v>
      </c>
      <c r="CC9" s="9">
        <f>IF(管理者入力シート!$B$14=1,CB6*管理者用人口入力シート!BD$3,IF(管理者入力シート!$B$14=2,CB6*管理者用人口入力シート!BD$7))</f>
        <v>61.842045388978697</v>
      </c>
      <c r="CD9" s="9">
        <f>IF(管理者入力シート!$B$14=1,CC6*管理者用人口入力シート!BE$3,IF(管理者入力シート!$B$14=2,CC6*管理者用人口入力シート!BE$7))</f>
        <v>20.891385600386357</v>
      </c>
      <c r="CE9" s="9">
        <f>IF(管理者入力シート!$B$14=1,CD6*管理者用人口入力シート!BF$3,IF(管理者入力シート!$B$14=2,CD6*管理者用人口入力シート!BF$7))</f>
        <v>4.6381589508057131</v>
      </c>
      <c r="CF9" s="9">
        <f t="shared" si="2"/>
        <v>6782.9675432779104</v>
      </c>
      <c r="CG9" s="9">
        <f t="shared" si="20"/>
        <v>512.44758217691367</v>
      </c>
      <c r="CH9" s="9">
        <f t="shared" si="21"/>
        <v>284.54375022480718</v>
      </c>
      <c r="CI9" s="9">
        <f t="shared" si="3"/>
        <v>1699.2288102909256</v>
      </c>
      <c r="CJ9" s="9">
        <f t="shared" si="22"/>
        <v>945.70467382472634</v>
      </c>
      <c r="CK9" s="13">
        <f t="shared" si="23"/>
        <v>0.25051407064079256</v>
      </c>
      <c r="CL9" s="13">
        <f t="shared" si="24"/>
        <v>0.13942344081565644</v>
      </c>
      <c r="CM9" s="9">
        <f t="shared" si="25"/>
        <v>1215.0866314631955</v>
      </c>
      <c r="CO9" s="7" t="str">
        <f t="shared" si="26"/>
        <v>2035_1</v>
      </c>
      <c r="CP9" s="28">
        <f>管理者入力シート!B10</f>
        <v>2035</v>
      </c>
      <c r="CQ9" s="3" t="s">
        <v>21</v>
      </c>
      <c r="CR9" s="9">
        <f>DT10*$AK$13+将来予測シート②!$G17</f>
        <v>357.1080751101818</v>
      </c>
      <c r="CS9" s="9">
        <f>IF(管理者入力シート!$B$14=1,CR6*管理者用人口入力シート!AM$3,IF(管理者入力シート!$B$14=2,CR6*管理者用人口入力シート!AM$7))+将来予測シート②!$G18</f>
        <v>392.96193774248053</v>
      </c>
      <c r="CT9" s="9">
        <f>IF(管理者入力シート!$B$14=1,CS6*管理者用人口入力シート!AN$3,IF(管理者入力シート!$B$14=2,CS6*管理者用人口入力シート!AN$7))+将来予測シート②!$G19</f>
        <v>465.9900148472006</v>
      </c>
      <c r="CU9" s="9">
        <f>IF(管理者入力シート!$B$14=1,CT6*管理者用人口入力シート!AO$3,IF(管理者入力シート!$B$14=2,CT6*管理者用人口入力シート!AO$7))+将来予測シート②!$G20</f>
        <v>496.33607209885417</v>
      </c>
      <c r="CV9" s="9">
        <f>IF(管理者入力シート!$B$14=1,CU6*管理者用人口入力シート!AP$3,IF(管理者入力シート!$B$14=2,CU6*管理者用人口入力シート!AP$7))+将来予測シート②!$G21</f>
        <v>263.67486817221192</v>
      </c>
      <c r="CW9" s="9">
        <f>IF(管理者入力シート!$B$14=1,CV6*管理者用人口入力シート!AQ$3,IF(管理者入力シート!$B$14=2,CV6*管理者用人口入力シート!AQ$7))+将来予測シート②!$G22</f>
        <v>299.20348768868229</v>
      </c>
      <c r="CX9" s="9">
        <f>IF(管理者入力シート!$B$14=1,CW6*管理者用人口入力シート!AR$3,IF(管理者入力シート!$B$14=2,CW6*管理者用人口入力シート!AR$7))+将来予測シート②!$G23</f>
        <v>315.27975279899948</v>
      </c>
      <c r="CY9" s="9">
        <f>IF(管理者入力シート!$B$14=1,CX6*管理者用人口入力シート!AS$3,IF(管理者入力シート!$B$14=2,CX6*管理者用人口入力シート!AS$7))+将来予測シート②!$G24</f>
        <v>344.30327102907569</v>
      </c>
      <c r="CZ9" s="9">
        <f>IF(管理者入力シート!$B$14=1,CY6*管理者用人口入力シート!AT$3,IF(管理者入力シート!$B$14=2,CY6*管理者用人口入力シート!AT$7))+将来予測シート②!$G25</f>
        <v>368.88101168928949</v>
      </c>
      <c r="DA9" s="9">
        <f>IF(管理者入力シート!$B$14=1,CZ6*管理者用人口入力シート!AU$3,IF(管理者入力シート!$B$14=2,CZ6*管理者用人口入力シート!AU$7))+将来予測シート②!$G26</f>
        <v>414.70663084767597</v>
      </c>
      <c r="DB9" s="9">
        <f>IF(管理者入力シート!$B$14=1,DA6*管理者用人口入力シート!AV$3,IF(管理者入力シート!$B$14=2,DA6*管理者用人口入力シート!AV$7))+将来予測シート②!$G27</f>
        <v>438.59325601282239</v>
      </c>
      <c r="DC9" s="9">
        <f>IF(管理者入力シート!$B$14=1,DB6*管理者用人口入力シート!AW$3,IF(管理者入力シート!$B$14=2,DB6*管理者用人口入力シート!AW$7))+将来予測シート②!$G28</f>
        <v>536.24494848660959</v>
      </c>
      <c r="DD9" s="9">
        <f>IF(管理者入力シート!$B$14=1,DC6*管理者用人口入力シート!AX$3,IF(管理者入力シート!$B$14=2,DC6*管理者用人口入力シート!AX$7))+将来予測シート②!$G29</f>
        <v>406.75728170900965</v>
      </c>
      <c r="DE9" s="9">
        <f>IF(管理者入力シート!$B$14=1,DD6*管理者用人口入力シート!AY$3,IF(管理者入力シート!$B$14=2,DD6*管理者用人口入力シート!AY$7))</f>
        <v>390.39957034855013</v>
      </c>
      <c r="DF9" s="9">
        <f>IF(管理者入力シート!$B$14=1,DE6*管理者用人口入力シート!AZ$3,IF(管理者入力シート!$B$14=2,DE6*管理者用人口入力シート!AZ$7))</f>
        <v>363.12456611764901</v>
      </c>
      <c r="DG9" s="9">
        <f>IF(管理者入力シート!$B$14=1,DF6*管理者用人口入力シート!BA$3,IF(管理者入力シート!$B$14=2,DF6*管理者用人口入力シート!BA$7))</f>
        <v>363.74201951713133</v>
      </c>
      <c r="DH9" s="9">
        <f>IF(管理者入力シート!$B$14=1,DG6*管理者用人口入力シート!BB$3,IF(管理者入力シート!$B$14=2,DG6*管理者用人口入力シート!BB$7))</f>
        <v>282.2152128523802</v>
      </c>
      <c r="DI9" s="9">
        <f>IF(管理者入力シート!$B$14=1,DH6*管理者用人口入力シート!BC$3,IF(管理者入力シート!$B$14=2,DH6*管理者用人口入力シート!BC$7))</f>
        <v>212.37585151504399</v>
      </c>
      <c r="DJ9" s="9">
        <f>IF(管理者入力シート!$B$14=1,DI6*管理者用人口入力シート!BD$3,IF(管理者入力シート!$B$14=2,DI6*管理者用人口入力シート!BD$7))</f>
        <v>61.842045388978697</v>
      </c>
      <c r="DK9" s="9">
        <f>IF(管理者入力シート!$B$14=1,DJ6*管理者用人口入力シート!BE$3,IF(管理者入力シート!$B$14=2,DJ6*管理者用人口入力シート!BE$7))</f>
        <v>20.891385600386357</v>
      </c>
      <c r="DL9" s="9">
        <f>IF(管理者入力シート!$B$14=1,DK6*管理者用人口入力シート!BF$3,IF(管理者入力シート!$B$14=2,DK6*管理者用人口入力シート!BF$7))</f>
        <v>4.6381589508057131</v>
      </c>
      <c r="DM9" s="9">
        <f t="shared" si="69"/>
        <v>6799.2694185240189</v>
      </c>
      <c r="DN9" s="9">
        <f t="shared" si="34"/>
        <v>515.37117155380861</v>
      </c>
      <c r="DO9" s="9">
        <f t="shared" si="35"/>
        <v>285.66322035865107</v>
      </c>
      <c r="DP9" s="9">
        <f t="shared" si="6"/>
        <v>1699.2288102909256</v>
      </c>
      <c r="DQ9" s="9">
        <f t="shared" si="36"/>
        <v>945.70467382472634</v>
      </c>
      <c r="DR9" s="13">
        <f t="shared" si="37"/>
        <v>0.24991344006188729</v>
      </c>
      <c r="DS9" s="13">
        <f t="shared" si="38"/>
        <v>0.13908916026304768</v>
      </c>
      <c r="DT9" s="9">
        <f t="shared" si="70"/>
        <v>1222.4613796889694</v>
      </c>
      <c r="DV9" s="7" t="s">
        <v>403</v>
      </c>
      <c r="DW9" s="210">
        <f>DW7+DW8</f>
        <v>-262.31233346060367</v>
      </c>
      <c r="DX9" s="28">
        <f>管理者入力シート!B10</f>
        <v>2035</v>
      </c>
      <c r="DY9" s="3" t="s">
        <v>21</v>
      </c>
      <c r="DZ9" s="9">
        <f>FB10*$AK$13</f>
        <v>443.93010034469069</v>
      </c>
      <c r="EA9" s="129">
        <f>IF(管理者入力シート!$B$14=1,DZ6*管理者用人口入力シート!AM$3,IF(管理者入力シート!$B$14=2,DZ6*管理者用人口入力シート!AM$7))</f>
        <v>474.64487726714839</v>
      </c>
      <c r="EB9" s="9">
        <f>IF(管理者入力シート!$B$14=1,EA6*管理者用人口入力シート!AN$3,IF(管理者入力シート!$B$14=2,EA6*管理者用人口入力シート!AN$7))</f>
        <v>463.68057904873353</v>
      </c>
      <c r="EC9" s="9">
        <f>IF(管理者入力シート!$B$14=1,EB6*管理者用人口入力シート!AO$3,IF(管理者入力シート!$B$14=2,EB6*管理者用人口入力シート!AO$7))</f>
        <v>495.35759302656885</v>
      </c>
      <c r="ED9" s="9">
        <f>IF(管理者入力シート!$B$14=1,EC6*管理者用人口入力シート!AP$3,IF(管理者入力シート!$B$14=2,EC6*管理者用人口入力シート!AP$7))</f>
        <v>263.18637154516102</v>
      </c>
      <c r="EE9" s="9">
        <f>IF(管理者入力シート!$B$14=1,ED6*管理者用人口入力シート!AQ$3,IF(管理者入力シート!$B$14=2,ED6*管理者用人口入力シート!AQ$7))+DX1</f>
        <v>346.20348768868229</v>
      </c>
      <c r="EF9" s="9">
        <f>IF(管理者入力シート!$B$14=1,EE6*管理者用人口入力シート!AR$3,IF(管理者入力シート!$B$14=2,EE6*管理者用人口入力シート!AR$7))+DX1</f>
        <v>417.99139790561861</v>
      </c>
      <c r="EG9" s="9">
        <f>IF(管理者入力シート!$B$14=1,EF6*管理者用人口入力シート!AS$3,IF(管理者入力シート!$B$14=2,EF6*管理者用人口入力シート!AS$7))+DX1</f>
        <v>510.17270688107965</v>
      </c>
      <c r="EH9" s="9">
        <f>IF(管理者入力シート!$B$14=1,EG6*管理者用人口入力シート!AT$3,IF(管理者入力シート!$B$14=2,EG6*管理者用人口入力シート!AT$7))</f>
        <v>480.54836048944276</v>
      </c>
      <c r="EI9" s="9">
        <f>IF(管理者入力シート!$B$14=1,EH6*管理者用人口入力シート!AU$3,IF(管理者入力シート!$B$14=2,EH6*管理者用人口入力シート!AU$7))</f>
        <v>468.11912368043733</v>
      </c>
      <c r="EJ9" s="9">
        <f>IF(管理者入力シート!$B$14=1,EI6*管理者用人口入力シート!AV$3,IF(管理者入力シート!$B$14=2,EI6*管理者用人口入力シート!AV$7))</f>
        <v>438.59325601282239</v>
      </c>
      <c r="EK9" s="9">
        <f>IF(管理者入力シート!$B$14=1,EJ6*管理者用人口入力シート!AW$3,IF(管理者入力シート!$B$14=2,EJ6*管理者用人口入力シート!AW$7))</f>
        <v>536.24494848660959</v>
      </c>
      <c r="EL9" s="9">
        <f>IF(管理者入力シート!$B$14=1,EK6*管理者用人口入力シート!AX$3,IF(管理者入力シート!$B$14=2,EK6*管理者用人口入力シート!AX$7))</f>
        <v>406.75728170900965</v>
      </c>
      <c r="EM9" s="9">
        <f>IF(管理者入力シート!$B$14=1,EL6*管理者用人口入力シート!AY$3,IF(管理者入力シート!$B$14=2,EL6*管理者用人口入力シート!AY$7))</f>
        <v>390.39957034855013</v>
      </c>
      <c r="EN9" s="9">
        <f>IF(管理者入力シート!$B$14=1,EM6*管理者用人口入力シート!AZ$3,IF(管理者入力シート!$B$14=2,EM6*管理者用人口入力シート!AZ$7))</f>
        <v>363.12456611764901</v>
      </c>
      <c r="EO9" s="9">
        <f>IF(管理者入力シート!$B$14=1,EN6*管理者用人口入力シート!BA$3,IF(管理者入力シート!$B$14=2,EN6*管理者用人口入力シート!BA$7))</f>
        <v>363.74201951713133</v>
      </c>
      <c r="EP9" s="9">
        <f>IF(管理者入力シート!$B$14=1,EO6*管理者用人口入力シート!BB$3,IF(管理者入力シート!$B$14=2,EO6*管理者用人口入力シート!BB$7))</f>
        <v>282.2152128523802</v>
      </c>
      <c r="EQ9" s="9">
        <f>IF(管理者入力シート!$B$14=1,EP6*管理者用人口入力シート!BC$3,IF(管理者入力シート!$B$14=2,EP6*管理者用人口入力シート!BC$7))</f>
        <v>212.37585151504399</v>
      </c>
      <c r="ER9" s="9">
        <f>IF(管理者入力シート!$B$14=1,EQ6*管理者用人口入力シート!BD$3,IF(管理者入力シート!$B$14=2,EQ6*管理者用人口入力シート!BD$7))</f>
        <v>61.842045388978697</v>
      </c>
      <c r="ES9" s="9">
        <f>IF(管理者入力シート!$B$14=1,ER6*管理者用人口入力シート!BE$3,IF(管理者入力シート!$B$14=2,ER6*管理者用人口入力シート!BE$7))</f>
        <v>20.891385600386357</v>
      </c>
      <c r="ET9" s="9">
        <f>IF(管理者入力シート!$B$14=1,ES6*管理者用人口入力シート!BF$3,IF(管理者入力シート!$B$14=2,ES6*管理者用人口入力シート!BF$7))</f>
        <v>4.6381589508057131</v>
      </c>
      <c r="EU9" s="9">
        <f t="shared" si="71"/>
        <v>7444.6588943769293</v>
      </c>
      <c r="EV9" s="9">
        <f t="shared" si="41"/>
        <v>562.99527378952916</v>
      </c>
      <c r="EW9" s="9">
        <f t="shared" si="42"/>
        <v>284.54375022480718</v>
      </c>
      <c r="EX9" s="9">
        <f t="shared" si="10"/>
        <v>1699.2288102909256</v>
      </c>
      <c r="EY9" s="9">
        <f t="shared" si="43"/>
        <v>945.70467382472634</v>
      </c>
      <c r="EZ9" s="13">
        <f t="shared" si="44"/>
        <v>0.22824804123320955</v>
      </c>
      <c r="FA9" s="13">
        <f t="shared" si="45"/>
        <v>0.12703129683201903</v>
      </c>
      <c r="FB9" s="9">
        <f t="shared" si="72"/>
        <v>1537.5539640205416</v>
      </c>
    </row>
    <row r="10" spans="1:158" x14ac:dyDescent="0.15">
      <c r="A10" s="7" t="str">
        <f t="shared" si="11"/>
        <v>2015_2</v>
      </c>
      <c r="B10" s="29">
        <v>2015</v>
      </c>
      <c r="C10" s="4" t="s">
        <v>22</v>
      </c>
      <c r="D10" s="10">
        <v>399.78366122102477</v>
      </c>
      <c r="E10" s="10">
        <v>458.90629715317647</v>
      </c>
      <c r="F10" s="10">
        <v>457.8846540377445</v>
      </c>
      <c r="G10" s="10">
        <v>352.68535529394296</v>
      </c>
      <c r="H10" s="10">
        <v>225.43387718562337</v>
      </c>
      <c r="I10" s="10">
        <v>355.68531119928491</v>
      </c>
      <c r="J10" s="10">
        <v>447.87350263805655</v>
      </c>
      <c r="K10" s="10">
        <v>523.02186020366423</v>
      </c>
      <c r="L10" s="10">
        <v>477.92382118550455</v>
      </c>
      <c r="M10" s="10">
        <v>459.89303330702654</v>
      </c>
      <c r="N10" s="10">
        <v>464.89180627277068</v>
      </c>
      <c r="O10" s="10">
        <v>481.87959425315262</v>
      </c>
      <c r="P10" s="10">
        <v>526.97112598802232</v>
      </c>
      <c r="Q10" s="10">
        <v>462.85825568087068</v>
      </c>
      <c r="R10" s="10">
        <v>335.63128746813516</v>
      </c>
      <c r="S10" s="10">
        <v>287.50811123200731</v>
      </c>
      <c r="T10" s="10">
        <v>298.56465895919928</v>
      </c>
      <c r="U10" s="10">
        <v>204.37182459179149</v>
      </c>
      <c r="V10" s="10">
        <v>86.172151932637775</v>
      </c>
      <c r="W10" s="10">
        <v>28.055614092865916</v>
      </c>
      <c r="X10" s="10">
        <v>3.00419610349799</v>
      </c>
      <c r="Y10" s="10">
        <f t="shared" si="68"/>
        <v>7339</v>
      </c>
      <c r="Z10" s="10">
        <f t="shared" si="12"/>
        <v>550.07457071455258</v>
      </c>
      <c r="AA10" s="10">
        <f t="shared" si="13"/>
        <v>253.69093267388641</v>
      </c>
      <c r="AB10" s="10">
        <f t="shared" si="0"/>
        <v>1706.1661000610054</v>
      </c>
      <c r="AC10" s="10">
        <f t="shared" si="14"/>
        <v>907.6765569119998</v>
      </c>
      <c r="AD10" s="14">
        <f t="shared" si="15"/>
        <v>0.23247937049475478</v>
      </c>
      <c r="AE10" s="14">
        <f t="shared" si="16"/>
        <v>0.12367850618776398</v>
      </c>
      <c r="AF10" s="10">
        <f t="shared" si="17"/>
        <v>1552.014551226629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306.10536369556939</v>
      </c>
      <c r="BL10" s="10">
        <f>IF(管理者入力シート!$B$14=1,BK7*管理者用人口入力シート!AM$4,IF(管理者入力シート!$B$14=2,BK7*管理者用人口入力シート!AM$8))</f>
        <v>314.66442794190698</v>
      </c>
      <c r="BM10" s="10">
        <f>IF(管理者入力シート!$B$14=1,BL7*管理者用人口入力シート!AN$4,IF(管理者入力シート!$B$14=2,BL7*管理者用人口入力シート!AN$8))</f>
        <v>362.46216312713148</v>
      </c>
      <c r="BN10" s="10">
        <f>IF(管理者入力シート!$B$14=1,BM7*管理者用人口入力シート!AO$4,IF(管理者入力シート!$B$14=2,BM7*管理者用人口入力シート!AO$8))</f>
        <v>364.20740134477427</v>
      </c>
      <c r="BO10" s="10">
        <f>IF(管理者入力シート!$B$14=1,BN7*管理者用人口入力シート!AP$4,IF(管理者入力シート!$B$14=2,BN7*管理者用人口入力シート!AP$8))</f>
        <v>269.10997899497619</v>
      </c>
      <c r="BP10" s="10">
        <f>IF(管理者入力シート!$B$14=1,BO7*管理者用人口入力シート!AQ$4,IF(管理者入力シート!$B$14=2,BO7*管理者用人口入力シート!AQ$8))</f>
        <v>320.09468569475507</v>
      </c>
      <c r="BQ10" s="10">
        <f>IF(管理者入力シート!$B$14=1,BP7*管理者用人口入力シート!AR$4,IF(管理者入力シート!$B$14=2,BP7*管理者用人口入力シート!AR$8))</f>
        <v>334.91846902217094</v>
      </c>
      <c r="BR10" s="10">
        <f>IF(管理者入力シート!$B$14=1,BQ7*管理者用人口入力シート!AS$4,IF(管理者入力シート!$B$14=2,BQ7*管理者用人口入力シート!AS$8))</f>
        <v>316.81777729280412</v>
      </c>
      <c r="BS10" s="10">
        <f>IF(管理者入力シート!$B$14=1,BR7*管理者用人口入力シート!AT$4,IF(管理者入力シート!$B$14=2,BR7*管理者用人口入力シート!AT$8))</f>
        <v>327.95256540541487</v>
      </c>
      <c r="BT10" s="10">
        <f>IF(管理者入力シート!$B$14=1,BS7*管理者用人口入力シート!AU$4,IF(管理者入力シート!$B$14=2,BS7*管理者用人口入力シート!AU$8))</f>
        <v>444.24010919548215</v>
      </c>
      <c r="BU10" s="10">
        <f>IF(管理者入力シート!$B$14=1,BT7*管理者用人口入力シート!AV$4,IF(管理者入力シート!$B$14=2,BT7*管理者用人口入力シート!AV$8))</f>
        <v>466.94180498097586</v>
      </c>
      <c r="BV10" s="10">
        <f>IF(管理者入力シート!$B$14=1,BU7*管理者用人口入力シート!AW$4,IF(管理者入力シート!$B$14=2,BU7*管理者用人口入力シート!AW$8))</f>
        <v>519.61874964725951</v>
      </c>
      <c r="BW10" s="10">
        <f>IF(管理者入力シート!$B$14=1,BV7*管理者用人口入力シート!AX$4,IF(管理者入力シート!$B$14=2,BV7*管理者用人口入力シート!AX$8))</f>
        <v>458.47684028976965</v>
      </c>
      <c r="BX10" s="10">
        <f>IF(管理者入力シート!$B$14=1,BW7*管理者用人口入力シート!AY$4,IF(管理者入力シート!$B$14=2,BW7*管理者用人口入力シート!AY$8))</f>
        <v>447.77028187432302</v>
      </c>
      <c r="BY10" s="10">
        <f>IF(管理者入力シート!$B$14=1,BX7*管理者用人口入力シート!AZ$4,IF(管理者入力シート!$B$14=2,BX7*管理者用人口入力シート!AZ$8))</f>
        <v>458.47738949117098</v>
      </c>
      <c r="BZ10" s="10">
        <f>IF(管理者入力シート!$B$14=1,BY7*管理者用人口入力シート!BA$4,IF(管理者入力シート!$B$14=2,BY7*管理者用人口入力シート!BA$8))</f>
        <v>466.58676400963378</v>
      </c>
      <c r="CA10" s="10">
        <f>IF(管理者入力シート!$B$14=1,BZ7*管理者用人口入力シート!BB$4,IF(管理者入力シート!$B$14=2,BZ7*管理者用人口入力シート!BB$8))</f>
        <v>478.44507023157001</v>
      </c>
      <c r="CB10" s="10">
        <f>IF(管理者入力シート!$B$14=1,CA7*管理者用人口入力シート!BC$4,IF(管理者入力シート!$B$14=2,CA7*管理者用人口入力シート!BC$8))</f>
        <v>353.02651090661652</v>
      </c>
      <c r="CC10" s="10">
        <f>IF(管理者入力シート!$B$14=1,CB7*管理者用人口入力シート!BD$4,IF(管理者入力シート!$B$14=2,CB7*管理者用人口入力シート!BD$8))</f>
        <v>185.24425401061183</v>
      </c>
      <c r="CD10" s="10">
        <f>IF(管理者入力シート!$B$14=1,CC7*管理者用人口入力シート!BE$4,IF(管理者入力シート!$B$14=2,CC7*管理者用人口入力シート!BE$8))</f>
        <v>74.583606643310574</v>
      </c>
      <c r="CE10" s="10">
        <f>IF(管理者入力シート!$B$14=1,CD7*管理者用人口入力シート!BF$4,IF(管理者入力シート!$B$14=2,CD7*管理者用人口入力シート!BF$8))</f>
        <v>11.95589082270031</v>
      </c>
      <c r="CF10" s="10">
        <f t="shared" si="2"/>
        <v>7281.7001046229288</v>
      </c>
      <c r="CG10" s="10">
        <f t="shared" si="20"/>
        <v>406.27595464142303</v>
      </c>
      <c r="CH10" s="10">
        <f t="shared" si="21"/>
        <v>217.82634551980743</v>
      </c>
      <c r="CI10" s="10">
        <f t="shared" si="3"/>
        <v>2476.0897679899372</v>
      </c>
      <c r="CJ10" s="10">
        <f t="shared" si="22"/>
        <v>1569.842096624443</v>
      </c>
      <c r="CK10" s="14">
        <f t="shared" si="23"/>
        <v>0.34004281038956047</v>
      </c>
      <c r="CL10" s="14">
        <f t="shared" si="24"/>
        <v>0.21558730434775777</v>
      </c>
      <c r="CM10" s="10">
        <f t="shared" si="25"/>
        <v>1240.9409110047063</v>
      </c>
      <c r="CO10" s="7" t="str">
        <f t="shared" si="26"/>
        <v>2035_2</v>
      </c>
      <c r="CP10" s="29">
        <f>CP9</f>
        <v>2035</v>
      </c>
      <c r="CQ10" s="4" t="s">
        <v>22</v>
      </c>
      <c r="CR10" s="10">
        <f>DT10*$AK$14+将来予測シート②!$H17</f>
        <v>308.90032654687246</v>
      </c>
      <c r="CS10" s="10">
        <f>IF(管理者入力シート!$B$14=1,CR7*管理者用人口入力シート!AM$4,IF(管理者入力シート!$B$14=2,CR7*管理者用人口入力シート!AM$8))+将来予測シート②!$H18</f>
        <v>316.87636461585265</v>
      </c>
      <c r="CT10" s="10">
        <f>IF(管理者入力シート!$B$14=1,CS7*管理者用人口入力シート!AN$4,IF(管理者入力シート!$B$14=2,CS7*管理者用人口入力シート!AN$8))+将来予測シート②!$H19</f>
        <v>364.64602123816974</v>
      </c>
      <c r="CU10" s="10">
        <f>IF(管理者入力シート!$B$14=1,CT7*管理者用人口入力シート!AO$4,IF(管理者入力シート!$B$14=2,CT7*管理者用人口入力シート!AO$8))+将来予測シート②!$H20</f>
        <v>365.12771891279397</v>
      </c>
      <c r="CV10" s="10">
        <f>IF(管理者入力シート!$B$14=1,CU7*管理者用人口入力シート!AP$4,IF(管理者入力シート!$B$14=2,CU7*管理者用人口入力シート!AP$8))+将来予測シート②!$H21</f>
        <v>269.6831667390374</v>
      </c>
      <c r="CW10" s="10">
        <f>IF(管理者入力シート!$B$14=1,CV7*管理者用人口入力シート!AQ$4,IF(管理者入力シート!$B$14=2,CV7*管理者用人口入力シート!AQ$8))+将来予測シート②!$H22</f>
        <v>322.09468569475507</v>
      </c>
      <c r="CX10" s="10">
        <f>IF(管理者入力シート!$B$14=1,CW7*管理者用人口入力シート!AR$4,IF(管理者入力シート!$B$14=2,CW7*管理者用人口入力シート!AR$8))+将来予測シート②!$H23</f>
        <v>337.18087222359327</v>
      </c>
      <c r="CY10" s="10">
        <f>IF(管理者入力シート!$B$14=1,CX7*管理者用人口入力シート!AS$4,IF(管理者入力シート!$B$14=2,CX7*管理者用人口入力シート!AS$8))+将来予測シート②!$H24</f>
        <v>319.25890573904883</v>
      </c>
      <c r="CZ10" s="10">
        <f>IF(管理者入力シート!$B$14=1,CY7*管理者用人口入力シート!AT$4,IF(管理者入力シート!$B$14=2,CY7*管理者用人口入力シート!AT$8))+将来予測シート②!$H25</f>
        <v>328.95256540541487</v>
      </c>
      <c r="DA10" s="10">
        <f>IF(管理者入力シート!$B$14=1,CZ7*管理者用人口入力シート!AU$4,IF(管理者入力シート!$B$14=2,CZ7*管理者用人口入力シート!AU$8))+将来予測シート②!$H26</f>
        <v>445.22685252679292</v>
      </c>
      <c r="DB10" s="10">
        <f>IF(管理者入力シート!$B$14=1,DA7*管理者用人口入力シート!AV$4,IF(管理者入力シート!$B$14=2,DA7*管理者用人口入力シート!AV$8))+将来予測シート②!$H27</f>
        <v>467.89402443677039</v>
      </c>
      <c r="DC10" s="10">
        <f>IF(管理者入力シート!$B$14=1,DB7*管理者用人口入力シート!AW$4,IF(管理者入力シート!$B$14=2,DB7*管理者用人口入力シート!AW$8))+将来予測シート②!$H28</f>
        <v>519.61874964725951</v>
      </c>
      <c r="DD10" s="10">
        <f>IF(管理者入力シート!$B$14=1,DC7*管理者用人口入力シート!AX$4,IF(管理者入力シート!$B$14=2,DC7*管理者用人口入力シート!AX$8))+将来予測シート②!$H29</f>
        <v>458.47684028976965</v>
      </c>
      <c r="DE10" s="10">
        <f>IF(管理者入力シート!$B$14=1,DD7*管理者用人口入力シート!AY$4,IF(管理者入力シート!$B$14=2,DD7*管理者用人口入力シート!AY$8))</f>
        <v>447.77028187432302</v>
      </c>
      <c r="DF10" s="10">
        <f>IF(管理者入力シート!$B$14=1,DE7*管理者用人口入力シート!AZ$4,IF(管理者入力シート!$B$14=2,DE7*管理者用人口入力シート!AZ$8))</f>
        <v>458.47738949117098</v>
      </c>
      <c r="DG10" s="10">
        <f>IF(管理者入力シート!$B$14=1,DF7*管理者用人口入力シート!BA$4,IF(管理者入力シート!$B$14=2,DF7*管理者用人口入力シート!BA$8))</f>
        <v>466.58676400963378</v>
      </c>
      <c r="DH10" s="10">
        <f>IF(管理者入力シート!$B$14=1,DG7*管理者用人口入力シート!BB$4,IF(管理者入力シート!$B$14=2,DG7*管理者用人口入力シート!BB$8))</f>
        <v>478.44507023157001</v>
      </c>
      <c r="DI10" s="10">
        <f>IF(管理者入力シート!$B$14=1,DH7*管理者用人口入力シート!BC$4,IF(管理者入力シート!$B$14=2,DH7*管理者用人口入力シート!BC$8))</f>
        <v>353.02651090661652</v>
      </c>
      <c r="DJ10" s="10">
        <f>IF(管理者入力シート!$B$14=1,DI7*管理者用人口入力シート!BD$4,IF(管理者入力シート!$B$14=2,DI7*管理者用人口入力シート!BD$8))</f>
        <v>185.24425401061183</v>
      </c>
      <c r="DK10" s="10">
        <f>IF(管理者入力シート!$B$14=1,DJ7*管理者用人口入力シート!BE$4,IF(管理者入力シート!$B$14=2,DJ7*管理者用人口入力シート!BE$8))</f>
        <v>74.583606643310574</v>
      </c>
      <c r="DL10" s="10">
        <f>IF(管理者入力シート!$B$14=1,DK7*管理者用人口入力シート!BF$4,IF(管理者入力シート!$B$14=2,DK7*管理者用人口入力シート!BF$8))</f>
        <v>11.95589082270031</v>
      </c>
      <c r="DM10" s="10">
        <f t="shared" si="69"/>
        <v>7300.0268620060679</v>
      </c>
      <c r="DN10" s="10">
        <f t="shared" si="34"/>
        <v>408.91343151241335</v>
      </c>
      <c r="DO10" s="10">
        <f t="shared" si="35"/>
        <v>218.88395227782669</v>
      </c>
      <c r="DP10" s="10">
        <f t="shared" si="6"/>
        <v>2476.0897679899372</v>
      </c>
      <c r="DQ10" s="10">
        <f t="shared" si="36"/>
        <v>1569.842096624443</v>
      </c>
      <c r="DR10" s="14">
        <f t="shared" si="37"/>
        <v>0.33918913105334803</v>
      </c>
      <c r="DS10" s="14">
        <f t="shared" si="38"/>
        <v>0.21504607124048938</v>
      </c>
      <c r="DT10" s="10">
        <f t="shared" si="70"/>
        <v>1248.2176303964347</v>
      </c>
      <c r="DV10" s="62" t="s">
        <v>405</v>
      </c>
      <c r="DW10" s="210">
        <f>((SUM(BL12:BL13)*3/5+SUM(BM12:BM13)+SUM(BN12:BN13)*1/5)-(SUM(E12:E13)*3/5+SUM(F12:F13)+SUM(G12:G13)*1/5))/4</f>
        <v>-78.722121346857648</v>
      </c>
      <c r="DX10" s="29">
        <f>DX9</f>
        <v>2035</v>
      </c>
      <c r="DY10" s="4" t="s">
        <v>22</v>
      </c>
      <c r="DZ10" s="10">
        <f>FB10*$AK$14</f>
        <v>383.83353934848191</v>
      </c>
      <c r="EA10" s="10">
        <f>IF(管理者入力シート!$B$14=1,DZ7*管理者用人口入力シート!AM$4,IF(管理者入力シート!$B$14=2,DZ7*管理者用人口入力シート!AM$8))</f>
        <v>382.56748646325718</v>
      </c>
      <c r="EB10" s="10">
        <f>IF(管理者入力シート!$B$14=1,EA7*管理者用人口入力シート!AN$4,IF(管理者入力シート!$B$14=2,EA7*管理者用人口入力シート!AN$8))</f>
        <v>362.46216312713148</v>
      </c>
      <c r="EC10" s="10">
        <f>IF(管理者入力シート!$B$14=1,EB7*管理者用人口入力シート!AO$4,IF(管理者入力シート!$B$14=2,EB7*管理者用人口入力シート!AO$8))</f>
        <v>364.20740134477427</v>
      </c>
      <c r="ED10" s="10">
        <f>IF(管理者入力シート!$B$14=1,EC7*管理者用人口入力シート!AP$4,IF(管理者入力シート!$B$14=2,EC7*管理者用人口入力シート!AP$8))</f>
        <v>269.10997899497619</v>
      </c>
      <c r="EE10" s="10">
        <f>IF(管理者入力シート!$B$14=1,ED7*管理者用人口入力シート!AQ$4,IF(管理者入力シート!$B$14=2,ED7*管理者用人口入力シート!AQ$8))+DX1</f>
        <v>369.09468569475507</v>
      </c>
      <c r="EF10" s="10">
        <f>IF(管理者入力シート!$B$14=1,EE7*管理者用人口入力シート!AR$4,IF(管理者入力シート!$B$14=2,EE7*管理者用人口入力シート!AR$8))+DX1</f>
        <v>439.34734745701752</v>
      </c>
      <c r="EG10" s="10">
        <f>IF(管理者入力シート!$B$14=1,EF7*管理者用人口入力シート!AS$4,IF(管理者入力シート!$B$14=2,EF7*管理者用人口入力シート!AS$8))+DX1</f>
        <v>478.49632442201079</v>
      </c>
      <c r="EH10" s="10">
        <f>IF(管理者入力シート!$B$14=1,EG7*管理者用人口入力シート!AT$4,IF(管理者入力シート!$B$14=2,EG7*管理者用人口入力シート!AT$8))</f>
        <v>434.06308061273779</v>
      </c>
      <c r="EI10" s="10">
        <f>IF(管理者入力シート!$B$14=1,EH7*管理者用人口入力シート!AU$4,IF(管理者入力シート!$B$14=2,EH7*管理者用人口入力シート!AU$8))</f>
        <v>494.60275750814469</v>
      </c>
      <c r="EJ10" s="10">
        <f>IF(管理者入力シート!$B$14=1,EI7*管理者用人口入力シート!AV$4,IF(管理者入力シート!$B$14=2,EI7*管理者用人口入力シート!AV$8))</f>
        <v>466.94180498097586</v>
      </c>
      <c r="EK10" s="10">
        <f>IF(管理者入力シート!$B$14=1,EJ7*管理者用人口入力シート!AW$4,IF(管理者入力シート!$B$14=2,EJ7*管理者用人口入力シート!AW$8))</f>
        <v>519.61874964725951</v>
      </c>
      <c r="EL10" s="10">
        <f>IF(管理者入力シート!$B$14=1,EK7*管理者用人口入力シート!AX$4,IF(管理者入力シート!$B$14=2,EK7*管理者用人口入力シート!AX$8))</f>
        <v>458.47684028976965</v>
      </c>
      <c r="EM10" s="10">
        <f>IF(管理者入力シート!$B$14=1,EL7*管理者用人口入力シート!AY$4,IF(管理者入力シート!$B$14=2,EL7*管理者用人口入力シート!AY$8))</f>
        <v>447.77028187432302</v>
      </c>
      <c r="EN10" s="10">
        <f>IF(管理者入力シート!$B$14=1,EM7*管理者用人口入力シート!AZ$4,IF(管理者入力シート!$B$14=2,EM7*管理者用人口入力シート!AZ$8))</f>
        <v>458.47738949117098</v>
      </c>
      <c r="EO10" s="10">
        <f>IF(管理者入力シート!$B$14=1,EN7*管理者用人口入力シート!BA$4,IF(管理者入力シート!$B$14=2,EN7*管理者用人口入力シート!BA$8))</f>
        <v>466.58676400963378</v>
      </c>
      <c r="EP10" s="10">
        <f>IF(管理者入力シート!$B$14=1,EO7*管理者用人口入力シート!BB$4,IF(管理者入力シート!$B$14=2,EO7*管理者用人口入力シート!BB$8))</f>
        <v>478.44507023157001</v>
      </c>
      <c r="EQ10" s="10">
        <f>IF(管理者入力シート!$B$14=1,EP7*管理者用人口入力シート!BC$4,IF(管理者入力シート!$B$14=2,EP7*管理者用人口入力シート!BC$8))</f>
        <v>353.02651090661652</v>
      </c>
      <c r="ER10" s="10">
        <f>IF(管理者入力シート!$B$14=1,EQ7*管理者用人口入力シート!BD$4,IF(管理者入力シート!$B$14=2,EQ7*管理者用人口入力シート!BD$8))</f>
        <v>185.24425401061183</v>
      </c>
      <c r="ES10" s="10">
        <f>IF(管理者入力シート!$B$14=1,ER7*管理者用人口入力シート!BE$4,IF(管理者入力シート!$B$14=2,ER7*管理者用人口入力シート!BE$8))</f>
        <v>74.583606643310574</v>
      </c>
      <c r="ET10" s="10">
        <f>IF(管理者入力シート!$B$14=1,ES7*管理者用人口入力シート!BF$4,IF(管理者入力シート!$B$14=2,ES7*管理者用人口入力シート!BF$8))</f>
        <v>11.95589082270031</v>
      </c>
      <c r="EU10" s="10">
        <f t="shared" si="71"/>
        <v>7898.9119278812295</v>
      </c>
      <c r="EV10" s="10">
        <f t="shared" si="41"/>
        <v>447.01778975423315</v>
      </c>
      <c r="EW10" s="10">
        <f t="shared" si="42"/>
        <v>217.82634551980743</v>
      </c>
      <c r="EX10" s="10">
        <f t="shared" si="10"/>
        <v>2476.0897679899372</v>
      </c>
      <c r="EY10" s="10">
        <f t="shared" si="43"/>
        <v>1569.842096624443</v>
      </c>
      <c r="EZ10" s="14">
        <f t="shared" si="44"/>
        <v>0.31347225929307365</v>
      </c>
      <c r="FA10" s="14">
        <f t="shared" si="45"/>
        <v>0.19874156225027448</v>
      </c>
      <c r="FB10" s="10">
        <f t="shared" si="72"/>
        <v>1556.0483365687596</v>
      </c>
    </row>
    <row r="11" spans="1:158" x14ac:dyDescent="0.15">
      <c r="A11" s="7" t="str">
        <f t="shared" si="11"/>
        <v>2015_3</v>
      </c>
      <c r="B11" s="30">
        <v>2015</v>
      </c>
      <c r="C11" s="5" t="s">
        <v>23</v>
      </c>
      <c r="D11" s="11">
        <v>802.90449306544224</v>
      </c>
      <c r="E11" s="11">
        <v>917.0764973606922</v>
      </c>
      <c r="F11" s="11">
        <v>934.11700520640102</v>
      </c>
      <c r="G11" s="11">
        <v>807.11807797478309</v>
      </c>
      <c r="H11" s="11">
        <v>473.12774700063056</v>
      </c>
      <c r="I11" s="11">
        <v>645.51691675324287</v>
      </c>
      <c r="J11" s="11">
        <v>813.81337900515473</v>
      </c>
      <c r="K11" s="11">
        <v>1025.3591284758957</v>
      </c>
      <c r="L11" s="11">
        <v>896.01174775603818</v>
      </c>
      <c r="M11" s="11">
        <v>870.04287449839921</v>
      </c>
      <c r="N11" s="11">
        <v>870.01226154768506</v>
      </c>
      <c r="O11" s="11">
        <v>923.12720140263605</v>
      </c>
      <c r="P11" s="11">
        <v>957.10646105948797</v>
      </c>
      <c r="Q11" s="11">
        <v>934.11218183924041</v>
      </c>
      <c r="R11" s="11">
        <v>611.41060530943128</v>
      </c>
      <c r="S11" s="11">
        <v>509.13879702495638</v>
      </c>
      <c r="T11" s="11">
        <v>471.03369903824444</v>
      </c>
      <c r="U11" s="11">
        <v>298.63342682003974</v>
      </c>
      <c r="V11" s="11">
        <v>117.25637833912201</v>
      </c>
      <c r="W11" s="11">
        <v>33.072627040379651</v>
      </c>
      <c r="X11" s="11">
        <v>4.0084934820970446</v>
      </c>
      <c r="Y11" s="11">
        <f t="shared" si="68"/>
        <v>13913.999999999996</v>
      </c>
      <c r="Z11" s="11">
        <f t="shared" si="12"/>
        <v>1110.716101540256</v>
      </c>
      <c r="AA11" s="11">
        <f t="shared" si="13"/>
        <v>535.07041767751707</v>
      </c>
      <c r="AB11" s="11">
        <f t="shared" si="0"/>
        <v>2978.6662088935113</v>
      </c>
      <c r="AC11" s="11">
        <f t="shared" si="14"/>
        <v>1433.1434217448393</v>
      </c>
      <c r="AD11" s="15">
        <f t="shared" si="15"/>
        <v>0.21407691597624781</v>
      </c>
      <c r="AE11" s="15">
        <f t="shared" si="16"/>
        <v>0.10300010218088541</v>
      </c>
      <c r="AF11" s="11">
        <f t="shared" si="17"/>
        <v>2957.817171234924</v>
      </c>
      <c r="BH11" s="7" t="str">
        <f t="shared" si="19"/>
        <v>2035_3</v>
      </c>
      <c r="BI11" s="30">
        <f>BI10</f>
        <v>2035</v>
      </c>
      <c r="BJ11" s="5" t="s">
        <v>23</v>
      </c>
      <c r="BK11" s="16">
        <f>BK9+BK10</f>
        <v>660.13743981919436</v>
      </c>
      <c r="BL11" s="16">
        <f t="shared" ref="BL11" si="117">BL9+BL10</f>
        <v>705.06315252136301</v>
      </c>
      <c r="BM11" s="16">
        <f t="shared" ref="BM11" si="118">BM9+BM10</f>
        <v>826.14274217586501</v>
      </c>
      <c r="BN11" s="16">
        <f t="shared" ref="BN11" si="119">BN9+BN10</f>
        <v>859.56499437134312</v>
      </c>
      <c r="BO11" s="16">
        <f t="shared" ref="BO11" si="120">BO9+BO10</f>
        <v>532.29635054013715</v>
      </c>
      <c r="BP11" s="16">
        <f t="shared" ref="BP11" si="121">BP9+BP10</f>
        <v>617.29817338343742</v>
      </c>
      <c r="BQ11" s="16">
        <f t="shared" ref="BQ11" si="122">BQ9+BQ10</f>
        <v>647.91261990173984</v>
      </c>
      <c r="BR11" s="16">
        <f t="shared" ref="BR11" si="123">BR9+BR10</f>
        <v>658.52039864258745</v>
      </c>
      <c r="BS11" s="16">
        <f t="shared" ref="BS11" si="124">BS9+BS10</f>
        <v>696.83357709470442</v>
      </c>
      <c r="BT11" s="16">
        <f t="shared" ref="BT11" si="125">BT9+BT10</f>
        <v>858.94674004315812</v>
      </c>
      <c r="BU11" s="16">
        <f t="shared" ref="BU11" si="126">BU9+BU10</f>
        <v>905.5350609937982</v>
      </c>
      <c r="BV11" s="16">
        <f t="shared" ref="BV11" si="127">BV9+BV10</f>
        <v>1055.8636981338691</v>
      </c>
      <c r="BW11" s="16">
        <f t="shared" ref="BW11" si="128">BW9+BW10</f>
        <v>865.2341219987793</v>
      </c>
      <c r="BX11" s="16">
        <f t="shared" ref="BX11" si="129">BX9+BX10</f>
        <v>838.16985222287315</v>
      </c>
      <c r="BY11" s="16">
        <f t="shared" ref="BY11" si="130">BY9+BY10</f>
        <v>821.60195560881994</v>
      </c>
      <c r="BZ11" s="16">
        <f t="shared" ref="BZ11" si="131">BZ9+BZ10</f>
        <v>830.32878352676516</v>
      </c>
      <c r="CA11" s="16">
        <f t="shared" ref="CA11" si="132">CA9+CA10</f>
        <v>760.66028308395016</v>
      </c>
      <c r="CB11" s="16">
        <f t="shared" ref="CB11" si="133">CB9+CB10</f>
        <v>565.40236242166054</v>
      </c>
      <c r="CC11" s="16">
        <f t="shared" ref="CC11" si="134">CC9+CC10</f>
        <v>247.08629939959053</v>
      </c>
      <c r="CD11" s="16">
        <f t="shared" ref="CD11" si="135">CD9+CD10</f>
        <v>95.474992243696931</v>
      </c>
      <c r="CE11" s="16">
        <f t="shared" ref="CE11" si="136">CE9+CE10</f>
        <v>16.594049773506022</v>
      </c>
      <c r="CF11" s="11">
        <f t="shared" si="2"/>
        <v>14064.667647900838</v>
      </c>
      <c r="CG11" s="11">
        <f t="shared" si="20"/>
        <v>918.72353681833681</v>
      </c>
      <c r="CH11" s="11">
        <f t="shared" si="21"/>
        <v>502.37009574461462</v>
      </c>
      <c r="CI11" s="11">
        <f t="shared" si="3"/>
        <v>4175.3185782808632</v>
      </c>
      <c r="CJ11" s="11">
        <f t="shared" si="22"/>
        <v>2515.5467704491693</v>
      </c>
      <c r="CK11" s="15">
        <f t="shared" si="23"/>
        <v>0.29686578330942875</v>
      </c>
      <c r="CL11" s="15">
        <f t="shared" si="24"/>
        <v>0.17885575638359408</v>
      </c>
      <c r="CM11" s="11">
        <f t="shared" si="25"/>
        <v>2456.0275424679021</v>
      </c>
      <c r="CO11" s="7" t="str">
        <f t="shared" si="26"/>
        <v>2035_3</v>
      </c>
      <c r="CP11" s="30">
        <f>CP10</f>
        <v>2035</v>
      </c>
      <c r="CQ11" s="5" t="s">
        <v>23</v>
      </c>
      <c r="CR11" s="16">
        <f>CR9+CR10</f>
        <v>666.00840165705426</v>
      </c>
      <c r="CS11" s="16">
        <f t="shared" ref="CS11" si="137">CS9+CS10</f>
        <v>709.83830235833318</v>
      </c>
      <c r="CT11" s="16">
        <f t="shared" ref="CT11" si="138">CT9+CT10</f>
        <v>830.63603608537028</v>
      </c>
      <c r="CU11" s="16">
        <f t="shared" ref="CU11" si="139">CU9+CU10</f>
        <v>861.46379101164814</v>
      </c>
      <c r="CV11" s="16">
        <f t="shared" ref="CV11" si="140">CV9+CV10</f>
        <v>533.35803491124932</v>
      </c>
      <c r="CW11" s="16">
        <f t="shared" ref="CW11" si="141">CW9+CW10</f>
        <v>621.29817338343742</v>
      </c>
      <c r="CX11" s="16">
        <f t="shared" ref="CX11" si="142">CX9+CX10</f>
        <v>652.46062502259269</v>
      </c>
      <c r="CY11" s="16">
        <f t="shared" ref="CY11" si="143">CY9+CY10</f>
        <v>663.56217676812457</v>
      </c>
      <c r="CZ11" s="16">
        <f t="shared" ref="CZ11" si="144">CZ9+CZ10</f>
        <v>697.83357709470442</v>
      </c>
      <c r="DA11" s="16">
        <f t="shared" ref="DA11" si="145">DA9+DA10</f>
        <v>859.93348337446889</v>
      </c>
      <c r="DB11" s="16">
        <f t="shared" ref="DB11" si="146">DB9+DB10</f>
        <v>906.48728044959284</v>
      </c>
      <c r="DC11" s="16">
        <f t="shared" ref="DC11" si="147">DC9+DC10</f>
        <v>1055.8636981338691</v>
      </c>
      <c r="DD11" s="16">
        <f t="shared" ref="DD11" si="148">DD9+DD10</f>
        <v>865.2341219987793</v>
      </c>
      <c r="DE11" s="16">
        <f t="shared" ref="DE11" si="149">DE9+DE10</f>
        <v>838.16985222287315</v>
      </c>
      <c r="DF11" s="16">
        <f t="shared" ref="DF11" si="150">DF9+DF10</f>
        <v>821.60195560881994</v>
      </c>
      <c r="DG11" s="16">
        <f t="shared" ref="DG11" si="151">DG9+DG10</f>
        <v>830.32878352676516</v>
      </c>
      <c r="DH11" s="16">
        <f t="shared" ref="DH11" si="152">DH9+DH10</f>
        <v>760.66028308395016</v>
      </c>
      <c r="DI11" s="16">
        <f t="shared" ref="DI11" si="153">DI9+DI10</f>
        <v>565.40236242166054</v>
      </c>
      <c r="DJ11" s="16">
        <f t="shared" ref="DJ11" si="154">DJ9+DJ10</f>
        <v>247.08629939959053</v>
      </c>
      <c r="DK11" s="16">
        <f t="shared" ref="DK11" si="155">DK9+DK10</f>
        <v>95.474992243696931</v>
      </c>
      <c r="DL11" s="16">
        <f t="shared" ref="DL11" si="156">DL9+DL10</f>
        <v>16.594049773506022</v>
      </c>
      <c r="DM11" s="11">
        <f t="shared" si="69"/>
        <v>14099.296280530085</v>
      </c>
      <c r="DN11" s="11">
        <f t="shared" si="34"/>
        <v>924.28460306622196</v>
      </c>
      <c r="DO11" s="11">
        <f t="shared" si="35"/>
        <v>504.54717263647774</v>
      </c>
      <c r="DP11" s="11">
        <f t="shared" si="6"/>
        <v>4175.3185782808632</v>
      </c>
      <c r="DQ11" s="11">
        <f t="shared" si="36"/>
        <v>2515.5467704491693</v>
      </c>
      <c r="DR11" s="15">
        <f t="shared" si="37"/>
        <v>0.29613666492324292</v>
      </c>
      <c r="DS11" s="15">
        <f t="shared" si="38"/>
        <v>0.17841647699275057</v>
      </c>
      <c r="DT11" s="11">
        <f t="shared" si="70"/>
        <v>2470.6790100854041</v>
      </c>
      <c r="DW11" s="211"/>
      <c r="DX11" s="30">
        <f>DX10</f>
        <v>2035</v>
      </c>
      <c r="DY11" s="5" t="s">
        <v>23</v>
      </c>
      <c r="DZ11" s="16">
        <f>DZ9+DZ10</f>
        <v>827.76363969317254</v>
      </c>
      <c r="EA11" s="16">
        <f t="shared" ref="EA11" si="157">EA9+EA10</f>
        <v>857.21236373040551</v>
      </c>
      <c r="EB11" s="16">
        <f t="shared" ref="EB11" si="158">EB9+EB10</f>
        <v>826.14274217586501</v>
      </c>
      <c r="EC11" s="16">
        <f t="shared" ref="EC11" si="159">EC9+EC10</f>
        <v>859.56499437134312</v>
      </c>
      <c r="ED11" s="16">
        <f t="shared" ref="ED11" si="160">ED9+ED10</f>
        <v>532.29635054013715</v>
      </c>
      <c r="EE11" s="16">
        <f t="shared" ref="EE11" si="161">EE9+EE10</f>
        <v>715.29817338343742</v>
      </c>
      <c r="EF11" s="16">
        <f t="shared" ref="EF11" si="162">EF9+EF10</f>
        <v>857.33874536263613</v>
      </c>
      <c r="EG11" s="16">
        <f t="shared" ref="EG11" si="163">EG9+EG10</f>
        <v>988.66903130309038</v>
      </c>
      <c r="EH11" s="16">
        <f t="shared" ref="EH11" si="164">EH9+EH10</f>
        <v>914.61144110218061</v>
      </c>
      <c r="EI11" s="16">
        <f t="shared" ref="EI11" si="165">EI9+EI10</f>
        <v>962.72188118858207</v>
      </c>
      <c r="EJ11" s="16">
        <f t="shared" ref="EJ11" si="166">EJ9+EJ10</f>
        <v>905.5350609937982</v>
      </c>
      <c r="EK11" s="16">
        <f t="shared" ref="EK11" si="167">EK9+EK10</f>
        <v>1055.8636981338691</v>
      </c>
      <c r="EL11" s="16">
        <f t="shared" ref="EL11" si="168">EL9+EL10</f>
        <v>865.2341219987793</v>
      </c>
      <c r="EM11" s="16">
        <f t="shared" ref="EM11" si="169">EM9+EM10</f>
        <v>838.16985222287315</v>
      </c>
      <c r="EN11" s="16">
        <f t="shared" ref="EN11" si="170">EN9+EN10</f>
        <v>821.60195560881994</v>
      </c>
      <c r="EO11" s="16">
        <f t="shared" ref="EO11" si="171">EO9+EO10</f>
        <v>830.32878352676516</v>
      </c>
      <c r="EP11" s="16">
        <f t="shared" ref="EP11" si="172">EP9+EP10</f>
        <v>760.66028308395016</v>
      </c>
      <c r="EQ11" s="16">
        <f t="shared" ref="EQ11" si="173">EQ9+EQ10</f>
        <v>565.40236242166054</v>
      </c>
      <c r="ER11" s="16">
        <f t="shared" ref="ER11" si="174">ER9+ER10</f>
        <v>247.08629939959053</v>
      </c>
      <c r="ES11" s="16">
        <f t="shared" ref="ES11" si="175">ES9+ES10</f>
        <v>95.474992243696931</v>
      </c>
      <c r="ET11" s="16">
        <f t="shared" ref="ET11" si="176">ET9+ET10</f>
        <v>16.594049773506022</v>
      </c>
      <c r="EU11" s="11">
        <f t="shared" si="71"/>
        <v>15343.57082225816</v>
      </c>
      <c r="EV11" s="11">
        <f t="shared" si="41"/>
        <v>1010.0130635437622</v>
      </c>
      <c r="EW11" s="11">
        <f t="shared" si="42"/>
        <v>502.37009574461462</v>
      </c>
      <c r="EX11" s="11">
        <f t="shared" si="10"/>
        <v>4175.3185782808632</v>
      </c>
      <c r="EY11" s="11">
        <f t="shared" si="43"/>
        <v>2515.5467704491693</v>
      </c>
      <c r="EZ11" s="15">
        <f t="shared" si="44"/>
        <v>0.27212170013410014</v>
      </c>
      <c r="FA11" s="15">
        <f t="shared" si="45"/>
        <v>0.16394793621312648</v>
      </c>
      <c r="FB11" s="11">
        <f t="shared" si="72"/>
        <v>3093.6023005893012</v>
      </c>
    </row>
    <row r="12" spans="1:158" x14ac:dyDescent="0.15">
      <c r="A12" s="7" t="str">
        <f t="shared" si="11"/>
        <v>2020_1</v>
      </c>
      <c r="B12" s="28">
        <v>2020</v>
      </c>
      <c r="C12" s="3" t="s">
        <v>21</v>
      </c>
      <c r="D12" s="9">
        <v>386.61889314398206</v>
      </c>
      <c r="E12" s="9">
        <v>475.91100399964961</v>
      </c>
      <c r="F12" s="9">
        <v>502.19895401395922</v>
      </c>
      <c r="G12" s="9">
        <v>452.83404327449927</v>
      </c>
      <c r="H12" s="9">
        <v>216.91017428050355</v>
      </c>
      <c r="I12" s="9">
        <v>266.12124693858937</v>
      </c>
      <c r="J12" s="9">
        <v>334.35894756613322</v>
      </c>
      <c r="K12" s="9">
        <v>408.69907426361851</v>
      </c>
      <c r="L12" s="9">
        <v>549.28861341167499</v>
      </c>
      <c r="M12" s="9">
        <v>426.67290411199104</v>
      </c>
      <c r="N12" s="9">
        <v>403.61254973388066</v>
      </c>
      <c r="O12" s="9">
        <v>397.49464810208701</v>
      </c>
      <c r="P12" s="9">
        <v>460.67343535341126</v>
      </c>
      <c r="Q12" s="9">
        <v>435.68514963670737</v>
      </c>
      <c r="R12" s="9">
        <v>444.72063514815159</v>
      </c>
      <c r="S12" s="9">
        <v>244.89556046657805</v>
      </c>
      <c r="T12" s="9">
        <v>185.69921140689394</v>
      </c>
      <c r="U12" s="9">
        <v>124.40383023717057</v>
      </c>
      <c r="V12" s="9">
        <v>46.151457689246527</v>
      </c>
      <c r="W12" s="9">
        <v>14.048357749425758</v>
      </c>
      <c r="X12" s="9">
        <v>1.0013094718463553</v>
      </c>
      <c r="Y12" s="9">
        <f t="shared" ref="Y12:Y14" si="177">SUM(D12:X12)</f>
        <v>6778</v>
      </c>
      <c r="Z12" s="9">
        <f>E12*3/5+F12*3/5</f>
        <v>586.86597480816522</v>
      </c>
      <c r="AA12" s="9">
        <f>F12*2/5+G12*1/5</f>
        <v>291.44639026048355</v>
      </c>
      <c r="AB12" s="9">
        <f t="shared" ref="AB12:AB14" si="178">SUM(Q12:X12)</f>
        <v>1496.6055118060201</v>
      </c>
      <c r="AC12" s="9">
        <f>SUM(S12:X12)</f>
        <v>616.19972702116127</v>
      </c>
      <c r="AD12" s="13">
        <f>AB12/Y12</f>
        <v>0.22080340982679553</v>
      </c>
      <c r="AE12" s="13">
        <f>AC12/Y12</f>
        <v>9.0911733110233289E-2</v>
      </c>
      <c r="AF12" s="9">
        <f>SUM(H12:K12)</f>
        <v>1226.0894430488447</v>
      </c>
      <c r="AK12" s="61">
        <f>管理者入力シート!B5</f>
        <v>2020</v>
      </c>
      <c r="AL12" s="62"/>
      <c r="BH12" s="7" t="str">
        <f t="shared" si="19"/>
        <v>2040_1</v>
      </c>
      <c r="BI12" s="28">
        <f>管理者入力シート!B11</f>
        <v>2040</v>
      </c>
      <c r="BJ12" s="3" t="s">
        <v>21</v>
      </c>
      <c r="BK12" s="9">
        <f>CM13*$AK$13</f>
        <v>359.35001083921219</v>
      </c>
      <c r="BL12" s="9">
        <f>IF(管理者入力シート!$B$14=1,BK9*管理者用人口入力シート!AM$3,IF(管理者入力シート!$B$14=2,BK9*管理者用人口入力シート!AM$7))</f>
        <v>409.49701572592062</v>
      </c>
      <c r="BM12" s="9">
        <f>IF(管理者入力シート!$B$14=1,BL9*管理者用人口入力シート!AN$3,IF(管理者入力シート!$B$14=2,BL9*管理者用人口入力シート!AN$7))</f>
        <v>441.96153248262931</v>
      </c>
      <c r="BN12" s="9">
        <f>IF(管理者入力シート!$B$14=1,BM9*管理者用人口入力シート!AO$3,IF(管理者入力シート!$B$14=2,BM9*管理者用人口入力シート!AO$7))</f>
        <v>453.70174282432419</v>
      </c>
      <c r="BO12" s="9">
        <f>IF(管理者入力シート!$B$14=1,BN9*管理者用人口入力シート!AP$3,IF(管理者入力シート!$B$14=2,BN9*管理者用人口入力シート!AP$7))</f>
        <v>247.30269683986444</v>
      </c>
      <c r="BP12" s="9">
        <f>IF(管理者入力シート!$B$14=1,BO9*管理者用人口入力シート!AQ$3,IF(管理者入力シート!$B$14=2,BO9*管理者用人口入力シート!AQ$7))</f>
        <v>318.84523059876767</v>
      </c>
      <c r="BQ12" s="9">
        <f>IF(管理者入力シート!$B$14=1,BP9*管理者用人口入力シート!AR$3,IF(管理者入力シート!$B$14=2,BP9*管理者用人口入力シート!AR$7))</f>
        <v>339.64443096136085</v>
      </c>
      <c r="BR12" s="9">
        <f>IF(管理者入力シート!$B$14=1,BQ9*管理者用人口入力シート!AS$3,IF(管理者入力シート!$B$14=2,BQ9*管理者用人口入力シート!AS$7))</f>
        <v>356.13731822035527</v>
      </c>
      <c r="BS12" s="9">
        <f>IF(管理者入力シート!$B$14=1,BR9*管理者用人口入力シート!AT$3,IF(管理者入力シート!$B$14=2,BR9*管理者用人口入力シート!AT$7))</f>
        <v>364.25305447160207</v>
      </c>
      <c r="BT12" s="9">
        <f>IF(管理者入力シート!$B$14=1,BS9*管理者用人口入力シート!AU$3,IF(管理者入力シート!$B$14=2,BS9*管理者用人口入力シート!AU$7))</f>
        <v>377.20563854317197</v>
      </c>
      <c r="BU12" s="9">
        <f>IF(管理者入力シート!$B$14=1,BT9*管理者用人口入力シート!AV$3,IF(管理者入力シート!$B$14=2,BT9*管理者用人口入力シート!AV$7))</f>
        <v>408.27473674409038</v>
      </c>
      <c r="BV12" s="9">
        <f>IF(管理者入力シート!$B$14=1,BU9*管理者用人口入力シート!AW$3,IF(管理者入力シート!$B$14=2,BU9*管理者用人口入力シート!AW$7))</f>
        <v>425.32524766114375</v>
      </c>
      <c r="BW12" s="9">
        <f>IF(管理者入力シート!$B$14=1,BV9*管理者用人口入力シート!AX$3,IF(管理者入力シート!$B$14=2,BV9*管理者用人口入力シート!AX$7))</f>
        <v>535.46704126228303</v>
      </c>
      <c r="BX12" s="9">
        <f>IF(管理者入力シート!$B$14=1,BW9*管理者用人口入力シート!AY$3,IF(管理者入力シート!$B$14=2,BW9*管理者用人口入力シート!AY$7))</f>
        <v>406.3041528974548</v>
      </c>
      <c r="BY12" s="9">
        <f>IF(管理者入力シート!$B$14=1,BX9*管理者用人口入力シート!AZ$3,IF(管理者入力シート!$B$14=2,BX9*管理者用人口入力シート!AZ$7))</f>
        <v>357.55941719800677</v>
      </c>
      <c r="BZ12" s="9">
        <f>IF(管理者入力シート!$B$14=1,BY9*管理者用人口入力シート!BA$3,IF(管理者入力シート!$B$14=2,BY9*管理者用人口入力シート!BA$7))</f>
        <v>313.40153580128845</v>
      </c>
      <c r="CA12" s="9">
        <f>IF(管理者入力シート!$B$14=1,BZ9*管理者用人口入力シート!BB$3,IF(管理者入力シート!$B$14=2,BZ9*管理者用人口入力シート!BB$7))</f>
        <v>298.06896391815729</v>
      </c>
      <c r="CB12" s="9">
        <f>IF(管理者入力シート!$B$14=1,CA9*管理者用人口入力シート!BC$3,IF(管理者入力シート!$B$14=2,CA9*管理者用人口入力シート!BC$7))</f>
        <v>190.55901479343294</v>
      </c>
      <c r="CC12" s="9">
        <f>IF(管理者入力シート!$B$14=1,CB9*管理者用人口入力シート!BD$3,IF(管理者入力シート!$B$14=2,CB9*管理者用人口入力シート!BD$7))</f>
        <v>96.924976377454769</v>
      </c>
      <c r="CD12" s="9">
        <f>IF(管理者入力シート!$B$14=1,CC9*管理者用人口入力シート!BE$3,IF(管理者入力シート!$B$14=2,CC9*管理者用人口入力シート!BE$7))</f>
        <v>22.576747825760354</v>
      </c>
      <c r="CE12" s="9">
        <f>IF(管理者入力シート!$B$14=1,CD9*管理者用人口入力シート!BF$3,IF(管理者入力シート!$B$14=2,CD9*管理者用人口入力シート!BF$7))</f>
        <v>4.6748858784069123</v>
      </c>
      <c r="CF12" s="9">
        <f t="shared" si="2"/>
        <v>6727.035391864687</v>
      </c>
      <c r="CG12" s="9">
        <f t="shared" si="20"/>
        <v>510.87512892512996</v>
      </c>
      <c r="CH12" s="9">
        <f t="shared" si="21"/>
        <v>267.52496155791653</v>
      </c>
      <c r="CI12" s="9">
        <f t="shared" si="3"/>
        <v>1690.0696946899623</v>
      </c>
      <c r="CJ12" s="9">
        <f t="shared" si="22"/>
        <v>926.20612459450069</v>
      </c>
      <c r="CK12" s="13">
        <f t="shared" si="23"/>
        <v>0.25123543972042145</v>
      </c>
      <c r="CL12" s="13">
        <f t="shared" si="24"/>
        <v>0.13768414623098377</v>
      </c>
      <c r="CM12" s="9">
        <f t="shared" si="25"/>
        <v>1261.9296766203483</v>
      </c>
      <c r="CO12" s="7" t="str">
        <f t="shared" si="26"/>
        <v>2040_1</v>
      </c>
      <c r="CP12" s="28">
        <f>管理者入力シート!B11</f>
        <v>2040</v>
      </c>
      <c r="CQ12" s="3" t="s">
        <v>21</v>
      </c>
      <c r="CR12" s="9">
        <f>DT13*$AK$13+将来予測シート②!$G17</f>
        <v>362.61394559276056</v>
      </c>
      <c r="CS12" s="9">
        <f>IF(管理者入力シート!$B$14=1,CR9*管理者用人口入力シート!AM$3,IF(管理者入力シート!$B$14=2,CR9*管理者用人口入力シート!AM$7))+将来予測シート②!$G18</f>
        <v>413.054920476142</v>
      </c>
      <c r="CT12" s="9">
        <f>IF(管理者入力シート!$B$14=1,CS9*管理者用人口入力シート!AN$3,IF(管理者入力シート!$B$14=2,CS9*管理者用人口入力シート!AN$7))+将来予測シート②!$G19</f>
        <v>445.86328790929036</v>
      </c>
      <c r="CU12" s="9">
        <f>IF(管理者入力シート!$B$14=1,CT9*管理者用人口入力シート!AO$3,IF(管理者入力シート!$B$14=2,CT9*管理者用人口入力シート!AO$7))+将来予測シート②!$G20</f>
        <v>455.96147742191073</v>
      </c>
      <c r="CV12" s="9">
        <f>IF(管理者入力シート!$B$14=1,CU9*管理者用人口入力シート!AP$3,IF(管理者入力シート!$B$14=2,CU9*管理者用人口入力シート!AP$7))+将来予測シート②!$G21</f>
        <v>247.79119346691533</v>
      </c>
      <c r="CW12" s="9">
        <f>IF(管理者入力シート!$B$14=1,CV9*管理者用人口入力シート!AQ$3,IF(管理者入力シート!$B$14=2,CV9*管理者用人口入力シート!AQ$7))+将来予測シート②!$G22</f>
        <v>321.43703487337478</v>
      </c>
      <c r="CX12" s="9">
        <f>IF(管理者入力シート!$B$14=1,CW9*管理者用人口入力シート!AR$3,IF(管理者入力シート!$B$14=2,CW9*管理者用人口入力シート!AR$7))+将来予測シート②!$G23</f>
        <v>341.93003288079143</v>
      </c>
      <c r="CY12" s="9">
        <f>IF(管理者入力シート!$B$14=1,CX9*管理者用人口入力シート!AS$3,IF(管理者入力シート!$B$14=2,CX9*管理者用人口入力シート!AS$7))+将来予測シート②!$G24</f>
        <v>358.73796789964763</v>
      </c>
      <c r="CZ12" s="9">
        <f>IF(管理者入力シート!$B$14=1,CY9*管理者用人口入力シート!AT$3,IF(管理者入力シート!$B$14=2,CY9*管理者用人口入力シート!AT$7))+将来予測シート②!$G25</f>
        <v>367.02533226552373</v>
      </c>
      <c r="DA12" s="9">
        <f>IF(管理者入力シート!$B$14=1,CZ9*管理者用人口入力シート!AU$3,IF(管理者入力シート!$B$14=2,CZ9*管理者用人口入力シート!AU$7))+将来予測シート②!$G26</f>
        <v>377.20563854317197</v>
      </c>
      <c r="DB12" s="9">
        <f>IF(管理者入力シート!$B$14=1,DA9*管理者用人口入力シート!AV$3,IF(管理者入力シート!$B$14=2,DA9*管理者用人口入力シート!AV$7))+将来予測シート②!$G27</f>
        <v>408.27473674409038</v>
      </c>
      <c r="DC12" s="9">
        <f>IF(管理者入力シート!$B$14=1,DB9*管理者用人口入力シート!AW$3,IF(管理者入力シート!$B$14=2,DB9*管理者用人口入力シート!AW$7))+将来予測シート②!$G28</f>
        <v>425.32524766114375</v>
      </c>
      <c r="DD12" s="9">
        <f>IF(管理者入力シート!$B$14=1,DC9*管理者用人口入力シート!AX$3,IF(管理者入力シート!$B$14=2,DC9*管理者用人口入力シート!AX$7))+将来予測シート②!$G29</f>
        <v>535.46704126228303</v>
      </c>
      <c r="DE12" s="9">
        <f>IF(管理者入力シート!$B$14=1,DD9*管理者用人口入力シート!AY$3,IF(管理者入力シート!$B$14=2,DD9*管理者用人口入力シート!AY$7))</f>
        <v>406.3041528974548</v>
      </c>
      <c r="DF12" s="9">
        <f>IF(管理者入力シート!$B$14=1,DE9*管理者用人口入力シート!AZ$3,IF(管理者入力シート!$B$14=2,DE9*管理者用人口入力シート!AZ$7))</f>
        <v>357.55941719800677</v>
      </c>
      <c r="DG12" s="9">
        <f>IF(管理者入力シート!$B$14=1,DF9*管理者用人口入力シート!BA$3,IF(管理者入力シート!$B$14=2,DF9*管理者用人口入力シート!BA$7))</f>
        <v>313.40153580128845</v>
      </c>
      <c r="DH12" s="9">
        <f>IF(管理者入力シート!$B$14=1,DG9*管理者用人口入力シート!BB$3,IF(管理者入力シート!$B$14=2,DG9*管理者用人口入力シート!BB$7))</f>
        <v>298.06896391815729</v>
      </c>
      <c r="DI12" s="9">
        <f>IF(管理者入力シート!$B$14=1,DH9*管理者用人口入力シート!BC$3,IF(管理者入力シート!$B$14=2,DH9*管理者用人口入力シート!BC$7))</f>
        <v>190.55901479343294</v>
      </c>
      <c r="DJ12" s="9">
        <f>IF(管理者入力シート!$B$14=1,DI9*管理者用人口入力シート!BD$3,IF(管理者入力シート!$B$14=2,DI9*管理者用人口入力シート!BD$7))</f>
        <v>96.924976377454769</v>
      </c>
      <c r="DK12" s="9">
        <f>IF(管理者入力シート!$B$14=1,DJ9*管理者用人口入力シート!BE$3,IF(管理者入力シート!$B$14=2,DJ9*管理者用人口入力シート!BE$7))</f>
        <v>22.576747825760354</v>
      </c>
      <c r="DL12" s="9">
        <f>IF(管理者入力シート!$B$14=1,DK9*管理者用人口入力シート!BF$3,IF(管理者入力シート!$B$14=2,DK9*管理者用人口入力シート!BF$7))</f>
        <v>4.6748858784069123</v>
      </c>
      <c r="DM12" s="9">
        <f t="shared" si="69"/>
        <v>6750.7575516870074</v>
      </c>
      <c r="DN12" s="9">
        <f t="shared" si="34"/>
        <v>515.35092503125941</v>
      </c>
      <c r="DO12" s="9">
        <f t="shared" si="35"/>
        <v>269.53761064809828</v>
      </c>
      <c r="DP12" s="9">
        <f t="shared" si="6"/>
        <v>1690.0696946899623</v>
      </c>
      <c r="DQ12" s="9">
        <f t="shared" si="36"/>
        <v>926.20612459450069</v>
      </c>
      <c r="DR12" s="13">
        <f t="shared" si="37"/>
        <v>0.25035259846765134</v>
      </c>
      <c r="DS12" s="13">
        <f t="shared" si="38"/>
        <v>0.13720032418628969</v>
      </c>
      <c r="DT12" s="9">
        <f t="shared" si="70"/>
        <v>1269.8962291207292</v>
      </c>
      <c r="DV12" s="212"/>
      <c r="DX12" s="28">
        <f>管理者入力シート!B11</f>
        <v>2040</v>
      </c>
      <c r="DY12" s="3" t="s">
        <v>21</v>
      </c>
      <c r="DZ12" s="9">
        <f>FB13*$AK$13</f>
        <v>449.2480350602778</v>
      </c>
      <c r="EA12" s="129">
        <f>IF(管理者入力シート!$B$14=1,DZ9*管理者用人口入力シート!AM$3,IF(管理者入力シート!$B$14=2,DZ9*管理者用人口入力シート!AM$7))</f>
        <v>513.47904199104403</v>
      </c>
      <c r="EB12" s="9">
        <f>IF(管理者入力シート!$B$14=1,EA9*管理者用人口入力シート!AN$3,IF(管理者入力シート!$B$14=2,EA9*管理者用人口入力シート!AN$7))</f>
        <v>537.33468921547149</v>
      </c>
      <c r="EC12" s="9">
        <f>IF(管理者入力シート!$B$14=1,EB9*管理者用人口入力シート!AO$3,IF(管理者入力シート!$B$14=2,EB9*管理者用人口入力シート!AO$7))</f>
        <v>453.70174282432419</v>
      </c>
      <c r="ED12" s="9">
        <f>IF(管理者入力シート!$B$14=1,EC9*管理者用人口入力シート!AP$3,IF(管理者入力シート!$B$14=2,EC9*管理者用人口入力シート!AP$7))</f>
        <v>247.30269683986444</v>
      </c>
      <c r="EE12" s="9">
        <f>IF(管理者入力シート!$B$14=1,ED9*管理者用人口入力シート!AQ$3,IF(管理者入力シート!$B$14=2,ED9*管理者用人口入力シート!AQ$7))+DX1</f>
        <v>367.84523059876767</v>
      </c>
      <c r="EF12" s="9">
        <f>IF(管理者入力シート!$B$14=1,EE9*管理者用人口入力シート!AR$3,IF(管理者入力シート!$B$14=2,EE9*管理者用人口入力シート!AR$7))+DX1</f>
        <v>444.64167798741062</v>
      </c>
      <c r="EG12" s="9">
        <f>IF(管理者入力シート!$B$14=1,EF9*管理者用人口入力シート!AS$3,IF(管理者入力シート!$B$14=2,EF9*管理者用人口入力シート!AS$7))+DX1</f>
        <v>524.60740375165153</v>
      </c>
      <c r="EH12" s="9">
        <f>IF(管理者入力シート!$B$14=1,EG9*管理者用人口入力シート!AT$3,IF(管理者入力シート!$B$14=2,EG9*管理者用人口入力シート!AT$7))</f>
        <v>543.84120922283466</v>
      </c>
      <c r="EI12" s="9">
        <f>IF(管理者入力シート!$B$14=1,EH9*管理者用人口入力シート!AU$3,IF(管理者入力シート!$B$14=2,EH9*管理者用人口入力シート!AU$7))</f>
        <v>491.39301136480191</v>
      </c>
      <c r="EJ12" s="9">
        <f>IF(管理者入力シート!$B$14=1,EI9*管理者用人口入力シート!AV$3,IF(管理者入力シート!$B$14=2,EI9*管理者用人口入力シート!AV$7))</f>
        <v>460.85882831158472</v>
      </c>
      <c r="EK12" s="9">
        <f>IF(管理者入力シート!$B$14=1,EJ9*管理者用人口入力シート!AW$3,IF(管理者入力シート!$B$14=2,EJ9*管理者用人口入力シート!AW$7))</f>
        <v>425.32524766114375</v>
      </c>
      <c r="EL12" s="9">
        <f>IF(管理者入力シート!$B$14=1,EK9*管理者用人口入力シート!AX$3,IF(管理者入力シート!$B$14=2,EK9*管理者用人口入力シート!AX$7))</f>
        <v>535.46704126228303</v>
      </c>
      <c r="EM12" s="9">
        <f>IF(管理者入力シート!$B$14=1,EL9*管理者用人口入力シート!AY$3,IF(管理者入力シート!$B$14=2,EL9*管理者用人口入力シート!AY$7))</f>
        <v>406.3041528974548</v>
      </c>
      <c r="EN12" s="9">
        <f>IF(管理者入力シート!$B$14=1,EM9*管理者用人口入力シート!AZ$3,IF(管理者入力シート!$B$14=2,EM9*管理者用人口入力シート!AZ$7))</f>
        <v>357.55941719800677</v>
      </c>
      <c r="EO12" s="9">
        <f>IF(管理者入力シート!$B$14=1,EN9*管理者用人口入力シート!BA$3,IF(管理者入力シート!$B$14=2,EN9*管理者用人口入力シート!BA$7))</f>
        <v>313.40153580128845</v>
      </c>
      <c r="EP12" s="9">
        <f>IF(管理者入力シート!$B$14=1,EO9*管理者用人口入力シート!BB$3,IF(管理者入力シート!$B$14=2,EO9*管理者用人口入力シート!BB$7))</f>
        <v>298.06896391815729</v>
      </c>
      <c r="EQ12" s="9">
        <f>IF(管理者入力シート!$B$14=1,EP9*管理者用人口入力シート!BC$3,IF(管理者入力シート!$B$14=2,EP9*管理者用人口入力シート!BC$7))</f>
        <v>190.55901479343294</v>
      </c>
      <c r="ER12" s="9">
        <f>IF(管理者入力シート!$B$14=1,EQ9*管理者用人口入力シート!BD$3,IF(管理者入力シート!$B$14=2,EQ9*管理者用人口入力シート!BD$7))</f>
        <v>96.924976377454769</v>
      </c>
      <c r="ES12" s="9">
        <f>IF(管理者入力シート!$B$14=1,ER9*管理者用人口入力シート!BE$3,IF(管理者入力シート!$B$14=2,ER9*管理者用人口入力シート!BE$7))</f>
        <v>22.576747825760354</v>
      </c>
      <c r="ET12" s="9">
        <f>IF(管理者入力シート!$B$14=1,ES9*管理者用人口入力シート!BF$3,IF(管理者入力シート!$B$14=2,ES9*管理者用人口入力シート!BF$7))</f>
        <v>4.6748858784069123</v>
      </c>
      <c r="EU12" s="9">
        <f t="shared" si="71"/>
        <v>7685.1155507814201</v>
      </c>
      <c r="EV12" s="9">
        <f t="shared" si="41"/>
        <v>630.48823872390926</v>
      </c>
      <c r="EW12" s="9">
        <f t="shared" si="42"/>
        <v>305.67422425105343</v>
      </c>
      <c r="EX12" s="9">
        <f t="shared" si="10"/>
        <v>1690.0696946899623</v>
      </c>
      <c r="EY12" s="9">
        <f t="shared" si="43"/>
        <v>926.20612459450069</v>
      </c>
      <c r="EZ12" s="13">
        <f t="shared" si="44"/>
        <v>0.2199146757810449</v>
      </c>
      <c r="FA12" s="13">
        <f t="shared" si="45"/>
        <v>0.12051947930702543</v>
      </c>
      <c r="FB12" s="9">
        <f t="shared" si="72"/>
        <v>1584.3970091776941</v>
      </c>
    </row>
    <row r="13" spans="1:158" x14ac:dyDescent="0.15">
      <c r="A13" s="7" t="str">
        <f t="shared" si="11"/>
        <v>2020_2</v>
      </c>
      <c r="B13" s="29">
        <v>2020</v>
      </c>
      <c r="C13" s="4" t="s">
        <v>22</v>
      </c>
      <c r="D13" s="10">
        <v>334.28077532752047</v>
      </c>
      <c r="E13" s="10">
        <v>427.61439216345991</v>
      </c>
      <c r="F13" s="10">
        <v>485.9152537945738</v>
      </c>
      <c r="G13" s="10">
        <v>413.63651208370959</v>
      </c>
      <c r="H13" s="10">
        <v>225.85404405010252</v>
      </c>
      <c r="I13" s="10">
        <v>257.9539112639942</v>
      </c>
      <c r="J13" s="10">
        <v>400.57575786768712</v>
      </c>
      <c r="K13" s="10">
        <v>470.77937464586341</v>
      </c>
      <c r="L13" s="10">
        <v>551.17290912227236</v>
      </c>
      <c r="M13" s="10">
        <v>477.80176786555012</v>
      </c>
      <c r="N13" s="10">
        <v>450.6717149709649</v>
      </c>
      <c r="O13" s="10">
        <v>461.67158054752235</v>
      </c>
      <c r="P13" s="10">
        <v>492.77249548740087</v>
      </c>
      <c r="Q13" s="10">
        <v>539.03721461722898</v>
      </c>
      <c r="R13" s="10">
        <v>456.63376894886312</v>
      </c>
      <c r="S13" s="10">
        <v>319.10575806257089</v>
      </c>
      <c r="T13" s="10">
        <v>267.90628684082304</v>
      </c>
      <c r="U13" s="10">
        <v>264.90953178337253</v>
      </c>
      <c r="V13" s="10">
        <v>154.53760824491201</v>
      </c>
      <c r="W13" s="10">
        <v>42.156144725561624</v>
      </c>
      <c r="X13" s="10">
        <v>4.0131975860462479</v>
      </c>
      <c r="Y13" s="10">
        <f t="shared" si="177"/>
        <v>7498.9999999999991</v>
      </c>
      <c r="Z13" s="10">
        <f t="shared" ref="Z13:Z14" si="179">E13*3/5+F13*3/5</f>
        <v>548.11778757482023</v>
      </c>
      <c r="AA13" s="10">
        <f t="shared" ref="AA13:AA14" si="180">F13*2/5+G13*1/5</f>
        <v>277.09340393457143</v>
      </c>
      <c r="AB13" s="10">
        <f t="shared" si="178"/>
        <v>2048.2995108093783</v>
      </c>
      <c r="AC13" s="10">
        <f t="shared" ref="AC13:AC14" si="181">SUM(S13:X13)</f>
        <v>1052.6285272432865</v>
      </c>
      <c r="AD13" s="14">
        <f t="shared" ref="AD13:AD14" si="182">AB13/Y13</f>
        <v>0.27314302051065187</v>
      </c>
      <c r="AE13" s="14">
        <f t="shared" ref="AE13:AE14" si="183">AC13/Y13</f>
        <v>0.14036918619059696</v>
      </c>
      <c r="AF13" s="10">
        <f t="shared" ref="AF13:AF14" si="184">SUM(H13:K13)</f>
        <v>1355.1630878276474</v>
      </c>
      <c r="AI13" s="60" t="s">
        <v>47</v>
      </c>
      <c r="AJ13" s="1" t="s">
        <v>21</v>
      </c>
      <c r="AK13" s="8">
        <f>VLOOKUP(AK12&amp;"_1",A:D,4,FALSE)/VLOOKUP(AK12&amp;"_2",A:AF,32,FALSE)</f>
        <v>0.2852932585138071</v>
      </c>
      <c r="AL13" s="63"/>
      <c r="BH13" s="7" t="str">
        <f t="shared" si="19"/>
        <v>2040_2</v>
      </c>
      <c r="BI13" s="29">
        <f>BI12</f>
        <v>2040</v>
      </c>
      <c r="BJ13" s="4" t="s">
        <v>22</v>
      </c>
      <c r="BK13" s="10">
        <f>CM13*$AK$14</f>
        <v>310.70338870518935</v>
      </c>
      <c r="BL13" s="10">
        <f>IF(管理者入力シート!$B$14=1,BK10*管理者用人口入力シート!AM$4,IF(管理者入力シート!$B$14=2,BK10*管理者用人口入力シート!AM$8))</f>
        <v>330.05780010198225</v>
      </c>
      <c r="BM13" s="10">
        <f>IF(管理者入力シート!$B$14=1,BL10*管理者用人口入力シート!AN$4,IF(管理者入力シート!$B$14=2,BL10*管理者用人口入力シート!AN$8))</f>
        <v>345.4842413527075</v>
      </c>
      <c r="BN13" s="10">
        <f>IF(管理者入力シート!$B$14=1,BM10*管理者用人口入力シート!AO$4,IF(管理者入力シート!$B$14=2,BM10*管理者用人口入力シート!AO$8))</f>
        <v>333.58029646833194</v>
      </c>
      <c r="BO13" s="10">
        <f>IF(管理者入力シート!$B$14=1,BN10*管理者用人口入力シート!AP$4,IF(管理者入力シート!$B$14=2,BN10*管理者用人口入力シート!AP$8))</f>
        <v>226.83389516989902</v>
      </c>
      <c r="BP13" s="10">
        <f>IF(管理者入力シート!$B$14=1,BO10*管理者用人口入力シート!AQ$4,IF(管理者入力シート!$B$14=2,BO10*管理者用人口入力シート!AQ$8))</f>
        <v>309.27928876109542</v>
      </c>
      <c r="BQ13" s="10">
        <f>IF(管理者入力シート!$B$14=1,BP10*管理者用人口入力シート!AR$4,IF(管理者入力シート!$B$14=2,BP10*管理者用人口入力シート!AR$8))</f>
        <v>362.09162083704092</v>
      </c>
      <c r="BR13" s="10">
        <f>IF(管理者入力シート!$B$14=1,BQ10*管理者用人口入力シート!AS$4,IF(管理者入力シート!$B$14=2,BQ10*管理者用人口入力シート!AS$8))</f>
        <v>361.37634590896545</v>
      </c>
      <c r="BS13" s="10">
        <f>IF(管理者入力シート!$B$14=1,BR10*管理者用人口入力シート!AT$4,IF(管理者入力シート!$B$14=2,BR10*管理者用人口入力シート!AT$8))</f>
        <v>330.00294991629431</v>
      </c>
      <c r="BT13" s="10">
        <f>IF(管理者入力シート!$B$14=1,BS10*管理者用人口入力シート!AU$4,IF(管理者入力シート!$B$14=2,BS10*管理者用人口入力シート!AU$8))</f>
        <v>323.60500690006165</v>
      </c>
      <c r="BU13" s="10">
        <f>IF(管理者入力シート!$B$14=1,BT10*管理者用人口入力シート!AV$4,IF(管理者入力シート!$B$14=2,BT10*管理者用人口入力シート!AV$8))</f>
        <v>428.69717138933612</v>
      </c>
      <c r="BV13" s="10">
        <f>IF(管理者入力シート!$B$14=1,BU10*管理者用人口入力シート!AW$4,IF(管理者入力シート!$B$14=2,BU10*管理者用人口入力シート!AW$8))</f>
        <v>462.29868411325737</v>
      </c>
      <c r="BW13" s="10">
        <f>IF(管理者入力シート!$B$14=1,BV10*管理者用人口入力シート!AX$4,IF(管理者入力シート!$B$14=2,BV10*管理者用人口入力シート!AX$8))</f>
        <v>521.86925674330007</v>
      </c>
      <c r="BX13" s="10">
        <f>IF(管理者入力シート!$B$14=1,BW10*管理者用人口入力シート!AY$4,IF(管理者入力シート!$B$14=2,BW10*管理者用人口入力シート!AY$8))</f>
        <v>458.11611360284718</v>
      </c>
      <c r="BY13" s="10">
        <f>IF(管理者入力シート!$B$14=1,BX10*管理者用人口入力シート!AZ$4,IF(管理者入力シート!$B$14=2,BX10*管理者用人口入力シート!AZ$8))</f>
        <v>443.10329824203563</v>
      </c>
      <c r="BZ13" s="10">
        <f>IF(管理者入力シート!$B$14=1,BY10*管理者用人口入力シート!BA$4,IF(管理者入力シート!$B$14=2,BY10*管理者用人口入力シート!BA$8))</f>
        <v>439.03181836045451</v>
      </c>
      <c r="CA13" s="10">
        <f>IF(管理者入力シート!$B$14=1,BZ10*管理者用人口入力シート!BB$4,IF(管理者入力シート!$B$14=2,BZ10*管理者用人口入力シート!BB$8))</f>
        <v>437.036751351151</v>
      </c>
      <c r="CB13" s="10">
        <f>IF(管理者入力シート!$B$14=1,CA10*管理者用人口入力シート!BC$4,IF(管理者入力シート!$B$14=2,CA10*管理者用人口入力シート!BC$8))</f>
        <v>412.38965374620977</v>
      </c>
      <c r="CC13" s="10">
        <f>IF(管理者入力シート!$B$14=1,CB10*管理者用人口入力シート!BD$4,IF(管理者入力シート!$B$14=2,CB10*管理者用人口入力シート!BD$8))</f>
        <v>253.83774670101116</v>
      </c>
      <c r="CD13" s="10">
        <f>IF(管理者入力シート!$B$14=1,CC10*管理者用人口入力シート!BE$4,IF(管理者入力シート!$B$14=2,CC10*管理者用人口入力シート!BE$8))</f>
        <v>83.210984625509397</v>
      </c>
      <c r="CE13" s="10">
        <f>IF(管理者入力シート!$B$14=1,CD10*管理者用人口入力シート!BF$4,IF(管理者入力シート!$B$14=2,CD10*管理者用人口入力シート!BF$8))</f>
        <v>10.421804869280708</v>
      </c>
      <c r="CF13" s="10">
        <f t="shared" si="2"/>
        <v>7183.0281178659616</v>
      </c>
      <c r="CG13" s="10">
        <f t="shared" si="20"/>
        <v>405.32522487281381</v>
      </c>
      <c r="CH13" s="10">
        <f t="shared" si="21"/>
        <v>204.90975583474938</v>
      </c>
      <c r="CI13" s="10">
        <f t="shared" si="3"/>
        <v>2537.1481714984993</v>
      </c>
      <c r="CJ13" s="10">
        <f t="shared" si="22"/>
        <v>1635.9287596536165</v>
      </c>
      <c r="CK13" s="14">
        <f t="shared" si="23"/>
        <v>0.35321428927557535</v>
      </c>
      <c r="CL13" s="14">
        <f t="shared" si="24"/>
        <v>0.22774917942819384</v>
      </c>
      <c r="CM13" s="10">
        <f t="shared" si="25"/>
        <v>1259.5811506770008</v>
      </c>
      <c r="CO13" s="7" t="str">
        <f t="shared" si="26"/>
        <v>2040_2</v>
      </c>
      <c r="CP13" s="29">
        <f>CP12</f>
        <v>2040</v>
      </c>
      <c r="CQ13" s="4" t="s">
        <v>22</v>
      </c>
      <c r="CR13" s="10">
        <f>DT13*$AK$14+将来予測シート②!$H17</f>
        <v>313.66084572068297</v>
      </c>
      <c r="CS13" s="10">
        <f>IF(管理者入力シート!$B$14=1,CR10*管理者用人口入力シート!AM$4,IF(管理者入力シート!$B$14=2,CR10*管理者用人口入力シート!AM$8))+将来予測シート②!$H18</f>
        <v>333.07146598137308</v>
      </c>
      <c r="CT13" s="10">
        <f>IF(管理者入力シート!$B$14=1,CS10*管理者用人口入力シート!AN$4,IF(管理者入力シート!$B$14=2,CS10*管理者用人口入力シート!AN$8))+将来予測シート②!$H19</f>
        <v>348.91282620647252</v>
      </c>
      <c r="CU13" s="10">
        <f>IF(管理者入力シート!$B$14=1,CT10*管理者用人口入力シート!AO$4,IF(管理者入力シート!$B$14=2,CT10*管理者用人口入力シート!AO$8))+将来予測シート②!$H20</f>
        <v>335.59013945398283</v>
      </c>
      <c r="CV13" s="10">
        <f>IF(管理者入力シート!$B$14=1,CU10*管理者用人口入力シート!AP$4,IF(管理者入力シート!$B$14=2,CU10*管理者用人口入力シート!AP$8))+将来予測シート②!$H21</f>
        <v>227.40708291396018</v>
      </c>
      <c r="CW13" s="10">
        <f>IF(管理者入力シート!$B$14=1,CV10*管理者用人口入力シート!AQ$4,IF(管理者入力シート!$B$14=2,CV10*管理者用人口入力シート!AQ$8))+将来予測シート②!$H22</f>
        <v>311.93803467037708</v>
      </c>
      <c r="CX13" s="10">
        <f>IF(管理者入力シート!$B$14=1,CW10*管理者用人口入力シート!AR$4,IF(管理者入力シート!$B$14=2,CW10*管理者用人口入力シート!AR$8))+将来予測シート②!$H23</f>
        <v>364.35402403846319</v>
      </c>
      <c r="CY13" s="10">
        <f>IF(管理者入力シート!$B$14=1,CX10*管理者用人口入力シート!AS$4,IF(管理者入力シート!$B$14=2,CX10*管理者用人口入力シート!AS$8))+将来予測シート②!$H24</f>
        <v>363.81747435521015</v>
      </c>
      <c r="CZ13" s="10">
        <f>IF(管理者入力シート!$B$14=1,CY10*管理者用人口入力シート!AT$4,IF(管理者入力シート!$B$14=2,CY10*管理者用人口入力シート!AT$8))+将来予測シート②!$H25</f>
        <v>333.54567209327871</v>
      </c>
      <c r="DA13" s="10">
        <f>IF(管理者入力シート!$B$14=1,CZ10*管理者用人口入力シート!AU$4,IF(管理者入力シート!$B$14=2,CZ10*管理者用人口入力シート!AU$8))+将来予測シート②!$H26</f>
        <v>324.59175023137249</v>
      </c>
      <c r="DB13" s="10">
        <f>IF(管理者入力シート!$B$14=1,DA10*管理者用人口入力シート!AV$4,IF(管理者入力シート!$B$14=2,DA10*管理者用人口入力シート!AV$8))+将来予測シート②!$H27</f>
        <v>429.64939084513065</v>
      </c>
      <c r="DC13" s="10">
        <f>IF(管理者入力シート!$B$14=1,DB10*管理者用人口入力シート!AW$4,IF(管理者入力シート!$B$14=2,DB10*管理者用人口入力シート!AW$8))+将来予測シート②!$H28</f>
        <v>463.24143500149444</v>
      </c>
      <c r="DD13" s="10">
        <f>IF(管理者入力シート!$B$14=1,DC10*管理者用人口入力シート!AX$4,IF(管理者入力シート!$B$14=2,DC10*管理者用人口入力シート!AX$8))+将来予測シート②!$H29</f>
        <v>521.86925674330007</v>
      </c>
      <c r="DE13" s="10">
        <f>IF(管理者入力シート!$B$14=1,DD10*管理者用人口入力シート!AY$4,IF(管理者入力シート!$B$14=2,DD10*管理者用人口入力シート!AY$8))</f>
        <v>458.11611360284718</v>
      </c>
      <c r="DF13" s="10">
        <f>IF(管理者入力シート!$B$14=1,DE10*管理者用人口入力シート!AZ$4,IF(管理者入力シート!$B$14=2,DE10*管理者用人口入力シート!AZ$8))</f>
        <v>443.10329824203563</v>
      </c>
      <c r="DG13" s="10">
        <f>IF(管理者入力シート!$B$14=1,DF10*管理者用人口入力シート!BA$4,IF(管理者入力シート!$B$14=2,DF10*管理者用人口入力シート!BA$8))</f>
        <v>439.03181836045451</v>
      </c>
      <c r="DH13" s="10">
        <f>IF(管理者入力シート!$B$14=1,DG10*管理者用人口入力シート!BB$4,IF(管理者入力シート!$B$14=2,DG10*管理者用人口入力シート!BB$8))</f>
        <v>437.036751351151</v>
      </c>
      <c r="DI13" s="10">
        <f>IF(管理者入力シート!$B$14=1,DH10*管理者用人口入力シート!BC$4,IF(管理者入力シート!$B$14=2,DH10*管理者用人口入力シート!BC$8))</f>
        <v>412.38965374620977</v>
      </c>
      <c r="DJ13" s="10">
        <f>IF(管理者入力シート!$B$14=1,DI10*管理者用人口入力シート!BD$4,IF(管理者入力シート!$B$14=2,DI10*管理者用人口入力シート!BD$8))</f>
        <v>253.83774670101116</v>
      </c>
      <c r="DK13" s="10">
        <f>IF(管理者入力シート!$B$14=1,DJ10*管理者用人口入力シート!BE$4,IF(管理者入力シート!$B$14=2,DJ10*管理者用人口入力シート!BE$8))</f>
        <v>83.210984625509397</v>
      </c>
      <c r="DL13" s="10">
        <f>IF(管理者入力シート!$B$14=1,DK10*管理者用人口入力シート!BF$4,IF(管理者入力シート!$B$14=2,DK10*管理者用人口入力シート!BF$8))</f>
        <v>10.421804869280708</v>
      </c>
      <c r="DM13" s="10">
        <f t="shared" si="69"/>
        <v>7208.7975697535976</v>
      </c>
      <c r="DN13" s="10">
        <f t="shared" si="34"/>
        <v>409.19057531270732</v>
      </c>
      <c r="DO13" s="10">
        <f t="shared" si="35"/>
        <v>206.6831583733856</v>
      </c>
      <c r="DP13" s="10">
        <f t="shared" si="6"/>
        <v>2537.1481714984993</v>
      </c>
      <c r="DQ13" s="10">
        <f t="shared" si="36"/>
        <v>1635.9287596536165</v>
      </c>
      <c r="DR13" s="14">
        <f t="shared" si="37"/>
        <v>0.35195164615854529</v>
      </c>
      <c r="DS13" s="14">
        <f t="shared" si="38"/>
        <v>0.22693503928000211</v>
      </c>
      <c r="DT13" s="10">
        <f t="shared" si="70"/>
        <v>1267.5166159780106</v>
      </c>
      <c r="DV13" s="62"/>
      <c r="DX13" s="29">
        <f>DX12</f>
        <v>2040</v>
      </c>
      <c r="DY13" s="4" t="s">
        <v>22</v>
      </c>
      <c r="DZ13" s="10">
        <f>FB13*$AK$14</f>
        <v>388.43156435810187</v>
      </c>
      <c r="EA13" s="10">
        <f>IF(管理者入力シート!$B$14=1,DZ10*管理者用人口入力シート!AM$4,IF(管理者入力シート!$B$14=2,DZ10*管理者用人口入力シート!AM$8))</f>
        <v>413.8681272135816</v>
      </c>
      <c r="EB13" s="10">
        <f>IF(管理者入力シート!$B$14=1,EA10*管理者用人口入力シート!AN$4,IF(管理者入力シート!$B$14=2,EA10*管理者用人口入力シート!AN$8))</f>
        <v>420.03806623916159</v>
      </c>
      <c r="EC13" s="10">
        <f>IF(管理者入力シート!$B$14=1,EB10*管理者用人口入力シート!AO$4,IF(管理者入力シート!$B$14=2,EB10*管理者用人口入力シート!AO$8))</f>
        <v>333.58029646833194</v>
      </c>
      <c r="ED13" s="10">
        <f>IF(管理者入力シート!$B$14=1,EC10*管理者用人口入力シート!AP$4,IF(管理者入力シート!$B$14=2,EC10*管理者用人口入力シート!AP$8))</f>
        <v>226.83389516989902</v>
      </c>
      <c r="EE13" s="10">
        <f>IF(管理者入力シート!$B$14=1,ED10*管理者用人口入力シート!AQ$4,IF(管理者入力シート!$B$14=2,ED10*管理者用人口入力シート!AQ$8))+DX1</f>
        <v>358.27928876109542</v>
      </c>
      <c r="EF13" s="10">
        <f>IF(管理者入力シート!$B$14=1,EE10*管理者用人口入力シート!AR$4,IF(管理者入力シート!$B$14=2,EE10*管理者用人口入力シート!AR$8))+DX1</f>
        <v>466.5204992718875</v>
      </c>
      <c r="EG13" s="10">
        <f>IF(管理者入力シート!$B$14=1,EF10*管理者用人口入力シート!AS$4,IF(管理者入力シート!$B$14=2,EF10*管理者用人口入力シート!AS$8))+DX1</f>
        <v>523.05489303817205</v>
      </c>
      <c r="EH13" s="10">
        <f>IF(管理者入力シート!$B$14=1,EG10*管理者用人口入力シート!AT$4,IF(管理者入力シート!$B$14=2,EG10*管理者用人口入力シート!AT$8))</f>
        <v>498.41015845973561</v>
      </c>
      <c r="EI13" s="10">
        <f>IF(管理者入力シート!$B$14=1,EH10*管理者用人口入力シート!AU$4,IF(管理者入力シート!$B$14=2,EH10*管理者用人口入力シート!AU$8))</f>
        <v>428.30885016284066</v>
      </c>
      <c r="EJ13" s="10">
        <f>IF(管理者入力シート!$B$14=1,EI10*管理者用人口入力シート!AV$4,IF(管理者入力シート!$B$14=2,EI10*管理者用人口入力シート!AV$8))</f>
        <v>477.2977466827611</v>
      </c>
      <c r="EK13" s="10">
        <f>IF(管理者入力シート!$B$14=1,EJ10*管理者用人口入力シート!AW$4,IF(管理者入力シート!$B$14=2,EJ10*管理者用人口入力シート!AW$8))</f>
        <v>462.29868411325737</v>
      </c>
      <c r="EL13" s="10">
        <f>IF(管理者入力シート!$B$14=1,EK10*管理者用人口入力シート!AX$4,IF(管理者入力シート!$B$14=2,EK10*管理者用人口入力シート!AX$8))</f>
        <v>521.86925674330007</v>
      </c>
      <c r="EM13" s="10">
        <f>IF(管理者入力シート!$B$14=1,EL10*管理者用人口入力シート!AY$4,IF(管理者入力シート!$B$14=2,EL10*管理者用人口入力シート!AY$8))</f>
        <v>458.11611360284718</v>
      </c>
      <c r="EN13" s="10">
        <f>IF(管理者入力シート!$B$14=1,EM10*管理者用人口入力シート!AZ$4,IF(管理者入力シート!$B$14=2,EM10*管理者用人口入力シート!AZ$8))</f>
        <v>443.10329824203563</v>
      </c>
      <c r="EO13" s="10">
        <f>IF(管理者入力シート!$B$14=1,EN10*管理者用人口入力シート!BA$4,IF(管理者入力シート!$B$14=2,EN10*管理者用人口入力シート!BA$8))</f>
        <v>439.03181836045451</v>
      </c>
      <c r="EP13" s="10">
        <f>IF(管理者入力シート!$B$14=1,EO10*管理者用人口入力シート!BB$4,IF(管理者入力シート!$B$14=2,EO10*管理者用人口入力シート!BB$8))</f>
        <v>437.036751351151</v>
      </c>
      <c r="EQ13" s="10">
        <f>IF(管理者入力シート!$B$14=1,EP10*管理者用人口入力シート!BC$4,IF(管理者入力シート!$B$14=2,EP10*管理者用人口入力シート!BC$8))</f>
        <v>412.38965374620977</v>
      </c>
      <c r="ER13" s="10">
        <f>IF(管理者入力シート!$B$14=1,EQ10*管理者用人口入力シート!BD$4,IF(管理者入力シート!$B$14=2,EQ10*管理者用人口入力シート!BD$8))</f>
        <v>253.83774670101116</v>
      </c>
      <c r="ES13" s="10">
        <f>IF(管理者入力シート!$B$14=1,ER10*管理者用人口入力シート!BE$4,IF(管理者入力シート!$B$14=2,ER10*管理者用人口入力シート!BE$8))</f>
        <v>83.210984625509397</v>
      </c>
      <c r="ET13" s="10">
        <f>IF(管理者入力シート!$B$14=1,ES10*管理者用人口入力シート!BF$4,IF(管理者入力シート!$B$14=2,ES10*管理者用人口入力シート!BF$8))</f>
        <v>10.421804869280708</v>
      </c>
      <c r="EU13" s="10">
        <f t="shared" si="71"/>
        <v>8055.9394981806263</v>
      </c>
      <c r="EV13" s="10">
        <f t="shared" si="41"/>
        <v>500.34371607164587</v>
      </c>
      <c r="EW13" s="10">
        <f t="shared" si="42"/>
        <v>234.73128578933103</v>
      </c>
      <c r="EX13" s="10">
        <f t="shared" si="10"/>
        <v>2537.1481714984993</v>
      </c>
      <c r="EY13" s="10">
        <f t="shared" si="43"/>
        <v>1635.9287596536165</v>
      </c>
      <c r="EZ13" s="14">
        <f t="shared" si="44"/>
        <v>0.31494131405424475</v>
      </c>
      <c r="FA13" s="14">
        <f t="shared" si="45"/>
        <v>0.20307113279873548</v>
      </c>
      <c r="FB13" s="10">
        <f t="shared" si="72"/>
        <v>1574.6885762410539</v>
      </c>
    </row>
    <row r="14" spans="1:158" x14ac:dyDescent="0.15">
      <c r="A14" s="7" t="str">
        <f t="shared" si="11"/>
        <v>2020_3</v>
      </c>
      <c r="B14" s="30">
        <v>2020</v>
      </c>
      <c r="C14" s="5" t="s">
        <v>23</v>
      </c>
      <c r="D14" s="11">
        <v>720.89966847150254</v>
      </c>
      <c r="E14" s="11">
        <v>903.52539616310946</v>
      </c>
      <c r="F14" s="11">
        <v>988.11420780853302</v>
      </c>
      <c r="G14" s="11">
        <v>866.47055535820891</v>
      </c>
      <c r="H14" s="11">
        <v>442.76421833060607</v>
      </c>
      <c r="I14" s="11">
        <v>524.07515820258357</v>
      </c>
      <c r="J14" s="11">
        <v>734.93470543382034</v>
      </c>
      <c r="K14" s="11">
        <v>879.47844890948193</v>
      </c>
      <c r="L14" s="11">
        <v>1100.4615225339473</v>
      </c>
      <c r="M14" s="11">
        <v>904.47467197754122</v>
      </c>
      <c r="N14" s="11">
        <v>854.28426470484555</v>
      </c>
      <c r="O14" s="11">
        <v>859.16622864960937</v>
      </c>
      <c r="P14" s="11">
        <v>953.44593084081214</v>
      </c>
      <c r="Q14" s="11">
        <v>974.72236425393635</v>
      </c>
      <c r="R14" s="11">
        <v>901.35440409701471</v>
      </c>
      <c r="S14" s="11">
        <v>564.00131852914888</v>
      </c>
      <c r="T14" s="11">
        <v>453.60549824771698</v>
      </c>
      <c r="U14" s="11">
        <v>389.31336202054308</v>
      </c>
      <c r="V14" s="11">
        <v>200.68906593415852</v>
      </c>
      <c r="W14" s="11">
        <v>56.204502474987379</v>
      </c>
      <c r="X14" s="11">
        <v>5.0145070578926028</v>
      </c>
      <c r="Y14" s="11">
        <f t="shared" si="177"/>
        <v>14276.999999999998</v>
      </c>
      <c r="Z14" s="11">
        <f t="shared" si="179"/>
        <v>1134.9837623829853</v>
      </c>
      <c r="AA14" s="11">
        <f t="shared" si="180"/>
        <v>568.53979419505504</v>
      </c>
      <c r="AB14" s="11">
        <f t="shared" si="178"/>
        <v>3544.9050226153986</v>
      </c>
      <c r="AC14" s="11">
        <f t="shared" si="181"/>
        <v>1668.8282542644472</v>
      </c>
      <c r="AD14" s="15">
        <f t="shared" si="182"/>
        <v>0.24829481141804294</v>
      </c>
      <c r="AE14" s="15">
        <f t="shared" si="183"/>
        <v>0.1168892802594696</v>
      </c>
      <c r="AF14" s="11">
        <f t="shared" si="184"/>
        <v>2581.2525308764916</v>
      </c>
      <c r="AI14" s="43"/>
      <c r="AJ14" s="1" t="s">
        <v>22</v>
      </c>
      <c r="AK14" s="8">
        <f>VLOOKUP(AK12&amp;"_2",A:D,4,FALSE)/VLOOKUP(AK12&amp;"_2",A:AF,32,FALSE)</f>
        <v>0.24667198976278126</v>
      </c>
      <c r="AL14" s="63"/>
      <c r="BH14" s="7" t="str">
        <f t="shared" si="19"/>
        <v>2040_3</v>
      </c>
      <c r="BI14" s="30">
        <f>BI13</f>
        <v>2040</v>
      </c>
      <c r="BJ14" s="5" t="s">
        <v>23</v>
      </c>
      <c r="BK14" s="16">
        <f>BK12+BK13</f>
        <v>670.0533995444016</v>
      </c>
      <c r="BL14" s="16">
        <f t="shared" ref="BL14" si="185">BL12+BL13</f>
        <v>739.55481582790287</v>
      </c>
      <c r="BM14" s="16">
        <f t="shared" ref="BM14" si="186">BM12+BM13</f>
        <v>787.44577383533681</v>
      </c>
      <c r="BN14" s="16">
        <f t="shared" ref="BN14" si="187">BN12+BN13</f>
        <v>787.28203929265612</v>
      </c>
      <c r="BO14" s="16">
        <f t="shared" ref="BO14" si="188">BO12+BO13</f>
        <v>474.13659200976349</v>
      </c>
      <c r="BP14" s="16">
        <f t="shared" ref="BP14" si="189">BP12+BP13</f>
        <v>628.12451935986314</v>
      </c>
      <c r="BQ14" s="16">
        <f t="shared" ref="BQ14" si="190">BQ12+BQ13</f>
        <v>701.73605179840183</v>
      </c>
      <c r="BR14" s="16">
        <f t="shared" ref="BR14" si="191">BR12+BR13</f>
        <v>717.51366412932066</v>
      </c>
      <c r="BS14" s="16">
        <f t="shared" ref="BS14" si="192">BS12+BS13</f>
        <v>694.25600438789638</v>
      </c>
      <c r="BT14" s="16">
        <f t="shared" ref="BT14" si="193">BT12+BT13</f>
        <v>700.81064544323362</v>
      </c>
      <c r="BU14" s="16">
        <f t="shared" ref="BU14" si="194">BU12+BU13</f>
        <v>836.9719081334265</v>
      </c>
      <c r="BV14" s="16">
        <f t="shared" ref="BV14" si="195">BV12+BV13</f>
        <v>887.62393177440117</v>
      </c>
      <c r="BW14" s="16">
        <f t="shared" ref="BW14" si="196">BW12+BW13</f>
        <v>1057.3362980055831</v>
      </c>
      <c r="BX14" s="16">
        <f t="shared" ref="BX14" si="197">BX12+BX13</f>
        <v>864.42026650030198</v>
      </c>
      <c r="BY14" s="16">
        <f t="shared" ref="BY14" si="198">BY12+BY13</f>
        <v>800.66271544004235</v>
      </c>
      <c r="BZ14" s="16">
        <f t="shared" ref="BZ14" si="199">BZ12+BZ13</f>
        <v>752.43335416174295</v>
      </c>
      <c r="CA14" s="16">
        <f t="shared" ref="CA14" si="200">CA12+CA13</f>
        <v>735.10571526930835</v>
      </c>
      <c r="CB14" s="16">
        <f t="shared" ref="CB14" si="201">CB12+CB13</f>
        <v>602.94866853964277</v>
      </c>
      <c r="CC14" s="16">
        <f t="shared" ref="CC14" si="202">CC12+CC13</f>
        <v>350.76272307846591</v>
      </c>
      <c r="CD14" s="16">
        <f t="shared" ref="CD14" si="203">CD12+CD13</f>
        <v>105.78773245126975</v>
      </c>
      <c r="CE14" s="16">
        <f t="shared" ref="CE14" si="204">CE12+CE13</f>
        <v>15.096690747687621</v>
      </c>
      <c r="CF14" s="11">
        <f t="shared" si="2"/>
        <v>13910.063509730648</v>
      </c>
      <c r="CG14" s="11">
        <f t="shared" si="20"/>
        <v>916.20035379794376</v>
      </c>
      <c r="CH14" s="11">
        <f t="shared" si="21"/>
        <v>472.43471739266596</v>
      </c>
      <c r="CI14" s="11">
        <f t="shared" si="3"/>
        <v>4227.2178661884618</v>
      </c>
      <c r="CJ14" s="11">
        <f t="shared" si="22"/>
        <v>2562.1348842481175</v>
      </c>
      <c r="CK14" s="15">
        <f t="shared" si="23"/>
        <v>0.303896374249575</v>
      </c>
      <c r="CL14" s="15">
        <f t="shared" si="24"/>
        <v>0.18419289620466517</v>
      </c>
      <c r="CM14" s="11">
        <f t="shared" si="25"/>
        <v>2521.5108272973494</v>
      </c>
      <c r="CO14" s="7" t="str">
        <f t="shared" si="26"/>
        <v>2040_3</v>
      </c>
      <c r="CP14" s="30">
        <f>CP13</f>
        <v>2040</v>
      </c>
      <c r="CQ14" s="5" t="s">
        <v>23</v>
      </c>
      <c r="CR14" s="16">
        <f>CR12+CR13</f>
        <v>676.27479131344353</v>
      </c>
      <c r="CS14" s="16">
        <f t="shared" ref="CS14" si="205">CS12+CS13</f>
        <v>746.12638645751508</v>
      </c>
      <c r="CT14" s="16">
        <f t="shared" ref="CT14" si="206">CT12+CT13</f>
        <v>794.77611411576288</v>
      </c>
      <c r="CU14" s="16">
        <f t="shared" ref="CU14" si="207">CU12+CU13</f>
        <v>791.55161687589361</v>
      </c>
      <c r="CV14" s="16">
        <f t="shared" ref="CV14" si="208">CV12+CV13</f>
        <v>475.19827638087554</v>
      </c>
      <c r="CW14" s="16">
        <f t="shared" ref="CW14" si="209">CW12+CW13</f>
        <v>633.37506954375181</v>
      </c>
      <c r="CX14" s="16">
        <f t="shared" ref="CX14" si="210">CX12+CX13</f>
        <v>706.28405691925468</v>
      </c>
      <c r="CY14" s="16">
        <f t="shared" ref="CY14" si="211">CY12+CY13</f>
        <v>722.55544225485778</v>
      </c>
      <c r="CZ14" s="16">
        <f t="shared" ref="CZ14" si="212">CZ12+CZ13</f>
        <v>700.57100435880238</v>
      </c>
      <c r="DA14" s="16">
        <f t="shared" ref="DA14" si="213">DA12+DA13</f>
        <v>701.79738877454452</v>
      </c>
      <c r="DB14" s="16">
        <f t="shared" ref="DB14" si="214">DB12+DB13</f>
        <v>837.92412758922103</v>
      </c>
      <c r="DC14" s="16">
        <f t="shared" ref="DC14" si="215">DC12+DC13</f>
        <v>888.56668266263819</v>
      </c>
      <c r="DD14" s="16">
        <f t="shared" ref="DD14" si="216">DD12+DD13</f>
        <v>1057.3362980055831</v>
      </c>
      <c r="DE14" s="16">
        <f t="shared" ref="DE14" si="217">DE12+DE13</f>
        <v>864.42026650030198</v>
      </c>
      <c r="DF14" s="16">
        <f t="shared" ref="DF14" si="218">DF12+DF13</f>
        <v>800.66271544004235</v>
      </c>
      <c r="DG14" s="16">
        <f t="shared" ref="DG14" si="219">DG12+DG13</f>
        <v>752.43335416174295</v>
      </c>
      <c r="DH14" s="16">
        <f t="shared" ref="DH14" si="220">DH12+DH13</f>
        <v>735.10571526930835</v>
      </c>
      <c r="DI14" s="16">
        <f t="shared" ref="DI14" si="221">DI12+DI13</f>
        <v>602.94866853964277</v>
      </c>
      <c r="DJ14" s="16">
        <f t="shared" ref="DJ14" si="222">DJ12+DJ13</f>
        <v>350.76272307846591</v>
      </c>
      <c r="DK14" s="16">
        <f t="shared" ref="DK14" si="223">DK12+DK13</f>
        <v>105.78773245126975</v>
      </c>
      <c r="DL14" s="16">
        <f t="shared" ref="DL14" si="224">DL12+DL13</f>
        <v>15.096690747687621</v>
      </c>
      <c r="DM14" s="11">
        <f t="shared" si="69"/>
        <v>13959.555121440604</v>
      </c>
      <c r="DN14" s="11">
        <f t="shared" si="34"/>
        <v>924.54150034396685</v>
      </c>
      <c r="DO14" s="11">
        <f t="shared" si="35"/>
        <v>476.22076902148387</v>
      </c>
      <c r="DP14" s="11">
        <f t="shared" si="6"/>
        <v>4227.2178661884618</v>
      </c>
      <c r="DQ14" s="11">
        <f t="shared" si="36"/>
        <v>2562.1348842481175</v>
      </c>
      <c r="DR14" s="15">
        <f t="shared" si="37"/>
        <v>0.30281895299770983</v>
      </c>
      <c r="DS14" s="15">
        <f t="shared" si="38"/>
        <v>0.18353986656157201</v>
      </c>
      <c r="DT14" s="11">
        <f t="shared" si="70"/>
        <v>2537.41284509874</v>
      </c>
      <c r="DX14" s="30">
        <f>DX13</f>
        <v>2040</v>
      </c>
      <c r="DY14" s="5" t="s">
        <v>23</v>
      </c>
      <c r="DZ14" s="16">
        <f>DZ12+DZ13</f>
        <v>837.67959941837967</v>
      </c>
      <c r="EA14" s="16">
        <f t="shared" ref="EA14" si="225">EA12+EA13</f>
        <v>927.34716920462563</v>
      </c>
      <c r="EB14" s="16">
        <f t="shared" ref="EB14" si="226">EB12+EB13</f>
        <v>957.37275545463308</v>
      </c>
      <c r="EC14" s="16">
        <f t="shared" ref="EC14" si="227">EC12+EC13</f>
        <v>787.28203929265612</v>
      </c>
      <c r="ED14" s="16">
        <f t="shared" ref="ED14" si="228">ED12+ED13</f>
        <v>474.13659200976349</v>
      </c>
      <c r="EE14" s="16">
        <f t="shared" ref="EE14" si="229">EE12+EE13</f>
        <v>726.12451935986314</v>
      </c>
      <c r="EF14" s="16">
        <f t="shared" ref="EF14" si="230">EF12+EF13</f>
        <v>911.16217725929812</v>
      </c>
      <c r="EG14" s="16">
        <f t="shared" ref="EG14" si="231">EG12+EG13</f>
        <v>1047.6622967898236</v>
      </c>
      <c r="EH14" s="16">
        <f t="shared" ref="EH14" si="232">EH12+EH13</f>
        <v>1042.2513676825702</v>
      </c>
      <c r="EI14" s="16">
        <f t="shared" ref="EI14" si="233">EI12+EI13</f>
        <v>919.70186152764256</v>
      </c>
      <c r="EJ14" s="16">
        <f t="shared" ref="EJ14" si="234">EJ12+EJ13</f>
        <v>938.15657499434587</v>
      </c>
      <c r="EK14" s="16">
        <f t="shared" ref="EK14" si="235">EK12+EK13</f>
        <v>887.62393177440117</v>
      </c>
      <c r="EL14" s="16">
        <f t="shared" ref="EL14" si="236">EL12+EL13</f>
        <v>1057.3362980055831</v>
      </c>
      <c r="EM14" s="16">
        <f t="shared" ref="EM14" si="237">EM12+EM13</f>
        <v>864.42026650030198</v>
      </c>
      <c r="EN14" s="16">
        <f t="shared" ref="EN14" si="238">EN12+EN13</f>
        <v>800.66271544004235</v>
      </c>
      <c r="EO14" s="16">
        <f t="shared" ref="EO14" si="239">EO12+EO13</f>
        <v>752.43335416174295</v>
      </c>
      <c r="EP14" s="16">
        <f t="shared" ref="EP14" si="240">EP12+EP13</f>
        <v>735.10571526930835</v>
      </c>
      <c r="EQ14" s="16">
        <f t="shared" ref="EQ14" si="241">EQ12+EQ13</f>
        <v>602.94866853964277</v>
      </c>
      <c r="ER14" s="16">
        <f t="shared" ref="ER14" si="242">ER12+ER13</f>
        <v>350.76272307846591</v>
      </c>
      <c r="ES14" s="16">
        <f t="shared" ref="ES14" si="243">ES12+ES13</f>
        <v>105.78773245126975</v>
      </c>
      <c r="ET14" s="16">
        <f t="shared" ref="ET14" si="244">ET12+ET13</f>
        <v>15.096690747687621</v>
      </c>
      <c r="EU14" s="11">
        <f t="shared" si="71"/>
        <v>15741.055048962047</v>
      </c>
      <c r="EV14" s="11">
        <f t="shared" si="41"/>
        <v>1130.8319547955552</v>
      </c>
      <c r="EW14" s="11">
        <f t="shared" si="42"/>
        <v>540.40551004038446</v>
      </c>
      <c r="EX14" s="11">
        <f t="shared" si="10"/>
        <v>4227.2178661884618</v>
      </c>
      <c r="EY14" s="11">
        <f t="shared" si="43"/>
        <v>2562.1348842481175</v>
      </c>
      <c r="EZ14" s="15">
        <f t="shared" si="44"/>
        <v>0.26854730213698103</v>
      </c>
      <c r="FA14" s="15">
        <f t="shared" si="45"/>
        <v>0.16276767194312447</v>
      </c>
      <c r="FB14" s="11">
        <f t="shared" si="72"/>
        <v>3159.0855854187485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344.92097233657506</v>
      </c>
      <c r="BL15" s="9">
        <f>IF(管理者入力シート!$B$14=1,BK12*管理者用人口入力シート!AM$3,IF(管理者入力シート!$B$14=2,BK12*管理者用人口入力シート!AM$7))</f>
        <v>415.64809226029035</v>
      </c>
      <c r="BM15" s="9">
        <f>IF(管理者入力シート!$B$14=1,BL12*管理者用人口入力シート!AN$3,IF(管理者入力シート!$B$14=2,BL12*管理者用人口入力シート!AN$7))</f>
        <v>463.58227428188451</v>
      </c>
      <c r="BN15" s="9">
        <f>IF(管理者入力シート!$B$14=1,BM12*管理者用人口入力シート!AO$3,IF(管理者入力シート!$B$14=2,BM12*管理者用人口入力シート!AO$7))</f>
        <v>432.45011028940087</v>
      </c>
      <c r="BO15" s="9">
        <f>IF(管理者入力シート!$B$14=1,BN12*管理者用人口入力シート!AP$3,IF(管理者入力シート!$B$14=2,BN12*管理者用人口入力シート!AP$7))</f>
        <v>226.50639889431142</v>
      </c>
      <c r="BP15" s="9">
        <f>IF(管理者入力シート!$B$14=1,BO12*管理者用人口入力シート!AQ$3,IF(管理者入力シート!$B$14=2,BO12*管理者用人口入力シート!AQ$7))</f>
        <v>299.60246398272699</v>
      </c>
      <c r="BQ15" s="9">
        <f>IF(管理者入力シート!$B$14=1,BP12*管理者用人口入力シート!AR$3,IF(管理者入力シート!$B$14=2,BP12*管理者用人口入力シート!AR$7))</f>
        <v>364.37663552891826</v>
      </c>
      <c r="BR15" s="9">
        <f>IF(管理者入力シート!$B$14=1,BQ12*管理者用人口入力シート!AS$3,IF(管理者入力シート!$B$14=2,BQ12*管理者用人口入力シート!AS$7))</f>
        <v>386.46107747105987</v>
      </c>
      <c r="BS15" s="9">
        <f>IF(管理者入力シート!$B$14=1,BR12*管理者用人口入力シート!AT$3,IF(管理者入力シート!$B$14=2,BR12*管理者用人口入力シート!AT$7))</f>
        <v>379.64035938810508</v>
      </c>
      <c r="BT15" s="9">
        <f>IF(管理者入力シート!$B$14=1,BS12*管理者用人口入力シート!AU$3,IF(管理者入力シート!$B$14=2,BS12*管理者用人口入力シート!AU$7))</f>
        <v>372.47324109757329</v>
      </c>
      <c r="BU15" s="9">
        <f>IF(管理者入力シート!$B$14=1,BT12*管理者用人口入力シート!AV$3,IF(管理者入力シート!$B$14=2,BT12*管理者用人口入力シート!AV$7))</f>
        <v>371.35536622554366</v>
      </c>
      <c r="BV15" s="9">
        <f>IF(管理者入力シート!$B$14=1,BU12*管理者用人口入力シート!AW$3,IF(管理者入力シート!$B$14=2,BU12*管理者用人口入力シート!AW$7))</f>
        <v>395.92390247421366</v>
      </c>
      <c r="BW15" s="9">
        <f>IF(管理者入力シート!$B$14=1,BV12*管理者用人口入力シート!AX$3,IF(管理者入力シート!$B$14=2,BV12*管理者用人口入力シート!AX$7))</f>
        <v>424.70824682266903</v>
      </c>
      <c r="BX15" s="9">
        <f>IF(管理者入力シート!$B$14=1,BW12*管理者用人口入力シート!AY$3,IF(管理者入力シート!$B$14=2,BW12*管理者用人口入力シート!AY$7))</f>
        <v>534.87052939895625</v>
      </c>
      <c r="BY15" s="9">
        <f>IF(管理者入力シート!$B$14=1,BX12*管理者用人口入力シート!AZ$3,IF(管理者入力シート!$B$14=2,BX12*管理者用人口入力シート!AZ$7))</f>
        <v>372.1261168024318</v>
      </c>
      <c r="BZ15" s="9">
        <f>IF(管理者入力シート!$B$14=1,BY12*管理者用人口入力シート!BA$3,IF(管理者入力シート!$B$14=2,BY12*管理者用人口入力シート!BA$7))</f>
        <v>308.59842860029102</v>
      </c>
      <c r="CA15" s="9">
        <f>IF(管理者入力シート!$B$14=1,BZ12*管理者用人口入力シート!BB$3,IF(管理者入力シート!$B$14=2,BZ12*管理者用人口入力シート!BB$7))</f>
        <v>256.81737620156832</v>
      </c>
      <c r="CB15" s="9">
        <f>IF(管理者入力シート!$B$14=1,CA12*管理者用人口入力シート!BC$3,IF(管理者入力シート!$B$14=2,CA12*管理者用人口入力シート!BC$7))</f>
        <v>201.26387777137265</v>
      </c>
      <c r="CC15" s="9">
        <f>IF(管理者入力シート!$B$14=1,CB12*管理者用人口入力シート!BD$3,IF(管理者入力シート!$B$14=2,CB12*管理者用人口入力シート!BD$7))</f>
        <v>86.968117493603984</v>
      </c>
      <c r="CD15" s="9">
        <f>IF(管理者入力シート!$B$14=1,CC12*管理者用人口入力シート!BE$3,IF(管理者入力シート!$B$14=2,CC12*管理者用人口入力シート!BE$7))</f>
        <v>35.384514466294789</v>
      </c>
      <c r="CE15" s="9">
        <f>IF(管理者入力シート!$B$14=1,CD12*管理者用人口入力シート!BF$3,IF(管理者入力シート!$B$14=2,CD12*管理者用人口入力シート!BF$7))</f>
        <v>5.0520210391908691</v>
      </c>
      <c r="CF15" s="9">
        <f t="shared" ref="CF15:CF20" si="252">SUM(BK15:CE15)</f>
        <v>6678.7301228269816</v>
      </c>
      <c r="CG15" s="9">
        <f t="shared" ref="CG15:CG20" si="253">BL15*3/5+BM15*3/5</f>
        <v>527.53821992530493</v>
      </c>
      <c r="CH15" s="9">
        <f t="shared" ref="CH15:CH20" si="254">BM15*2/5+BN15*1/5</f>
        <v>271.92293177063397</v>
      </c>
      <c r="CI15" s="9">
        <f t="shared" ref="CI15:CI20" si="255">SUM(BX15:CE15)</f>
        <v>1801.0809817737097</v>
      </c>
      <c r="CJ15" s="9">
        <f t="shared" ref="CJ15:CJ20" si="256">SUM(BZ15:CE15)</f>
        <v>894.08433557232172</v>
      </c>
      <c r="CK15" s="13">
        <f t="shared" ref="CK15:CK20" si="257">CI15/CF15</f>
        <v>0.26967416689257473</v>
      </c>
      <c r="CL15" s="13">
        <f t="shared" ref="CL15:CL20" si="258">CJ15/CF15</f>
        <v>0.13387040936366995</v>
      </c>
      <c r="CM15" s="9">
        <f t="shared" ref="CM15:CM20" si="259">SUM(BO15:BR15)</f>
        <v>1276.9465758770166</v>
      </c>
      <c r="CO15" s="7" t="str">
        <f t="shared" si="26"/>
        <v>2045_1</v>
      </c>
      <c r="CP15" s="28">
        <f>管理者入力シート!B12</f>
        <v>2045</v>
      </c>
      <c r="CQ15" s="3" t="s">
        <v>21</v>
      </c>
      <c r="CR15" s="9">
        <f>DT16*$AK$13+将来予測シート②!$G17</f>
        <v>348.59109262146001</v>
      </c>
      <c r="CS15" s="9">
        <f>IF(管理者入力シート!$B$14=1,CR12*管理者用人口入力シート!AM$3,IF(管理者入力シート!$B$14=2,CR12*管理者用人口入力シート!AM$7))+将来予測シート②!$G18</f>
        <v>419.42337600219474</v>
      </c>
      <c r="CT15" s="9">
        <f>IF(管理者入力シート!$B$14=1,CS12*管理者用人口入力シート!AN$3,IF(管理者入力シート!$B$14=2,CS12*管理者用人口入力シート!AN$7))+将来予測シート②!$G19</f>
        <v>468.61009747093038</v>
      </c>
      <c r="CU15" s="9">
        <f>IF(管理者入力シート!$B$14=1,CT12*管理者用人口入力シート!AO$3,IF(管理者入力シート!$B$14=2,CT12*管理者用人口入力シート!AO$7))+将来予測シート②!$G20</f>
        <v>436.26789631956439</v>
      </c>
      <c r="CV15" s="9">
        <f>IF(管理者入力シート!$B$14=1,CU12*管理者用人口入力シート!AP$3,IF(管理者入力シート!$B$14=2,CU12*管理者用人口入力シート!AP$7))+将来予測シート②!$G21</f>
        <v>227.63455049225317</v>
      </c>
      <c r="CW15" s="9">
        <f>IF(管理者入力シート!$B$14=1,CV12*管理者用人口入力シート!AQ$3,IF(管理者入力シート!$B$14=2,CV12*管理者用人口入力シート!AQ$7))+将来予測シート②!$G22</f>
        <v>302.1942682573341</v>
      </c>
      <c r="CX15" s="9">
        <f>IF(管理者入力シート!$B$14=1,CW12*管理者用人口入力シート!AR$3,IF(管理者入力シート!$B$14=2,CW12*管理者用人口入力シート!AR$7))+将来予測シート②!$G23</f>
        <v>367.33855194133349</v>
      </c>
      <c r="CY15" s="9">
        <f>IF(管理者入力シート!$B$14=1,CX12*管理者用人口入力シート!AS$3,IF(管理者入力シート!$B$14=2,CX12*管理者用人口入力シート!AS$7))+将来予測シート②!$G24</f>
        <v>389.06172715035211</v>
      </c>
      <c r="CZ15" s="9">
        <f>IF(管理者入力シート!$B$14=1,CY12*管理者用人口入力シート!AT$3,IF(管理者入力シート!$B$14=2,CY12*管理者用人口入力シート!AT$7))+将来予測シート②!$G25</f>
        <v>382.4126371820268</v>
      </c>
      <c r="DA15" s="9">
        <f>IF(管理者入力シート!$B$14=1,CZ12*管理者用人口入力シート!AU$3,IF(管理者入力シート!$B$14=2,CZ12*管理者用人口入力シート!AU$7))+将来予測シート②!$G26</f>
        <v>375.30808155381254</v>
      </c>
      <c r="DB15" s="9">
        <f>IF(管理者入力シート!$B$14=1,DA12*管理者用人口入力シート!AV$3,IF(管理者入力シート!$B$14=2,DA12*管理者用人口入力シート!AV$7))+将来予測シート②!$G27</f>
        <v>371.35536622554366</v>
      </c>
      <c r="DC15" s="9">
        <f>IF(管理者入力シート!$B$14=1,DB12*管理者用人口入力シート!AW$3,IF(管理者入力シート!$B$14=2,DB12*管理者用人口入力シート!AW$7))+将来予測シート②!$G28</f>
        <v>395.92390247421366</v>
      </c>
      <c r="DD15" s="9">
        <f>IF(管理者入力シート!$B$14=1,DC12*管理者用人口入力シート!AX$3,IF(管理者入力シート!$B$14=2,DC12*管理者用人口入力シート!AX$7))+将来予測シート②!$G29</f>
        <v>424.70824682266903</v>
      </c>
      <c r="DE15" s="9">
        <f>IF(管理者入力シート!$B$14=1,DD12*管理者用人口入力シート!AY$3,IF(管理者入力シート!$B$14=2,DD12*管理者用人口入力シート!AY$7))</f>
        <v>534.87052939895625</v>
      </c>
      <c r="DF15" s="9">
        <f>IF(管理者入力シート!$B$14=1,DE12*管理者用人口入力シート!AZ$3,IF(管理者入力シート!$B$14=2,DE12*管理者用人口入力シート!AZ$7))</f>
        <v>372.1261168024318</v>
      </c>
      <c r="DG15" s="9">
        <f>IF(管理者入力シート!$B$14=1,DF12*管理者用人口入力シート!BA$3,IF(管理者入力シート!$B$14=2,DF12*管理者用人口入力シート!BA$7))</f>
        <v>308.59842860029102</v>
      </c>
      <c r="DH15" s="9">
        <f>IF(管理者入力シート!$B$14=1,DG12*管理者用人口入力シート!BB$3,IF(管理者入力シート!$B$14=2,DG12*管理者用人口入力シート!BB$7))</f>
        <v>256.81737620156832</v>
      </c>
      <c r="DI15" s="9">
        <f>IF(管理者入力シート!$B$14=1,DH12*管理者用人口入力シート!BC$3,IF(管理者入力シート!$B$14=2,DH12*管理者用人口入力シート!BC$7))</f>
        <v>201.26387777137265</v>
      </c>
      <c r="DJ15" s="9">
        <f>IF(管理者入力シート!$B$14=1,DI12*管理者用人口入力シート!BD$3,IF(管理者入力シート!$B$14=2,DI12*管理者用人口入力シート!BD$7))</f>
        <v>86.968117493603984</v>
      </c>
      <c r="DK15" s="9">
        <f>IF(管理者入力シート!$B$14=1,DJ12*管理者用人口入力シート!BE$3,IF(管理者入力シート!$B$14=2,DJ12*管理者用人口入力シート!BE$7))</f>
        <v>35.384514466294789</v>
      </c>
      <c r="DL15" s="9">
        <f>IF(管理者入力シート!$B$14=1,DK12*管理者用人口入力シート!BF$3,IF(管理者入力シート!$B$14=2,DK12*管理者用人口入力シート!BF$7))</f>
        <v>5.0520210391908691</v>
      </c>
      <c r="DM15" s="9">
        <f t="shared" ref="DM15:DM20" si="260">SUM(CR15:DL15)</f>
        <v>6709.9107762873973</v>
      </c>
      <c r="DN15" s="9">
        <f t="shared" ref="DN15:DN20" si="261">CS15*3/5+CT15*3/5</f>
        <v>532.82008408387514</v>
      </c>
      <c r="DO15" s="9">
        <f t="shared" ref="DO15:DO20" si="262">CT15*2/5+CU15*1/5</f>
        <v>274.697618252285</v>
      </c>
      <c r="DP15" s="9">
        <f t="shared" ref="DP15:DP20" si="263">SUM(DE15:DL15)</f>
        <v>1801.0809817737097</v>
      </c>
      <c r="DQ15" s="9">
        <f t="shared" ref="DQ15:DQ20" si="264">SUM(DG15:DL15)</f>
        <v>894.08433557232172</v>
      </c>
      <c r="DR15" s="13">
        <f t="shared" ref="DR15:DR20" si="265">DP15/DM15</f>
        <v>0.26842100317319723</v>
      </c>
      <c r="DS15" s="13">
        <f t="shared" ref="DS15:DS20" si="266">DQ15/DM15</f>
        <v>0.13324831959494696</v>
      </c>
      <c r="DT15" s="9">
        <f t="shared" ref="DT15:DT20" si="267">SUM(CV15:CY15)</f>
        <v>1286.229097841273</v>
      </c>
      <c r="DV15" s="62" t="s">
        <v>404</v>
      </c>
      <c r="DW15" s="211">
        <f>AK13+AK14</f>
        <v>0.53196524827658842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298.22766580745736</v>
      </c>
      <c r="BL16" s="10">
        <f>IF(管理者入力シート!$B$14=1,BK13*管理者用人口入力シート!AM$4,IF(管理者入力シート!$B$14=2,BK13*管理者用人口入力シート!AM$8))</f>
        <v>335.01561593757265</v>
      </c>
      <c r="BM16" s="10">
        <f>IF(管理者入力シート!$B$14=1,BL13*管理者用人口入力シート!AN$4,IF(管理者入力シート!$B$14=2,BL13*管理者用人口入力シート!AN$8))</f>
        <v>362.38531764330537</v>
      </c>
      <c r="BN16" s="10">
        <f>IF(管理者入力シート!$B$14=1,BM13*管理者用人口入力シート!AO$4,IF(管理者入力シート!$B$14=2,BM13*管理者用人口入力シート!AO$8))</f>
        <v>317.95521679086488</v>
      </c>
      <c r="BO16" s="10">
        <f>IF(管理者入力シート!$B$14=1,BN13*管理者用人口入力シート!AP$4,IF(管理者入力シート!$B$14=2,BN13*管理者用人口入力シート!AP$8))</f>
        <v>207.75886959038354</v>
      </c>
      <c r="BP16" s="10">
        <f>IF(管理者入力シート!$B$14=1,BO13*管理者用人口入力シート!AQ$4,IF(管理者入力シート!$B$14=2,BO13*管理者用人口入力シート!AQ$8))</f>
        <v>260.69276965149226</v>
      </c>
      <c r="BQ16" s="10">
        <f>IF(管理者入力シート!$B$14=1,BP13*管理者用人口入力シート!AR$4,IF(管理者入力シート!$B$14=2,BP13*管理者用人口入力シート!AR$8))</f>
        <v>349.85722651335857</v>
      </c>
      <c r="BR16" s="10">
        <f>IF(管理者入力シート!$B$14=1,BQ13*管理者用人口入力シート!AS$4,IF(管理者入力シート!$B$14=2,BQ13*管理者用人口入力シート!AS$8))</f>
        <v>390.69612137060841</v>
      </c>
      <c r="BS16" s="10">
        <f>IF(管理者入力シート!$B$14=1,BR13*管理者用人口入力シート!AT$4,IF(管理者入力シート!$B$14=2,BR13*管理者用人口入力シート!AT$8))</f>
        <v>376.41593599627345</v>
      </c>
      <c r="BT16" s="10">
        <f>IF(管理者入力シート!$B$14=1,BS13*管理者用人口入力シート!AU$4,IF(管理者入力シート!$B$14=2,BS13*管理者用人口入力シート!AU$8))</f>
        <v>325.6282101427949</v>
      </c>
      <c r="BU16" s="10">
        <f>IF(管理者入力シート!$B$14=1,BT13*管理者用人口入力シート!AV$4,IF(管理者入力シート!$B$14=2,BT13*管理者用人口入力シート!AV$8))</f>
        <v>312.28281335676809</v>
      </c>
      <c r="BV16" s="10">
        <f>IF(管理者入力シート!$B$14=1,BU13*管理者用人口入力シート!AW$4,IF(管理者入力シート!$B$14=2,BU13*管理者用人口入力シート!AW$8))</f>
        <v>424.43434300006646</v>
      </c>
      <c r="BW16" s="10">
        <f>IF(管理者入力シート!$B$14=1,BV13*管理者用人口入力シート!AX$4,IF(管理者入力シート!$B$14=2,BV13*管理者用人口入力シート!AX$8))</f>
        <v>464.300933781487</v>
      </c>
      <c r="BX16" s="10">
        <f>IF(管理者入力シート!$B$14=1,BW13*管理者用人口入力シート!AY$4,IF(管理者入力シート!$B$14=2,BW13*管理者用人口入力シート!AY$8))</f>
        <v>521.45865330284551</v>
      </c>
      <c r="BY16" s="10">
        <f>IF(管理者入力シート!$B$14=1,BX13*管理者用人口入力シート!AZ$4,IF(管理者入力シート!$B$14=2,BX13*管理者用人口入力シート!AZ$8))</f>
        <v>453.34129827807385</v>
      </c>
      <c r="BZ16" s="10">
        <f>IF(管理者入力シート!$B$14=1,BY13*管理者用人口入力シート!BA$4,IF(管理者入力シート!$B$14=2,BY13*管理者用人口入力シート!BA$8))</f>
        <v>424.30979413099703</v>
      </c>
      <c r="CA16" s="10">
        <f>IF(管理者入力シート!$B$14=1,BZ13*管理者用人口入力シート!BB$4,IF(管理者入力シート!$B$14=2,BZ13*管理者用人口入力シート!BB$8))</f>
        <v>411.22692377120234</v>
      </c>
      <c r="CB16" s="10">
        <f>IF(管理者入力シート!$B$14=1,CA13*管理者用人口入力シート!BC$4,IF(管理者入力シート!$B$14=2,CA13*管理者用人口入力シート!BC$8))</f>
        <v>376.69827902466943</v>
      </c>
      <c r="CC16" s="10">
        <f>IF(管理者入力シート!$B$14=1,CB13*管理者用人口入力シート!BD$4,IF(管理者入力シート!$B$14=2,CB13*管理者用人口入力シート!BD$8))</f>
        <v>296.52181135325083</v>
      </c>
      <c r="CD16" s="10">
        <f>IF(管理者入力シート!$B$14=1,CC13*管理者用人口入力シート!BE$4,IF(管理者入力シート!$B$14=2,CC13*管理者用人口入力シート!BE$8))</f>
        <v>114.0229096493422</v>
      </c>
      <c r="CE16" s="10">
        <f>IF(管理者入力シート!$B$14=1,CD13*管理者用人口入力シート!BF$4,IF(管理者入力シート!$B$14=2,CD13*管理者用人口入力シート!BF$8))</f>
        <v>11.627335868793844</v>
      </c>
      <c r="CF16" s="10">
        <f t="shared" si="252"/>
        <v>7034.8580449616084</v>
      </c>
      <c r="CG16" s="10">
        <f t="shared" si="253"/>
        <v>418.4405601485268</v>
      </c>
      <c r="CH16" s="10">
        <f t="shared" si="254"/>
        <v>208.54517041549514</v>
      </c>
      <c r="CI16" s="10">
        <f t="shared" si="255"/>
        <v>2609.2070053791754</v>
      </c>
      <c r="CJ16" s="10">
        <f t="shared" si="256"/>
        <v>1634.4070537982557</v>
      </c>
      <c r="CK16" s="14">
        <f t="shared" si="257"/>
        <v>0.37089689496263528</v>
      </c>
      <c r="CL16" s="14">
        <f t="shared" si="258"/>
        <v>0.23232978453187469</v>
      </c>
      <c r="CM16" s="10">
        <f t="shared" si="259"/>
        <v>1209.0049871258427</v>
      </c>
      <c r="CO16" s="7" t="str">
        <f t="shared" si="26"/>
        <v>2045_2</v>
      </c>
      <c r="CP16" s="29">
        <f>CP15</f>
        <v>2045</v>
      </c>
      <c r="CQ16" s="4" t="s">
        <v>22</v>
      </c>
      <c r="CR16" s="10">
        <f>DT16*$AK$14+将来予測シート②!$H17</f>
        <v>301.53632142382082</v>
      </c>
      <c r="CS16" s="10">
        <f>IF(管理者入力シート!$B$14=1,CR13*管理者用人口入力シート!AM$4,IF(管理者入力シート!$B$14=2,CR13*管理者用人口入力シート!AM$8))+将来予測シート②!$H18</f>
        <v>338.20449098584129</v>
      </c>
      <c r="CT16" s="10">
        <f>IF(管理者入力シート!$B$14=1,CS13*管理者用人口入力シート!AN$4,IF(管理者入力シート!$B$14=2,CS13*管理者用人口入力シート!AN$8))+将来予測シート②!$H19</f>
        <v>366.69415708487099</v>
      </c>
      <c r="CU16" s="10">
        <f>IF(管理者入力シート!$B$14=1,CT13*管理者用人口入力シート!AO$4,IF(管理者入力シート!$B$14=2,CT13*管理者用人口入力シート!AO$8))+将来予測シート②!$H20</f>
        <v>321.11060366523117</v>
      </c>
      <c r="CV16" s="10">
        <f>IF(管理者入力シート!$B$14=1,CU13*管理者用人口入力シート!AP$4,IF(管理者入力シート!$B$14=2,CU13*管理者用人口入力シート!AP$8))+将来予測シート②!$H21</f>
        <v>209.01063029439933</v>
      </c>
      <c r="CW16" s="10">
        <f>IF(管理者入力シート!$B$14=1,CV13*管理者用人口入力シート!AQ$4,IF(管理者入力シート!$B$14=2,CV13*管理者用人口入力シート!AQ$8))+将来予測シート②!$H22</f>
        <v>263.35151556077386</v>
      </c>
      <c r="CX16" s="10">
        <f>IF(管理者入力シート!$B$14=1,CW13*管理者用人口入力シート!AR$4,IF(管理者入力シート!$B$14=2,CW13*管理者用人口入力シート!AR$8))+将来予測シート②!$H23</f>
        <v>352.86480414182222</v>
      </c>
      <c r="CY16" s="10">
        <f>IF(管理者入力シート!$B$14=1,CX13*管理者用人口入力シート!AS$4,IF(管理者入力シート!$B$14=2,CX13*管理者用人口入力シート!AS$8))+将来予測シート②!$H24</f>
        <v>393.13724981685306</v>
      </c>
      <c r="CZ16" s="10">
        <f>IF(管理者入力シート!$B$14=1,CY13*管理者用人口入力シート!AT$4,IF(管理者入力シート!$B$14=2,CY13*管理者用人口入力シート!AT$8))+将来予測シート②!$H25</f>
        <v>379.95865817325785</v>
      </c>
      <c r="DA16" s="10">
        <f>IF(管理者入力シート!$B$14=1,CZ13*管理者用人口入力シート!AU$4,IF(管理者入力シート!$B$14=2,CZ13*管理者用人口入力シート!AU$8))+将来予測シート②!$H26</f>
        <v>329.12396762562116</v>
      </c>
      <c r="DB16" s="10">
        <f>IF(管理者入力シート!$B$14=1,DA13*管理者用人口入力シート!AV$4,IF(管理者入力シート!$B$14=2,DA13*管理者用人口入力シート!AV$8))+将来予測シート②!$H27</f>
        <v>313.23503281256268</v>
      </c>
      <c r="DC16" s="10">
        <f>IF(管理者入力シート!$B$14=1,DB13*管理者用人口入力シート!AW$4,IF(管理者入力シート!$B$14=2,DB13*管理者用人口入力シート!AW$8))+将来予測シート②!$H28</f>
        <v>425.37709388830359</v>
      </c>
      <c r="DD16" s="10">
        <f>IF(管理者入力シート!$B$14=1,DC13*管理者用人口入力シート!AX$4,IF(管理者入力シート!$B$14=2,DC13*管理者用人口入力シート!AX$8))+将来予測シート②!$H29</f>
        <v>465.24776779329341</v>
      </c>
      <c r="DE16" s="10">
        <f>IF(管理者入力シート!$B$14=1,DD13*管理者用人口入力シート!AY$4,IF(管理者入力シート!$B$14=2,DD13*管理者用人口入力シート!AY$8))</f>
        <v>521.45865330284551</v>
      </c>
      <c r="DF16" s="10">
        <f>IF(管理者入力シート!$B$14=1,DE13*管理者用人口入力シート!AZ$4,IF(管理者入力シート!$B$14=2,DE13*管理者用人口入力シート!AZ$8))</f>
        <v>453.34129827807385</v>
      </c>
      <c r="DG16" s="10">
        <f>IF(管理者入力シート!$B$14=1,DF13*管理者用人口入力シート!BA$4,IF(管理者入力シート!$B$14=2,DF13*管理者用人口入力シート!BA$8))</f>
        <v>424.30979413099703</v>
      </c>
      <c r="DH16" s="10">
        <f>IF(管理者入力シート!$B$14=1,DG13*管理者用人口入力シート!BB$4,IF(管理者入力シート!$B$14=2,DG13*管理者用人口入力シート!BB$8))</f>
        <v>411.22692377120234</v>
      </c>
      <c r="DI16" s="10">
        <f>IF(管理者入力シート!$B$14=1,DH13*管理者用人口入力シート!BC$4,IF(管理者入力シート!$B$14=2,DH13*管理者用人口入力シート!BC$8))</f>
        <v>376.69827902466943</v>
      </c>
      <c r="DJ16" s="10">
        <f>IF(管理者入力シート!$B$14=1,DI13*管理者用人口入力シート!BD$4,IF(管理者入力シート!$B$14=2,DI13*管理者用人口入力シート!BD$8))</f>
        <v>296.52181135325083</v>
      </c>
      <c r="DK16" s="10">
        <f>IF(管理者入力シート!$B$14=1,DJ13*管理者用人口入力シート!BE$4,IF(管理者入力シート!$B$14=2,DJ13*管理者用人口入力シート!BE$8))</f>
        <v>114.0229096493422</v>
      </c>
      <c r="DL16" s="10">
        <f>IF(管理者入力シート!$B$14=1,DK13*管理者用人口入力シート!BF$4,IF(管理者入力シート!$B$14=2,DK13*管理者用人口入力シート!BF$8))</f>
        <v>11.627335868793844</v>
      </c>
      <c r="DM16" s="10">
        <f t="shared" si="260"/>
        <v>7068.0592986458259</v>
      </c>
      <c r="DN16" s="10">
        <f t="shared" si="261"/>
        <v>422.93918884242737</v>
      </c>
      <c r="DO16" s="10">
        <f t="shared" si="262"/>
        <v>210.89978356699464</v>
      </c>
      <c r="DP16" s="10">
        <f t="shared" si="263"/>
        <v>2609.2070053791754</v>
      </c>
      <c r="DQ16" s="10">
        <f t="shared" si="264"/>
        <v>1634.4070537982557</v>
      </c>
      <c r="DR16" s="14">
        <f t="shared" si="265"/>
        <v>0.36915465690547827</v>
      </c>
      <c r="DS16" s="14">
        <f t="shared" si="266"/>
        <v>0.23123844675601304</v>
      </c>
      <c r="DT16" s="10">
        <f t="shared" si="267"/>
        <v>1218.3641998138485</v>
      </c>
      <c r="DV16" s="212" t="s">
        <v>406</v>
      </c>
      <c r="DW16" s="7">
        <f>IF(DW10&lt;0,ABS(DW10)/DW15,0)</f>
        <v>147.98357900613669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643.14863814403247</v>
      </c>
      <c r="BL17" s="16">
        <f t="shared" ref="BL17:CE17" si="268">BL15+BL16</f>
        <v>750.663708197863</v>
      </c>
      <c r="BM17" s="16">
        <f t="shared" si="268"/>
        <v>825.96759192518994</v>
      </c>
      <c r="BN17" s="16">
        <f t="shared" si="268"/>
        <v>750.40532708026581</v>
      </c>
      <c r="BO17" s="16">
        <f t="shared" si="268"/>
        <v>434.26526848469496</v>
      </c>
      <c r="BP17" s="16">
        <f t="shared" si="268"/>
        <v>560.29523363421924</v>
      </c>
      <c r="BQ17" s="16">
        <f t="shared" si="268"/>
        <v>714.23386204227677</v>
      </c>
      <c r="BR17" s="16">
        <f t="shared" si="268"/>
        <v>777.15719884166833</v>
      </c>
      <c r="BS17" s="16">
        <f t="shared" si="268"/>
        <v>756.05629538437847</v>
      </c>
      <c r="BT17" s="16">
        <f t="shared" si="268"/>
        <v>698.10145124036819</v>
      </c>
      <c r="BU17" s="16">
        <f t="shared" si="268"/>
        <v>683.63817958231175</v>
      </c>
      <c r="BV17" s="16">
        <f t="shared" si="268"/>
        <v>820.35824547428012</v>
      </c>
      <c r="BW17" s="16">
        <f t="shared" si="268"/>
        <v>889.00918060415597</v>
      </c>
      <c r="BX17" s="16">
        <f t="shared" si="268"/>
        <v>1056.3291827018018</v>
      </c>
      <c r="BY17" s="16">
        <f t="shared" si="268"/>
        <v>825.46741508050559</v>
      </c>
      <c r="BZ17" s="16">
        <f t="shared" si="268"/>
        <v>732.90822273128811</v>
      </c>
      <c r="CA17" s="16">
        <f t="shared" si="268"/>
        <v>668.04429997277066</v>
      </c>
      <c r="CB17" s="16">
        <f t="shared" si="268"/>
        <v>577.96215679604211</v>
      </c>
      <c r="CC17" s="16">
        <f t="shared" si="268"/>
        <v>383.48992884685481</v>
      </c>
      <c r="CD17" s="16">
        <f t="shared" si="268"/>
        <v>149.40742411563699</v>
      </c>
      <c r="CE17" s="16">
        <f t="shared" si="268"/>
        <v>16.679356907984712</v>
      </c>
      <c r="CF17" s="11">
        <f t="shared" si="252"/>
        <v>13713.588167788594</v>
      </c>
      <c r="CG17" s="11">
        <f t="shared" si="253"/>
        <v>945.97878007383179</v>
      </c>
      <c r="CH17" s="11">
        <f t="shared" si="254"/>
        <v>480.4681021861291</v>
      </c>
      <c r="CI17" s="11">
        <f t="shared" si="255"/>
        <v>4410.2879871528839</v>
      </c>
      <c r="CJ17" s="11">
        <f t="shared" si="256"/>
        <v>2528.4913893705771</v>
      </c>
      <c r="CK17" s="15">
        <f t="shared" si="257"/>
        <v>0.32159985652129086</v>
      </c>
      <c r="CL17" s="15">
        <f t="shared" si="258"/>
        <v>0.18437854181079094</v>
      </c>
      <c r="CM17" s="11">
        <f t="shared" si="259"/>
        <v>2485.9515630028591</v>
      </c>
      <c r="CO17" s="7" t="str">
        <f t="shared" si="26"/>
        <v>2045_3</v>
      </c>
      <c r="CP17" s="30">
        <f>CP16</f>
        <v>2045</v>
      </c>
      <c r="CQ17" s="5" t="s">
        <v>23</v>
      </c>
      <c r="CR17" s="16">
        <f>CR15+CR16</f>
        <v>650.12741404528083</v>
      </c>
      <c r="CS17" s="16">
        <f>CS15+CS16</f>
        <v>757.62786698803598</v>
      </c>
      <c r="CT17" s="16">
        <f t="shared" ref="CT17:DL17" si="269">CT15+CT16</f>
        <v>835.30425455580144</v>
      </c>
      <c r="CU17" s="16">
        <f t="shared" si="269"/>
        <v>757.37849998479555</v>
      </c>
      <c r="CV17" s="16">
        <f t="shared" si="269"/>
        <v>436.64518078665253</v>
      </c>
      <c r="CW17" s="16">
        <f t="shared" si="269"/>
        <v>565.54578381810802</v>
      </c>
      <c r="CX17" s="16">
        <f t="shared" si="269"/>
        <v>720.20335608315577</v>
      </c>
      <c r="CY17" s="16">
        <f t="shared" si="269"/>
        <v>782.19897696720523</v>
      </c>
      <c r="CZ17" s="16">
        <f t="shared" si="269"/>
        <v>762.3712953552847</v>
      </c>
      <c r="DA17" s="16">
        <f t="shared" si="269"/>
        <v>704.43204917943376</v>
      </c>
      <c r="DB17" s="16">
        <f t="shared" si="269"/>
        <v>684.5903990381064</v>
      </c>
      <c r="DC17" s="16">
        <f t="shared" si="269"/>
        <v>821.30099636251725</v>
      </c>
      <c r="DD17" s="16">
        <f t="shared" si="269"/>
        <v>889.95601461596243</v>
      </c>
      <c r="DE17" s="16">
        <f t="shared" si="269"/>
        <v>1056.3291827018018</v>
      </c>
      <c r="DF17" s="16">
        <f t="shared" si="269"/>
        <v>825.46741508050559</v>
      </c>
      <c r="DG17" s="16">
        <f t="shared" si="269"/>
        <v>732.90822273128811</v>
      </c>
      <c r="DH17" s="16">
        <f t="shared" si="269"/>
        <v>668.04429997277066</v>
      </c>
      <c r="DI17" s="16">
        <f t="shared" si="269"/>
        <v>577.96215679604211</v>
      </c>
      <c r="DJ17" s="16">
        <f t="shared" si="269"/>
        <v>383.48992884685481</v>
      </c>
      <c r="DK17" s="16">
        <f t="shared" si="269"/>
        <v>149.40742411563699</v>
      </c>
      <c r="DL17" s="16">
        <f t="shared" si="269"/>
        <v>16.679356907984712</v>
      </c>
      <c r="DM17" s="11">
        <f t="shared" si="260"/>
        <v>13777.970074933228</v>
      </c>
      <c r="DN17" s="11">
        <f t="shared" si="261"/>
        <v>955.75927292630251</v>
      </c>
      <c r="DO17" s="11">
        <f t="shared" si="262"/>
        <v>485.5974018192797</v>
      </c>
      <c r="DP17" s="11">
        <f t="shared" si="263"/>
        <v>4410.2879871528839</v>
      </c>
      <c r="DQ17" s="11">
        <f t="shared" si="264"/>
        <v>2528.4913893705771</v>
      </c>
      <c r="DR17" s="15">
        <f t="shared" si="265"/>
        <v>0.32009707984318275</v>
      </c>
      <c r="DS17" s="15">
        <f t="shared" si="266"/>
        <v>0.18351697496939373</v>
      </c>
      <c r="DT17" s="11">
        <f t="shared" si="267"/>
        <v>2504.5932976551212</v>
      </c>
      <c r="DV17" s="62" t="s">
        <v>407</v>
      </c>
      <c r="DW17" s="7">
        <f>IF(DW9&gt;=0,0,IF(AND(DW10&lt;=0,DW9&lt;=0,DW16*2&gt;=ABS(DW9)),ROUND(DW16/3,0),ROUND(ABS(DW9)/6,0)))</f>
        <v>49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316.44417643488043</v>
      </c>
      <c r="BL18" s="9">
        <f>IF(管理者入力シート!$B$14=1,BK15*管理者用人口入力シート!AM$3,IF(管理者入力シート!$B$14=2,BK15*管理者用人口入力シート!AM$7))</f>
        <v>398.95850788330569</v>
      </c>
      <c r="BM18" s="9">
        <f>IF(管理者入力シート!$B$14=1,BL15*管理者用人口入力シート!AN$3,IF(管理者入力シート!$B$14=2,BL15*管理者用人口入力シート!AN$7))</f>
        <v>470.54576837238506</v>
      </c>
      <c r="BN18" s="9">
        <f>IF(管理者入力シート!$B$14=1,BM15*管理者用人口入力シート!AO$3,IF(管理者入力シート!$B$14=2,BM15*管理者用人口入力シート!AO$7))</f>
        <v>453.60555366725652</v>
      </c>
      <c r="BO18" s="9">
        <f>IF(管理者入力シート!$B$14=1,BN15*管理者用人口入力シート!AP$3,IF(管理者入力シート!$B$14=2,BN15*管理者用人口入力シート!AP$7))</f>
        <v>215.89671790400823</v>
      </c>
      <c r="BP18" s="9">
        <f>IF(管理者入力シート!$B$14=1,BO15*管理者用人口入力シート!AQ$3,IF(管理者入力シート!$B$14=2,BO15*管理者用人口入力シート!AQ$7))</f>
        <v>274.4081487333421</v>
      </c>
      <c r="BQ18" s="9">
        <f>IF(管理者入力シート!$B$14=1,BP15*管理者用人口入力シート!AR$3,IF(管理者入力シート!$B$14=2,BP15*管理者用人口入力シート!AR$7))</f>
        <v>342.38598337252938</v>
      </c>
      <c r="BR18" s="9">
        <f>IF(管理者入力シート!$B$14=1,BQ15*管理者用人口入力シート!AS$3,IF(管理者入力シート!$B$14=2,BQ15*管理者用人口入力シート!AS$7))</f>
        <v>414.60237335027972</v>
      </c>
      <c r="BS18" s="9">
        <f>IF(管理者入力シート!$B$14=1,BR15*管理者用人口入力シート!AT$3,IF(管理者入力シート!$B$14=2,BR15*管理者用人口入力シート!AT$7))</f>
        <v>411.96531459769335</v>
      </c>
      <c r="BT18" s="9">
        <f>IF(管理者入力シート!$B$14=1,BS15*管理者用人口入力シート!AU$3,IF(管理者入力シート!$B$14=2,BS15*管理者用人口入力シート!AU$7))</f>
        <v>388.20779503925706</v>
      </c>
      <c r="BU18" s="9">
        <f>IF(管理者入力シート!$B$14=1,BT15*管理者用人口入力シート!AV$3,IF(管理者入力シート!$B$14=2,BT15*管理者用人口入力シート!AV$7))</f>
        <v>366.6963659165279</v>
      </c>
      <c r="BV18" s="9">
        <f>IF(管理者入力シート!$B$14=1,BU15*管理者用人口入力シート!AW$3,IF(管理者入力シート!$B$14=2,BU15*管理者用人口入力シート!AW$7))</f>
        <v>360.12139025128209</v>
      </c>
      <c r="BW18" s="9">
        <f>IF(管理者入力シート!$B$14=1,BV15*管理者用人口入力シート!AX$3,IF(管理者入力シート!$B$14=2,BV15*管理者用人口入力シート!AX$7))</f>
        <v>395.34955288847402</v>
      </c>
      <c r="BX18" s="9">
        <f>IF(管理者入力シート!$B$14=1,BW15*管理者用人口入力シート!AY$3,IF(管理者入力シート!$B$14=2,BW15*管理者用人口入力シート!AY$7))</f>
        <v>424.23512058303118</v>
      </c>
      <c r="BY18" s="9">
        <f>IF(管理者入力シート!$B$14=1,BX15*管理者用人口入力シート!AZ$3,IF(管理者入力シート!$B$14=2,BX15*管理者用人口入力シート!AZ$7))</f>
        <v>489.87757491006778</v>
      </c>
      <c r="BZ18" s="9">
        <f>IF(管理者入力シート!$B$14=1,BY15*管理者用人口入力シート!BA$3,IF(管理者入力シート!$B$14=2,BY15*管理者用人口入力シート!BA$7))</f>
        <v>321.17049464471205</v>
      </c>
      <c r="CA18" s="9">
        <f>IF(管理者入力シート!$B$14=1,BZ15*管理者用人口入力シート!BB$3,IF(管理者入力シート!$B$14=2,BZ15*管理者用人口入力シート!BB$7))</f>
        <v>252.88146253151814</v>
      </c>
      <c r="CB18" s="9">
        <f>IF(管理者入力シート!$B$14=1,CA15*管理者用人口入力シート!BC$3,IF(管理者入力シート!$B$14=2,CA15*管理者用人口入力シート!BC$7))</f>
        <v>173.40973824966693</v>
      </c>
      <c r="CC18" s="9">
        <f>IF(管理者入力シート!$B$14=1,CB15*管理者用人口入力シート!BD$3,IF(管理者入力シート!$B$14=2,CB15*管理者用人口入力シート!BD$7))</f>
        <v>91.853647481401111</v>
      </c>
      <c r="CD18" s="9">
        <f>IF(管理者入力シート!$B$14=1,CC15*管理者用人口入力シート!BE$3,IF(管理者入力シート!$B$14=2,CC15*管理者用人口入力シート!BE$7))</f>
        <v>31.749552350416216</v>
      </c>
      <c r="CE18" s="9">
        <f>IF(管理者入力シート!$B$14=1,CD15*管理者用人口入力シート!BF$3,IF(管理者入力シート!$B$14=2,CD15*管理者用人口入力シート!BF$7))</f>
        <v>7.9180275620257285</v>
      </c>
      <c r="CF18" s="9">
        <f t="shared" si="252"/>
        <v>6602.2832667240591</v>
      </c>
      <c r="CG18" s="9">
        <f t="shared" si="253"/>
        <v>521.70256575341455</v>
      </c>
      <c r="CH18" s="9">
        <f t="shared" si="254"/>
        <v>278.93941808240533</v>
      </c>
      <c r="CI18" s="9">
        <f t="shared" si="255"/>
        <v>1793.0956183128392</v>
      </c>
      <c r="CJ18" s="9">
        <f t="shared" si="256"/>
        <v>878.98292281974022</v>
      </c>
      <c r="CK18" s="13">
        <f t="shared" si="257"/>
        <v>0.27158719883319138</v>
      </c>
      <c r="CL18" s="13">
        <f t="shared" si="258"/>
        <v>0.13313317337501585</v>
      </c>
      <c r="CM18" s="9">
        <f t="shared" si="259"/>
        <v>1247.2932233601593</v>
      </c>
      <c r="CO18" s="7" t="str">
        <f t="shared" si="26"/>
        <v>2050_1</v>
      </c>
      <c r="CP18" s="28">
        <f>管理者入力シート!B13</f>
        <v>2050</v>
      </c>
      <c r="CQ18" s="3" t="s">
        <v>21</v>
      </c>
      <c r="CR18" s="9">
        <f>DT19*$AK$13+将来予測シート②!$G17</f>
        <v>320.76971960653299</v>
      </c>
      <c r="CS18" s="9">
        <f>IF(管理者入力シート!$B$14=1,CR15*管理者用人口入力シート!AM$3,IF(管理者入力シート!$B$14=2,CR15*管理者用人口入力シート!AM$7))+将来予測シート②!$G18</f>
        <v>403.20361279151388</v>
      </c>
      <c r="CT18" s="9">
        <f>IF(管理者入力シート!$B$14=1,CS15*管理者用人口入力シート!AN$3,IF(管理者入力シート!$B$14=2,CS15*管理者用人口入力シート!AN$7))+将来予測シート②!$G19</f>
        <v>475.819681382542</v>
      </c>
      <c r="CU18" s="9">
        <f>IF(管理者入力シート!$B$14=1,CT15*管理者用人口入力シート!AO$3,IF(管理者入力シート!$B$14=2,CT15*管理者用人口入力シート!AO$7))+将来予測シート②!$G20</f>
        <v>458.52517343688874</v>
      </c>
      <c r="CV18" s="9">
        <f>IF(管理者入力シート!$B$14=1,CU15*管理者用人口入力シート!AP$3,IF(管理者入力シート!$B$14=2,CU15*管理者用人口入力シート!AP$7))+将来予測シート②!$G21</f>
        <v>217.80271226950967</v>
      </c>
      <c r="CW18" s="9">
        <f>IF(管理者入力シート!$B$14=1,CV15*管理者用人口入力シート!AQ$3,IF(管理者入力シート!$B$14=2,CV15*管理者用人口入力シート!AQ$7))+将来予測シート②!$G22</f>
        <v>277.77488271080557</v>
      </c>
      <c r="CX18" s="9">
        <f>IF(管理者入力シート!$B$14=1,CW15*管理者用人口入力シート!AR$3,IF(管理者入力シート!$B$14=2,CW15*管理者用人口入力シート!AR$7))+将来予測シート②!$G23</f>
        <v>345.34789978494462</v>
      </c>
      <c r="CY18" s="9">
        <f>IF(管理者入力シート!$B$14=1,CX15*管理者用人口入力シート!AS$3,IF(管理者入力シート!$B$14=2,CX15*管理者用人口入力シート!AS$7))+将来予測シート②!$G24</f>
        <v>417.97256082805239</v>
      </c>
      <c r="CZ18" s="9">
        <f>IF(管理者入力シート!$B$14=1,CY15*管理者用人口入力シート!AT$3,IF(管理者入力シート!$B$14=2,CY15*管理者用人口入力シート!AT$7))+将来予測シート②!$G25</f>
        <v>414.73759239161495</v>
      </c>
      <c r="DA18" s="9">
        <f>IF(管理者入力シート!$B$14=1,CZ15*管理者用人口入力シート!AU$3,IF(管理者入力シート!$B$14=2,CZ15*管理者用人口入力シート!AU$7))+将来予測シート②!$G26</f>
        <v>391.04263549549643</v>
      </c>
      <c r="DB18" s="9">
        <f>IF(管理者入力シート!$B$14=1,DA15*管理者用人口入力シート!AV$3,IF(管理者入力シート!$B$14=2,DA15*管理者用人口入力シート!AV$7))+将来予測シート②!$G27</f>
        <v>369.48723940368876</v>
      </c>
      <c r="DC18" s="9">
        <f>IF(管理者入力シート!$B$14=1,DB15*管理者用人口入力シート!AW$3,IF(管理者入力シート!$B$14=2,DB15*管理者用人口入力シート!AW$7))+将来予測シート②!$G28</f>
        <v>360.12139025128209</v>
      </c>
      <c r="DD18" s="9">
        <f>IF(管理者入力シート!$B$14=1,DC15*管理者用人口入力シート!AX$3,IF(管理者入力シート!$B$14=2,DC15*管理者用人口入力シート!AX$7))+将来予測シート②!$G29</f>
        <v>395.34955288847402</v>
      </c>
      <c r="DE18" s="9">
        <f>IF(管理者入力シート!$B$14=1,DD15*管理者用人口入力シート!AY$3,IF(管理者入力シート!$B$14=2,DD15*管理者用人口入力シート!AY$7))</f>
        <v>424.23512058303118</v>
      </c>
      <c r="DF18" s="9">
        <f>IF(管理者入力シート!$B$14=1,DE15*管理者用人口入力シート!AZ$3,IF(管理者入力シート!$B$14=2,DE15*管理者用人口入力シート!AZ$7))</f>
        <v>489.87757491006778</v>
      </c>
      <c r="DG18" s="9">
        <f>IF(管理者入力シート!$B$14=1,DF15*管理者用人口入力シート!BA$3,IF(管理者入力シート!$B$14=2,DF15*管理者用人口入力シート!BA$7))</f>
        <v>321.17049464471205</v>
      </c>
      <c r="DH18" s="9">
        <f>IF(管理者入力シート!$B$14=1,DG15*管理者用人口入力シート!BB$3,IF(管理者入力シート!$B$14=2,DG15*管理者用人口入力シート!BB$7))</f>
        <v>252.88146253151814</v>
      </c>
      <c r="DI18" s="9">
        <f>IF(管理者入力シート!$B$14=1,DH15*管理者用人口入力シート!BC$3,IF(管理者入力シート!$B$14=2,DH15*管理者用人口入力シート!BC$7))</f>
        <v>173.40973824966693</v>
      </c>
      <c r="DJ18" s="9">
        <f>IF(管理者入力シート!$B$14=1,DI15*管理者用人口入力シート!BD$3,IF(管理者入力シート!$B$14=2,DI15*管理者用人口入力シート!BD$7))</f>
        <v>91.853647481401111</v>
      </c>
      <c r="DK18" s="9">
        <f>IF(管理者入力シート!$B$14=1,DJ15*管理者用人口入力シート!BE$3,IF(管理者入力シート!$B$14=2,DJ15*管理者用人口入力シート!BE$7))</f>
        <v>31.749552350416216</v>
      </c>
      <c r="DL18" s="9">
        <f>IF(管理者入力シート!$B$14=1,DK15*管理者用人口入力シート!BF$3,IF(管理者入力シート!$B$14=2,DK15*管理者用人口入力シート!BF$7))</f>
        <v>7.9180275620257285</v>
      </c>
      <c r="DM18" s="9">
        <f t="shared" si="260"/>
        <v>6641.0502715541834</v>
      </c>
      <c r="DN18" s="9">
        <f t="shared" si="261"/>
        <v>527.41397650443355</v>
      </c>
      <c r="DO18" s="9">
        <f t="shared" si="262"/>
        <v>282.03290724039454</v>
      </c>
      <c r="DP18" s="9">
        <f t="shared" si="263"/>
        <v>1793.0956183128392</v>
      </c>
      <c r="DQ18" s="9">
        <f t="shared" si="264"/>
        <v>878.98292281974022</v>
      </c>
      <c r="DR18" s="13">
        <f t="shared" si="265"/>
        <v>0.27000181371811943</v>
      </c>
      <c r="DS18" s="13">
        <f t="shared" si="266"/>
        <v>0.13235601100396951</v>
      </c>
      <c r="DT18" s="9">
        <f t="shared" si="267"/>
        <v>1258.8980555933122</v>
      </c>
      <c r="DX18" s="307">
        <f>DX1</f>
        <v>49</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273.60588559529128</v>
      </c>
      <c r="BL19" s="10">
        <f>IF(管理者入力シート!$B$14=1,BK16*管理者用人口入力シート!AM$4,IF(管理者入力シート!$B$14=2,BK16*管理者用人口入力シート!AM$8))</f>
        <v>321.56368028837403</v>
      </c>
      <c r="BM19" s="10">
        <f>IF(管理者入力シート!$B$14=1,BL16*管理者用人口入力シート!AN$4,IF(管理者入力シート!$B$14=2,BL16*管理者用人口入力シート!AN$8))</f>
        <v>367.82872684570049</v>
      </c>
      <c r="BN19" s="10">
        <f>IF(管理者入力シート!$B$14=1,BM16*管理者用人口入力シート!AO$4,IF(管理者入力シート!$B$14=2,BM16*管理者用人口入力シート!AO$8))</f>
        <v>333.50957421954382</v>
      </c>
      <c r="BO19" s="10">
        <f>IF(管理者入力シート!$B$14=1,BN16*管理者用人口入力シート!AP$4,IF(管理者入力シート!$B$14=2,BN16*管理者用人口入力シート!AP$8))</f>
        <v>198.02733290965395</v>
      </c>
      <c r="BP19" s="10">
        <f>IF(管理者入力シート!$B$14=1,BO16*管理者用人口入力シート!AQ$4,IF(管理者入力シート!$B$14=2,BO16*管理者用人口入力シート!AQ$8))</f>
        <v>238.77046722939446</v>
      </c>
      <c r="BQ19" s="10">
        <f>IF(管理者入力シート!$B$14=1,BP16*管理者用人口入力シート!AR$4,IF(管理者入力シート!$B$14=2,BP16*管理者用人口入力シート!AR$8))</f>
        <v>294.89607832359235</v>
      </c>
      <c r="BR19" s="10">
        <f>IF(管理者入力シート!$B$14=1,BQ16*管理者用人口入力シート!AS$4,IF(管理者入力シート!$B$14=2,BQ16*管理者用人口入力シート!AS$8))</f>
        <v>377.49523481451632</v>
      </c>
      <c r="BS19" s="10">
        <f>IF(管理者入力シート!$B$14=1,BR16*管理者用人口入力シート!AT$4,IF(管理者入力シート!$B$14=2,BR16*管理者用人口入力シート!AT$8))</f>
        <v>406.95592802545593</v>
      </c>
      <c r="BT19" s="10">
        <f>IF(管理者入力シート!$B$14=1,BS16*管理者用人口入力シート!AU$4,IF(管理者入力シート!$B$14=2,BS16*管理者用人口入力シート!AU$8))</f>
        <v>371.42591464343525</v>
      </c>
      <c r="BU19" s="10">
        <f>IF(管理者入力シート!$B$14=1,BT16*管理者用人口入力シート!AV$4,IF(管理者入力シート!$B$14=2,BT16*管理者用人口入力シート!AV$8))</f>
        <v>314.2352293798873</v>
      </c>
      <c r="BV19" s="10">
        <f>IF(管理者入力シート!$B$14=1,BU16*管理者用人口入力シート!AW$4,IF(管理者入力シート!$B$14=2,BU16*管理者用人口入力シート!AW$8))</f>
        <v>309.17757233559689</v>
      </c>
      <c r="BW19" s="10">
        <f>IF(管理者入力シート!$B$14=1,BV16*管理者用人口入力シート!AX$4,IF(管理者入力シート!$B$14=2,BV16*管理者用人口入力シート!AX$8))</f>
        <v>426.27259941666688</v>
      </c>
      <c r="BX19" s="10">
        <f>IF(管理者入力シート!$B$14=1,BW16*管理者用人口入力シート!AY$4,IF(管理者入力シート!$B$14=2,BW16*管理者用人口入力シート!AY$8))</f>
        <v>463.93562473453022</v>
      </c>
      <c r="BY19" s="10">
        <f>IF(管理者入力シート!$B$14=1,BX16*管理者用人口入力シート!AZ$4,IF(管理者入力シート!$B$14=2,BX16*管理者用人口入力シート!AZ$8))</f>
        <v>516.0236365132273</v>
      </c>
      <c r="BZ19" s="10">
        <f>IF(管理者入力シート!$B$14=1,BY16*管理者用人口入力シート!BA$4,IF(管理者入力シート!$B$14=2,BY16*管理者用人口入力シート!BA$8))</f>
        <v>434.11356608403639</v>
      </c>
      <c r="CA19" s="10">
        <f>IF(管理者入力シート!$B$14=1,BZ16*管理者用人口入力シート!BB$4,IF(管理者入力シート!$B$14=2,BZ16*管理者用人口入力シート!BB$8))</f>
        <v>397.43727918878085</v>
      </c>
      <c r="CB19" s="10">
        <f>IF(管理者入力シート!$B$14=1,CA16*管理者用人口入力シート!BC$4,IF(管理者入力シート!$B$14=2,CA16*管理者用人口入力シート!BC$8))</f>
        <v>354.45182583456176</v>
      </c>
      <c r="CC19" s="10">
        <f>IF(管理者入力シート!$B$14=1,CB16*管理者用人口入力シート!BD$4,IF(管理者入力シート!$B$14=2,CB16*管理者用人口入力シート!BD$8))</f>
        <v>270.85853152559577</v>
      </c>
      <c r="CD19" s="10">
        <f>IF(管理者入力シート!$B$14=1,CC16*管理者用人口入力シート!BE$4,IF(管理者入力シート!$B$14=2,CC16*管理者用人口入力シート!BE$8))</f>
        <v>133.19642229890755</v>
      </c>
      <c r="CE19" s="10">
        <f>IF(管理者入力シート!$B$14=1,CD16*管理者用人口入力シート!BF$4,IF(管理者入力シート!$B$14=2,CD16*管理者用人口入力シート!BF$8))</f>
        <v>15.932784273575349</v>
      </c>
      <c r="CF19" s="10">
        <f t="shared" si="252"/>
        <v>6819.7138944803237</v>
      </c>
      <c r="CG19" s="10">
        <f t="shared" si="253"/>
        <v>413.63544428044474</v>
      </c>
      <c r="CH19" s="10">
        <f t="shared" si="254"/>
        <v>213.83340558218896</v>
      </c>
      <c r="CI19" s="10">
        <f t="shared" si="255"/>
        <v>2585.9496704532153</v>
      </c>
      <c r="CJ19" s="10">
        <f t="shared" si="256"/>
        <v>1605.9904092054576</v>
      </c>
      <c r="CK19" s="14">
        <f t="shared" si="257"/>
        <v>0.37918741320603011</v>
      </c>
      <c r="CL19" s="14">
        <f t="shared" si="258"/>
        <v>0.23549234382182793</v>
      </c>
      <c r="CM19" s="10">
        <f t="shared" si="259"/>
        <v>1109.189113277157</v>
      </c>
      <c r="CO19" s="7" t="str">
        <f t="shared" si="26"/>
        <v>2050_2</v>
      </c>
      <c r="CP19" s="29">
        <f>CP18</f>
        <v>2050</v>
      </c>
      <c r="CQ19" s="4" t="s">
        <v>22</v>
      </c>
      <c r="CR19" s="10">
        <f>DT19*$AK$14+将来予測シート②!$H17</f>
        <v>277.48123692839641</v>
      </c>
      <c r="CS19" s="10">
        <f>IF(管理者入力シート!$B$14=1,CR16*管理者用人口入力シート!AM$4,IF(管理者入力シート!$B$14=2,CR16*管理者用人口入力シート!AM$8))+将来予測シート②!$H18</f>
        <v>325.13123487431085</v>
      </c>
      <c r="CT19" s="10">
        <f>IF(管理者入力シート!$B$14=1,CS16*管理者用人口入力シート!AN$4,IF(管理者入力シート!$B$14=2,CS16*管理者用人口入力シート!AN$8))+将来予測シート②!$H19</f>
        <v>372.32993632153955</v>
      </c>
      <c r="CU19" s="10">
        <f>IF(管理者入力シート!$B$14=1,CT16*管理者用人口入力シート!AO$4,IF(管理者入力シート!$B$14=2,CT16*管理者用人口入力シート!AO$8))+将来予測シート②!$H20</f>
        <v>337.47507485539296</v>
      </c>
      <c r="CV19" s="10">
        <f>IF(管理者入力シート!$B$14=1,CU16*管理者用人口入力シート!AP$4,IF(管理者入力シート!$B$14=2,CU16*管理者用人口入力シート!AP$8))+将来予測シート②!$H21</f>
        <v>199.9925557273059</v>
      </c>
      <c r="CW19" s="10">
        <f>IF(管理者入力シート!$B$14=1,CV16*管理者用人口入力シート!AQ$4,IF(管理者入力シート!$B$14=2,CV16*管理者用人口入力シート!AQ$8))+将来予測シート②!$H22</f>
        <v>242.20907482649258</v>
      </c>
      <c r="CX19" s="10">
        <f>IF(管理者入力シート!$B$14=1,CW16*管理者用人口入力シート!AR$4,IF(管理者入力シート!$B$14=2,CW16*管理者用人口入力シート!AR$8))+将来予測シート②!$H23</f>
        <v>297.90365595205594</v>
      </c>
      <c r="CY19" s="10">
        <f>IF(管理者入力シート!$B$14=1,CX16*管理者用人口入力シート!AS$4,IF(管理者入力シート!$B$14=2,CX16*管理者用人口入力シート!AS$8))+将来予測シート②!$H24</f>
        <v>380.74040494975839</v>
      </c>
      <c r="CZ19" s="10">
        <f>IF(管理者入力シート!$B$14=1,CY16*管理者用人口入力シート!AT$4,IF(管理者入力シート!$B$14=2,CY16*管理者用人口入力シート!AT$8))+将来予測シート②!$H25</f>
        <v>410.49865020244033</v>
      </c>
      <c r="DA19" s="10">
        <f>IF(管理者入力シート!$B$14=1,CZ16*管理者用人口入力シート!AU$4,IF(管理者入力シート!$B$14=2,CZ16*管理者用人口入力シート!AU$8))+将来予測シート②!$H26</f>
        <v>374.92167212626151</v>
      </c>
      <c r="DB19" s="10">
        <f>IF(管理者入力シート!$B$14=1,DA16*管理者用人口入力シート!AV$4,IF(管理者入力シート!$B$14=2,DA16*管理者用人口入力シート!AV$8))+将来予測シート②!$H27</f>
        <v>317.60867836328663</v>
      </c>
      <c r="DC19" s="10">
        <f>IF(管理者入力シート!$B$14=1,DB16*管理者用人口入力シート!AW$4,IF(管理者入力シート!$B$14=2,DB16*管理者用人口入力シート!AW$8))+将来予測シート②!$H28</f>
        <v>310.12032322383402</v>
      </c>
      <c r="DD19" s="10">
        <f>IF(管理者入力シート!$B$14=1,DC16*管理者用人口入力シート!AX$4,IF(管理者入力シート!$B$14=2,DC16*管理者用人口入力シート!AX$8))+将来予測シート②!$H29</f>
        <v>427.21943342847339</v>
      </c>
      <c r="DE19" s="10">
        <f>IF(管理者入力シート!$B$14=1,DD16*管理者用人口入力シート!AY$4,IF(管理者入力シート!$B$14=2,DD16*管理者用人口入力シート!AY$8))</f>
        <v>464.88171378330657</v>
      </c>
      <c r="DF19" s="10">
        <f>IF(管理者入力シート!$B$14=1,DE16*管理者用人口入力シート!AZ$4,IF(管理者入力シート!$B$14=2,DE16*管理者用人口入力シート!AZ$8))</f>
        <v>516.0236365132273</v>
      </c>
      <c r="DG19" s="10">
        <f>IF(管理者入力シート!$B$14=1,DF16*管理者用人口入力シート!BA$4,IF(管理者入力シート!$B$14=2,DF16*管理者用人口入力シート!BA$8))</f>
        <v>434.11356608403639</v>
      </c>
      <c r="DH19" s="10">
        <f>IF(管理者入力シート!$B$14=1,DG16*管理者用人口入力シート!BB$4,IF(管理者入力シート!$B$14=2,DG16*管理者用人口入力シート!BB$8))</f>
        <v>397.43727918878085</v>
      </c>
      <c r="DI19" s="10">
        <f>IF(管理者入力シート!$B$14=1,DH16*管理者用人口入力シート!BC$4,IF(管理者入力シート!$B$14=2,DH16*管理者用人口入力シート!BC$8))</f>
        <v>354.45182583456176</v>
      </c>
      <c r="DJ19" s="10">
        <f>IF(管理者入力シート!$B$14=1,DI16*管理者用人口入力シート!BD$4,IF(管理者入力シート!$B$14=2,DI16*管理者用人口入力シート!BD$8))</f>
        <v>270.85853152559577</v>
      </c>
      <c r="DK19" s="10">
        <f>IF(管理者入力シート!$B$14=1,DJ16*管理者用人口入力シート!BE$4,IF(管理者入力シート!$B$14=2,DJ16*管理者用人口入力シート!BE$8))</f>
        <v>133.19642229890755</v>
      </c>
      <c r="DL19" s="10">
        <f>IF(管理者入力シート!$B$14=1,DK16*管理者用人口入力シート!BF$4,IF(管理者入力シート!$B$14=2,DK16*管理者用人口入力シート!BF$8))</f>
        <v>15.932784273575349</v>
      </c>
      <c r="DM19" s="10">
        <f t="shared" si="260"/>
        <v>6860.5276912815398</v>
      </c>
      <c r="DN19" s="10">
        <f t="shared" si="261"/>
        <v>418.47670271751019</v>
      </c>
      <c r="DO19" s="10">
        <f t="shared" si="262"/>
        <v>216.4269894996944</v>
      </c>
      <c r="DP19" s="10">
        <f t="shared" si="263"/>
        <v>2586.895759501992</v>
      </c>
      <c r="DQ19" s="10">
        <f t="shared" si="264"/>
        <v>1605.9904092054576</v>
      </c>
      <c r="DR19" s="14">
        <f t="shared" si="265"/>
        <v>0.3770695019261357</v>
      </c>
      <c r="DS19" s="14">
        <f t="shared" si="266"/>
        <v>0.2340913821026295</v>
      </c>
      <c r="DT19" s="10">
        <f t="shared" si="267"/>
        <v>1120.8456914556127</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590.05006203017172</v>
      </c>
      <c r="BL20" s="16">
        <f t="shared" ref="BL20:CE20" si="276">BL18+BL19</f>
        <v>720.52218817167977</v>
      </c>
      <c r="BM20" s="16">
        <f t="shared" si="276"/>
        <v>838.37449521808549</v>
      </c>
      <c r="BN20" s="16">
        <f t="shared" si="276"/>
        <v>787.11512788680034</v>
      </c>
      <c r="BO20" s="16">
        <f t="shared" si="276"/>
        <v>413.92405081366218</v>
      </c>
      <c r="BP20" s="16">
        <f t="shared" si="276"/>
        <v>513.17861596273656</v>
      </c>
      <c r="BQ20" s="16">
        <f t="shared" si="276"/>
        <v>637.28206169612167</v>
      </c>
      <c r="BR20" s="16">
        <f t="shared" si="276"/>
        <v>792.09760816479604</v>
      </c>
      <c r="BS20" s="16">
        <f t="shared" si="276"/>
        <v>818.92124262314928</v>
      </c>
      <c r="BT20" s="16">
        <f t="shared" si="276"/>
        <v>759.63370968269237</v>
      </c>
      <c r="BU20" s="16">
        <f t="shared" si="276"/>
        <v>680.93159529641525</v>
      </c>
      <c r="BV20" s="16">
        <f t="shared" si="276"/>
        <v>669.29896258687904</v>
      </c>
      <c r="BW20" s="16">
        <f t="shared" si="276"/>
        <v>821.62215230514084</v>
      </c>
      <c r="BX20" s="16">
        <f t="shared" si="276"/>
        <v>888.17074531756134</v>
      </c>
      <c r="BY20" s="16">
        <f t="shared" si="276"/>
        <v>1005.9012114232951</v>
      </c>
      <c r="BZ20" s="16">
        <f t="shared" si="276"/>
        <v>755.2840607287485</v>
      </c>
      <c r="CA20" s="16">
        <f t="shared" si="276"/>
        <v>650.31874172029893</v>
      </c>
      <c r="CB20" s="16">
        <f t="shared" si="276"/>
        <v>527.86156408422869</v>
      </c>
      <c r="CC20" s="16">
        <f t="shared" si="276"/>
        <v>362.71217900699685</v>
      </c>
      <c r="CD20" s="16">
        <f t="shared" si="276"/>
        <v>164.94597464932377</v>
      </c>
      <c r="CE20" s="16">
        <f t="shared" si="276"/>
        <v>23.850811835601078</v>
      </c>
      <c r="CF20" s="11">
        <f t="shared" si="252"/>
        <v>13421.997161204385</v>
      </c>
      <c r="CG20" s="11">
        <f t="shared" si="253"/>
        <v>935.33801003385906</v>
      </c>
      <c r="CH20" s="11">
        <f t="shared" si="254"/>
        <v>492.77282366459428</v>
      </c>
      <c r="CI20" s="11">
        <f t="shared" si="255"/>
        <v>4379.045288766054</v>
      </c>
      <c r="CJ20" s="11">
        <f t="shared" si="256"/>
        <v>2484.973332025198</v>
      </c>
      <c r="CK20" s="15">
        <f t="shared" si="257"/>
        <v>0.3262588448031763</v>
      </c>
      <c r="CL20" s="15">
        <f t="shared" si="258"/>
        <v>0.18514184604418557</v>
      </c>
      <c r="CM20" s="11">
        <f t="shared" si="259"/>
        <v>2356.4823366373166</v>
      </c>
      <c r="CO20" s="7" t="str">
        <f t="shared" si="26"/>
        <v>2050_3</v>
      </c>
      <c r="CP20" s="30">
        <f>CP19</f>
        <v>2050</v>
      </c>
      <c r="CQ20" s="5" t="s">
        <v>23</v>
      </c>
      <c r="CR20" s="16">
        <f>CR18+CR19</f>
        <v>598.2509565349294</v>
      </c>
      <c r="CS20" s="16">
        <f t="shared" ref="CS20:DL20" si="277">CS18+CS19</f>
        <v>728.33484766582478</v>
      </c>
      <c r="CT20" s="16">
        <f t="shared" si="277"/>
        <v>848.14961770408149</v>
      </c>
      <c r="CU20" s="16">
        <f t="shared" si="277"/>
        <v>796.00024829228164</v>
      </c>
      <c r="CV20" s="16">
        <f t="shared" si="277"/>
        <v>417.7952679968156</v>
      </c>
      <c r="CW20" s="16">
        <f t="shared" si="277"/>
        <v>519.98395753729812</v>
      </c>
      <c r="CX20" s="16">
        <f t="shared" si="277"/>
        <v>643.25155573700056</v>
      </c>
      <c r="CY20" s="16">
        <f t="shared" si="277"/>
        <v>798.71296577781072</v>
      </c>
      <c r="CZ20" s="16">
        <f t="shared" si="277"/>
        <v>825.23624259405528</v>
      </c>
      <c r="DA20" s="16">
        <f t="shared" si="277"/>
        <v>765.96430762175794</v>
      </c>
      <c r="DB20" s="16">
        <f t="shared" si="277"/>
        <v>687.09591776697539</v>
      </c>
      <c r="DC20" s="16">
        <f t="shared" si="277"/>
        <v>670.24171347511606</v>
      </c>
      <c r="DD20" s="16">
        <f t="shared" si="277"/>
        <v>822.56898631694742</v>
      </c>
      <c r="DE20" s="16">
        <f t="shared" si="277"/>
        <v>889.1168343663378</v>
      </c>
      <c r="DF20" s="16">
        <f t="shared" si="277"/>
        <v>1005.9012114232951</v>
      </c>
      <c r="DG20" s="16">
        <f t="shared" si="277"/>
        <v>755.2840607287485</v>
      </c>
      <c r="DH20" s="16">
        <f t="shared" si="277"/>
        <v>650.31874172029893</v>
      </c>
      <c r="DI20" s="16">
        <f t="shared" si="277"/>
        <v>527.86156408422869</v>
      </c>
      <c r="DJ20" s="16">
        <f t="shared" si="277"/>
        <v>362.71217900699685</v>
      </c>
      <c r="DK20" s="16">
        <f t="shared" si="277"/>
        <v>164.94597464932377</v>
      </c>
      <c r="DL20" s="16">
        <f t="shared" si="277"/>
        <v>23.850811835601078</v>
      </c>
      <c r="DM20" s="11">
        <f t="shared" si="260"/>
        <v>13501.577962835727</v>
      </c>
      <c r="DN20" s="11">
        <f t="shared" si="261"/>
        <v>945.89067922194374</v>
      </c>
      <c r="DO20" s="11">
        <f t="shared" si="262"/>
        <v>498.45989674008888</v>
      </c>
      <c r="DP20" s="11">
        <f t="shared" si="263"/>
        <v>4379.9913778148311</v>
      </c>
      <c r="DQ20" s="11">
        <f t="shared" si="264"/>
        <v>2484.973332025198</v>
      </c>
      <c r="DR20" s="15">
        <f t="shared" si="265"/>
        <v>0.32440588721341612</v>
      </c>
      <c r="DS20" s="15">
        <f t="shared" si="266"/>
        <v>0.18405058570674512</v>
      </c>
      <c r="DT20" s="11">
        <f t="shared" si="267"/>
        <v>2379.7437470489249</v>
      </c>
      <c r="DX20" s="28">
        <f>DX3</f>
        <v>2025</v>
      </c>
      <c r="DY20" s="3" t="s">
        <v>21</v>
      </c>
      <c r="DZ20" s="9">
        <f t="shared" ref="DZ20:ET20" si="278">ROUND(DZ3,0)</f>
        <v>354</v>
      </c>
      <c r="EA20" s="9">
        <f t="shared" si="278"/>
        <v>447</v>
      </c>
      <c r="EB20" s="9">
        <f t="shared" si="278"/>
        <v>539</v>
      </c>
      <c r="EC20" s="9">
        <f t="shared" si="278"/>
        <v>491</v>
      </c>
      <c r="ED20" s="9">
        <f t="shared" si="278"/>
        <v>226</v>
      </c>
      <c r="EE20" s="9">
        <f t="shared" si="278"/>
        <v>312</v>
      </c>
      <c r="EF20" s="9">
        <f t="shared" si="278"/>
        <v>353</v>
      </c>
      <c r="EG20" s="9">
        <f t="shared" si="278"/>
        <v>429</v>
      </c>
      <c r="EH20" s="9">
        <f t="shared" si="278"/>
        <v>436</v>
      </c>
      <c r="EI20" s="9">
        <f t="shared" si="278"/>
        <v>562</v>
      </c>
      <c r="EJ20" s="9">
        <f t="shared" si="278"/>
        <v>420</v>
      </c>
      <c r="EK20" s="9">
        <f t="shared" si="278"/>
        <v>391</v>
      </c>
      <c r="EL20" s="9">
        <f t="shared" si="278"/>
        <v>397</v>
      </c>
      <c r="EM20" s="9">
        <f t="shared" si="278"/>
        <v>460</v>
      </c>
      <c r="EN20" s="9">
        <f t="shared" si="278"/>
        <v>399</v>
      </c>
      <c r="EO20" s="9">
        <f t="shared" si="278"/>
        <v>384</v>
      </c>
      <c r="EP20" s="9">
        <f t="shared" si="278"/>
        <v>201</v>
      </c>
      <c r="EQ20" s="9">
        <f t="shared" si="278"/>
        <v>125</v>
      </c>
      <c r="ER20" s="9">
        <f t="shared" si="278"/>
        <v>57</v>
      </c>
      <c r="ES20" s="9">
        <f t="shared" si="278"/>
        <v>17</v>
      </c>
      <c r="ET20" s="9">
        <f t="shared" si="278"/>
        <v>3</v>
      </c>
      <c r="EU20" s="9">
        <f t="shared" ref="EU20:EU21" si="279">SUM(DZ20:ET20)</f>
        <v>7003</v>
      </c>
      <c r="EV20" s="9">
        <f>EA20*3/5+EB20*3/5</f>
        <v>591.59999999999991</v>
      </c>
      <c r="EW20" s="9">
        <f>EB20*2/5+EC20*1/5</f>
        <v>313.8</v>
      </c>
      <c r="EX20" s="9">
        <f t="shared" ref="EX20:EX31" si="280">SUM(EM20:ET20)</f>
        <v>1646</v>
      </c>
      <c r="EY20" s="9">
        <f>SUM(EO20:ET20)</f>
        <v>787</v>
      </c>
      <c r="EZ20" s="13">
        <f>EX20/EU20</f>
        <v>0.23504212480365558</v>
      </c>
      <c r="FA20" s="13">
        <f>EY20/EU20</f>
        <v>0.11238040839640154</v>
      </c>
      <c r="FB20" s="9">
        <f>SUM(ED20:EG20)</f>
        <v>1320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306</v>
      </c>
      <c r="EA21" s="10">
        <f t="shared" si="281"/>
        <v>360</v>
      </c>
      <c r="EB21" s="10">
        <f t="shared" si="281"/>
        <v>469</v>
      </c>
      <c r="EC21" s="10">
        <f t="shared" si="281"/>
        <v>447</v>
      </c>
      <c r="ED21" s="10">
        <f t="shared" si="281"/>
        <v>258</v>
      </c>
      <c r="EE21" s="10">
        <f t="shared" si="281"/>
        <v>309</v>
      </c>
      <c r="EF21" s="10">
        <f t="shared" si="281"/>
        <v>341</v>
      </c>
      <c r="EG21" s="10">
        <f t="shared" si="281"/>
        <v>481</v>
      </c>
      <c r="EH21" s="10">
        <f t="shared" si="281"/>
        <v>490</v>
      </c>
      <c r="EI21" s="10">
        <f t="shared" si="281"/>
        <v>544</v>
      </c>
      <c r="EJ21" s="10">
        <f t="shared" si="281"/>
        <v>461</v>
      </c>
      <c r="EK21" s="10">
        <f t="shared" si="281"/>
        <v>446</v>
      </c>
      <c r="EL21" s="10">
        <f t="shared" si="281"/>
        <v>464</v>
      </c>
      <c r="EM21" s="10">
        <f t="shared" si="281"/>
        <v>492</v>
      </c>
      <c r="EN21" s="10">
        <f t="shared" si="281"/>
        <v>533</v>
      </c>
      <c r="EO21" s="10">
        <f t="shared" si="281"/>
        <v>437</v>
      </c>
      <c r="EP21" s="10">
        <f t="shared" si="281"/>
        <v>299</v>
      </c>
      <c r="EQ21" s="10">
        <f t="shared" si="281"/>
        <v>231</v>
      </c>
      <c r="ER21" s="10">
        <f t="shared" si="281"/>
        <v>190</v>
      </c>
      <c r="ES21" s="10">
        <f t="shared" si="281"/>
        <v>69</v>
      </c>
      <c r="ET21" s="10">
        <f t="shared" si="281"/>
        <v>6</v>
      </c>
      <c r="EU21" s="10">
        <f t="shared" si="279"/>
        <v>7633</v>
      </c>
      <c r="EV21" s="10">
        <f t="shared" ref="EV21:EV31" si="282">EA21*3/5+EB21*3/5</f>
        <v>497.4</v>
      </c>
      <c r="EW21" s="10">
        <f t="shared" ref="EW21:EW31" si="283">EB21*2/5+EC21*1/5</f>
        <v>277</v>
      </c>
      <c r="EX21" s="10">
        <f t="shared" si="280"/>
        <v>2257</v>
      </c>
      <c r="EY21" s="10">
        <f t="shared" ref="EY21:EY31" si="284">SUM(EO21:ET21)</f>
        <v>1232</v>
      </c>
      <c r="EZ21" s="14">
        <f t="shared" ref="EZ21:EZ31" si="285">EX21/EU21</f>
        <v>0.29568976811214465</v>
      </c>
      <c r="FA21" s="14">
        <f t="shared" ref="FA21:FA31" si="286">EY21/EU21</f>
        <v>0.16140442814096687</v>
      </c>
      <c r="FB21" s="10">
        <f>SUM(ED21:EG21)</f>
        <v>1389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660</v>
      </c>
      <c r="EA22" s="16">
        <f t="shared" ref="EA22:ET22" si="287">EA20+EA21</f>
        <v>807</v>
      </c>
      <c r="EB22" s="16">
        <f t="shared" si="287"/>
        <v>1008</v>
      </c>
      <c r="EC22" s="16">
        <f t="shared" si="287"/>
        <v>938</v>
      </c>
      <c r="ED22" s="16">
        <f t="shared" si="287"/>
        <v>484</v>
      </c>
      <c r="EE22" s="16">
        <f t="shared" si="287"/>
        <v>621</v>
      </c>
      <c r="EF22" s="16">
        <f t="shared" si="287"/>
        <v>694</v>
      </c>
      <c r="EG22" s="16">
        <f t="shared" si="287"/>
        <v>910</v>
      </c>
      <c r="EH22" s="16">
        <f t="shared" si="287"/>
        <v>926</v>
      </c>
      <c r="EI22" s="16">
        <f t="shared" si="287"/>
        <v>1106</v>
      </c>
      <c r="EJ22" s="16">
        <f t="shared" si="287"/>
        <v>881</v>
      </c>
      <c r="EK22" s="16">
        <f t="shared" si="287"/>
        <v>837</v>
      </c>
      <c r="EL22" s="16">
        <f t="shared" si="287"/>
        <v>861</v>
      </c>
      <c r="EM22" s="16">
        <f t="shared" si="287"/>
        <v>952</v>
      </c>
      <c r="EN22" s="16">
        <f t="shared" si="287"/>
        <v>932</v>
      </c>
      <c r="EO22" s="16">
        <f t="shared" si="287"/>
        <v>821</v>
      </c>
      <c r="EP22" s="16">
        <f t="shared" si="287"/>
        <v>500</v>
      </c>
      <c r="EQ22" s="16">
        <f t="shared" si="287"/>
        <v>356</v>
      </c>
      <c r="ER22" s="16">
        <f t="shared" si="287"/>
        <v>247</v>
      </c>
      <c r="ES22" s="16">
        <f t="shared" si="287"/>
        <v>86</v>
      </c>
      <c r="ET22" s="16">
        <f t="shared" si="287"/>
        <v>9</v>
      </c>
      <c r="EU22" s="11">
        <f>SUM(DZ22:ET22)</f>
        <v>14636</v>
      </c>
      <c r="EV22" s="11">
        <f t="shared" si="282"/>
        <v>1089</v>
      </c>
      <c r="EW22" s="11">
        <f t="shared" si="283"/>
        <v>590.79999999999995</v>
      </c>
      <c r="EX22" s="11">
        <f t="shared" si="280"/>
        <v>3903</v>
      </c>
      <c r="EY22" s="11">
        <f t="shared" si="284"/>
        <v>2019</v>
      </c>
      <c r="EZ22" s="15">
        <f t="shared" si="285"/>
        <v>0.26667122164525825</v>
      </c>
      <c r="FA22" s="15">
        <f t="shared" si="286"/>
        <v>0.13794752664662477</v>
      </c>
      <c r="FB22" s="11">
        <f>SUM(ED22:EG22)</f>
        <v>2709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410</v>
      </c>
      <c r="EA23" s="9">
        <f t="shared" si="288"/>
        <v>410</v>
      </c>
      <c r="EB23" s="9">
        <f t="shared" si="288"/>
        <v>506</v>
      </c>
      <c r="EC23" s="9">
        <f t="shared" si="288"/>
        <v>527</v>
      </c>
      <c r="ED23" s="9">
        <f t="shared" si="288"/>
        <v>245</v>
      </c>
      <c r="EE23" s="9">
        <f t="shared" si="288"/>
        <v>323</v>
      </c>
      <c r="EF23" s="9">
        <f t="shared" si="288"/>
        <v>405</v>
      </c>
      <c r="EG23" s="9">
        <f t="shared" si="288"/>
        <v>451</v>
      </c>
      <c r="EH23" s="9">
        <f t="shared" si="288"/>
        <v>458</v>
      </c>
      <c r="EI23" s="9">
        <f t="shared" si="288"/>
        <v>446</v>
      </c>
      <c r="EJ23" s="9">
        <f t="shared" si="288"/>
        <v>553</v>
      </c>
      <c r="EK23" s="9">
        <f t="shared" si="288"/>
        <v>407</v>
      </c>
      <c r="EL23" s="9">
        <f t="shared" si="288"/>
        <v>391</v>
      </c>
      <c r="EM23" s="9">
        <f t="shared" si="288"/>
        <v>396</v>
      </c>
      <c r="EN23" s="9">
        <f t="shared" si="288"/>
        <v>421</v>
      </c>
      <c r="EO23" s="9">
        <f t="shared" si="288"/>
        <v>344</v>
      </c>
      <c r="EP23" s="9">
        <f t="shared" si="288"/>
        <v>315</v>
      </c>
      <c r="EQ23" s="9">
        <f t="shared" si="288"/>
        <v>136</v>
      </c>
      <c r="ER23" s="9">
        <f t="shared" si="288"/>
        <v>57</v>
      </c>
      <c r="ES23" s="9">
        <f t="shared" si="288"/>
        <v>21</v>
      </c>
      <c r="ET23" s="9">
        <f t="shared" si="288"/>
        <v>4</v>
      </c>
      <c r="EU23" s="9">
        <f t="shared" ref="EU23:EU31" si="289">SUM(DZ23:ET23)</f>
        <v>7226</v>
      </c>
      <c r="EV23" s="9">
        <f t="shared" si="282"/>
        <v>549.6</v>
      </c>
      <c r="EW23" s="9">
        <f t="shared" si="283"/>
        <v>307.8</v>
      </c>
      <c r="EX23" s="9">
        <f t="shared" si="280"/>
        <v>1694</v>
      </c>
      <c r="EY23" s="9">
        <f t="shared" si="284"/>
        <v>877</v>
      </c>
      <c r="EZ23" s="13">
        <f t="shared" si="285"/>
        <v>0.23443122059230556</v>
      </c>
      <c r="FA23" s="13">
        <f t="shared" si="286"/>
        <v>0.1213672848048713</v>
      </c>
      <c r="FB23" s="9">
        <f t="shared" ref="FB23:FB31" si="290">SUM(ED23:EG23)</f>
        <v>1424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355</v>
      </c>
      <c r="EA24" s="10">
        <f t="shared" si="291"/>
        <v>330</v>
      </c>
      <c r="EB24" s="10">
        <f t="shared" si="291"/>
        <v>396</v>
      </c>
      <c r="EC24" s="10">
        <f t="shared" si="291"/>
        <v>432</v>
      </c>
      <c r="ED24" s="10">
        <f t="shared" si="291"/>
        <v>279</v>
      </c>
      <c r="EE24" s="10">
        <f t="shared" si="291"/>
        <v>345</v>
      </c>
      <c r="EF24" s="10">
        <f t="shared" si="291"/>
        <v>398</v>
      </c>
      <c r="EG24" s="10">
        <f t="shared" si="291"/>
        <v>417</v>
      </c>
      <c r="EH24" s="10">
        <f t="shared" si="291"/>
        <v>501</v>
      </c>
      <c r="EI24" s="10">
        <f t="shared" si="291"/>
        <v>484</v>
      </c>
      <c r="EJ24" s="10">
        <f t="shared" si="291"/>
        <v>525</v>
      </c>
      <c r="EK24" s="10">
        <f t="shared" si="291"/>
        <v>456</v>
      </c>
      <c r="EL24" s="10">
        <f t="shared" si="291"/>
        <v>448</v>
      </c>
      <c r="EM24" s="10">
        <f t="shared" si="291"/>
        <v>463</v>
      </c>
      <c r="EN24" s="10">
        <f t="shared" si="291"/>
        <v>487</v>
      </c>
      <c r="EO24" s="10">
        <f t="shared" si="291"/>
        <v>511</v>
      </c>
      <c r="EP24" s="10">
        <f t="shared" si="291"/>
        <v>410</v>
      </c>
      <c r="EQ24" s="10">
        <f t="shared" si="291"/>
        <v>258</v>
      </c>
      <c r="ER24" s="10">
        <f t="shared" si="291"/>
        <v>166</v>
      </c>
      <c r="ES24" s="10">
        <f t="shared" si="291"/>
        <v>86</v>
      </c>
      <c r="ET24" s="10">
        <f t="shared" si="291"/>
        <v>10</v>
      </c>
      <c r="EU24" s="10">
        <f t="shared" si="289"/>
        <v>7757</v>
      </c>
      <c r="EV24" s="10">
        <f t="shared" si="282"/>
        <v>435.6</v>
      </c>
      <c r="EW24" s="10">
        <f t="shared" si="283"/>
        <v>244.8</v>
      </c>
      <c r="EX24" s="10">
        <f t="shared" si="280"/>
        <v>2391</v>
      </c>
      <c r="EY24" s="10">
        <f t="shared" si="284"/>
        <v>1441</v>
      </c>
      <c r="EZ24" s="14">
        <f t="shared" si="285"/>
        <v>0.30823772076833827</v>
      </c>
      <c r="FA24" s="14">
        <f t="shared" si="286"/>
        <v>0.18576769369601651</v>
      </c>
      <c r="FB24" s="10">
        <f t="shared" si="290"/>
        <v>1439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765</v>
      </c>
      <c r="EA25" s="16">
        <f t="shared" ref="EA25:ET25" si="292">EA23+EA24</f>
        <v>740</v>
      </c>
      <c r="EB25" s="16">
        <f t="shared" si="292"/>
        <v>902</v>
      </c>
      <c r="EC25" s="16">
        <f t="shared" si="292"/>
        <v>959</v>
      </c>
      <c r="ED25" s="16">
        <f t="shared" si="292"/>
        <v>524</v>
      </c>
      <c r="EE25" s="16">
        <f t="shared" si="292"/>
        <v>668</v>
      </c>
      <c r="EF25" s="16">
        <f t="shared" si="292"/>
        <v>803</v>
      </c>
      <c r="EG25" s="16">
        <f t="shared" si="292"/>
        <v>868</v>
      </c>
      <c r="EH25" s="16">
        <f t="shared" si="292"/>
        <v>959</v>
      </c>
      <c r="EI25" s="16">
        <f t="shared" si="292"/>
        <v>930</v>
      </c>
      <c r="EJ25" s="16">
        <f t="shared" si="292"/>
        <v>1078</v>
      </c>
      <c r="EK25" s="16">
        <f t="shared" si="292"/>
        <v>863</v>
      </c>
      <c r="EL25" s="16">
        <f t="shared" si="292"/>
        <v>839</v>
      </c>
      <c r="EM25" s="16">
        <f t="shared" si="292"/>
        <v>859</v>
      </c>
      <c r="EN25" s="16">
        <f t="shared" si="292"/>
        <v>908</v>
      </c>
      <c r="EO25" s="16">
        <f t="shared" si="292"/>
        <v>855</v>
      </c>
      <c r="EP25" s="16">
        <f t="shared" si="292"/>
        <v>725</v>
      </c>
      <c r="EQ25" s="16">
        <f t="shared" si="292"/>
        <v>394</v>
      </c>
      <c r="ER25" s="16">
        <f t="shared" si="292"/>
        <v>223</v>
      </c>
      <c r="ES25" s="16">
        <f t="shared" si="292"/>
        <v>107</v>
      </c>
      <c r="ET25" s="16">
        <f t="shared" si="292"/>
        <v>14</v>
      </c>
      <c r="EU25" s="11">
        <f t="shared" si="289"/>
        <v>14983</v>
      </c>
      <c r="EV25" s="11">
        <f t="shared" si="282"/>
        <v>985.2</v>
      </c>
      <c r="EW25" s="11">
        <f t="shared" si="283"/>
        <v>552.6</v>
      </c>
      <c r="EX25" s="11">
        <f t="shared" si="280"/>
        <v>4085</v>
      </c>
      <c r="EY25" s="11">
        <f t="shared" si="284"/>
        <v>2318</v>
      </c>
      <c r="EZ25" s="15">
        <f t="shared" si="285"/>
        <v>0.27264232797170124</v>
      </c>
      <c r="FA25" s="15">
        <f t="shared" si="286"/>
        <v>0.15470866982580259</v>
      </c>
      <c r="FB25" s="11">
        <f t="shared" si="290"/>
        <v>2863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444</v>
      </c>
      <c r="EA26" s="9">
        <f t="shared" si="293"/>
        <v>475</v>
      </c>
      <c r="EB26" s="9">
        <f t="shared" si="293"/>
        <v>464</v>
      </c>
      <c r="EC26" s="9">
        <f t="shared" si="293"/>
        <v>495</v>
      </c>
      <c r="ED26" s="9">
        <f t="shared" si="293"/>
        <v>263</v>
      </c>
      <c r="EE26" s="9">
        <f t="shared" si="293"/>
        <v>346</v>
      </c>
      <c r="EF26" s="9">
        <f t="shared" si="293"/>
        <v>418</v>
      </c>
      <c r="EG26" s="9">
        <f t="shared" si="293"/>
        <v>510</v>
      </c>
      <c r="EH26" s="9">
        <f t="shared" si="293"/>
        <v>481</v>
      </c>
      <c r="EI26" s="9">
        <f t="shared" si="293"/>
        <v>468</v>
      </c>
      <c r="EJ26" s="9">
        <f t="shared" si="293"/>
        <v>439</v>
      </c>
      <c r="EK26" s="9">
        <f t="shared" si="293"/>
        <v>536</v>
      </c>
      <c r="EL26" s="9">
        <f t="shared" si="293"/>
        <v>407</v>
      </c>
      <c r="EM26" s="9">
        <f t="shared" si="293"/>
        <v>390</v>
      </c>
      <c r="EN26" s="9">
        <f t="shared" si="293"/>
        <v>363</v>
      </c>
      <c r="EO26" s="9">
        <f t="shared" si="293"/>
        <v>364</v>
      </c>
      <c r="EP26" s="9">
        <f t="shared" si="293"/>
        <v>282</v>
      </c>
      <c r="EQ26" s="9">
        <f t="shared" si="293"/>
        <v>212</v>
      </c>
      <c r="ER26" s="9">
        <f t="shared" si="293"/>
        <v>62</v>
      </c>
      <c r="ES26" s="9">
        <f t="shared" si="293"/>
        <v>21</v>
      </c>
      <c r="ET26" s="9">
        <f t="shared" si="293"/>
        <v>5</v>
      </c>
      <c r="EU26" s="9">
        <f t="shared" si="289"/>
        <v>7445</v>
      </c>
      <c r="EV26" s="9">
        <f t="shared" si="282"/>
        <v>563.4</v>
      </c>
      <c r="EW26" s="9">
        <f t="shared" si="283"/>
        <v>284.60000000000002</v>
      </c>
      <c r="EX26" s="9">
        <f t="shared" si="280"/>
        <v>1699</v>
      </c>
      <c r="EY26" s="9">
        <f t="shared" si="284"/>
        <v>946</v>
      </c>
      <c r="EZ26" s="13">
        <f t="shared" si="285"/>
        <v>0.22820685023505707</v>
      </c>
      <c r="FA26" s="13">
        <f t="shared" si="286"/>
        <v>0.12706514439220953</v>
      </c>
      <c r="FB26" s="9">
        <f t="shared" si="290"/>
        <v>1537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384</v>
      </c>
      <c r="EA27" s="10">
        <f t="shared" si="294"/>
        <v>383</v>
      </c>
      <c r="EB27" s="10">
        <f t="shared" si="294"/>
        <v>362</v>
      </c>
      <c r="EC27" s="10">
        <f t="shared" si="294"/>
        <v>364</v>
      </c>
      <c r="ED27" s="10">
        <f t="shared" si="294"/>
        <v>269</v>
      </c>
      <c r="EE27" s="10">
        <f t="shared" si="294"/>
        <v>369</v>
      </c>
      <c r="EF27" s="10">
        <f t="shared" si="294"/>
        <v>439</v>
      </c>
      <c r="EG27" s="10">
        <f t="shared" si="294"/>
        <v>478</v>
      </c>
      <c r="EH27" s="10">
        <f t="shared" si="294"/>
        <v>434</v>
      </c>
      <c r="EI27" s="10">
        <f t="shared" si="294"/>
        <v>495</v>
      </c>
      <c r="EJ27" s="10">
        <f t="shared" si="294"/>
        <v>467</v>
      </c>
      <c r="EK27" s="10">
        <f t="shared" si="294"/>
        <v>520</v>
      </c>
      <c r="EL27" s="10">
        <f t="shared" si="294"/>
        <v>458</v>
      </c>
      <c r="EM27" s="10">
        <f t="shared" si="294"/>
        <v>448</v>
      </c>
      <c r="EN27" s="10">
        <f t="shared" si="294"/>
        <v>458</v>
      </c>
      <c r="EO27" s="10">
        <f t="shared" si="294"/>
        <v>467</v>
      </c>
      <c r="EP27" s="10">
        <f t="shared" si="294"/>
        <v>478</v>
      </c>
      <c r="EQ27" s="10">
        <f t="shared" si="294"/>
        <v>353</v>
      </c>
      <c r="ER27" s="10">
        <f t="shared" si="294"/>
        <v>185</v>
      </c>
      <c r="ES27" s="10">
        <f t="shared" si="294"/>
        <v>75</v>
      </c>
      <c r="ET27" s="10">
        <f t="shared" si="294"/>
        <v>12</v>
      </c>
      <c r="EU27" s="10">
        <f t="shared" si="289"/>
        <v>7898</v>
      </c>
      <c r="EV27" s="10">
        <f t="shared" si="282"/>
        <v>447</v>
      </c>
      <c r="EW27" s="10">
        <f t="shared" si="283"/>
        <v>217.60000000000002</v>
      </c>
      <c r="EX27" s="10">
        <f t="shared" si="280"/>
        <v>2476</v>
      </c>
      <c r="EY27" s="10">
        <f t="shared" si="284"/>
        <v>1570</v>
      </c>
      <c r="EZ27" s="14">
        <f t="shared" si="285"/>
        <v>0.31349708787034691</v>
      </c>
      <c r="FA27" s="14">
        <f t="shared" si="286"/>
        <v>0.19878450240567233</v>
      </c>
      <c r="FB27" s="10">
        <f t="shared" si="290"/>
        <v>1555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828</v>
      </c>
      <c r="EA28" s="16">
        <f t="shared" ref="EA28:ET28" si="295">EA26+EA27</f>
        <v>858</v>
      </c>
      <c r="EB28" s="16">
        <f t="shared" si="295"/>
        <v>826</v>
      </c>
      <c r="EC28" s="16">
        <f t="shared" si="295"/>
        <v>859</v>
      </c>
      <c r="ED28" s="16">
        <f t="shared" si="295"/>
        <v>532</v>
      </c>
      <c r="EE28" s="16">
        <f t="shared" si="295"/>
        <v>715</v>
      </c>
      <c r="EF28" s="16">
        <f t="shared" si="295"/>
        <v>857</v>
      </c>
      <c r="EG28" s="16">
        <f t="shared" si="295"/>
        <v>988</v>
      </c>
      <c r="EH28" s="16">
        <f t="shared" si="295"/>
        <v>915</v>
      </c>
      <c r="EI28" s="16">
        <f t="shared" si="295"/>
        <v>963</v>
      </c>
      <c r="EJ28" s="16">
        <f t="shared" si="295"/>
        <v>906</v>
      </c>
      <c r="EK28" s="16">
        <f t="shared" si="295"/>
        <v>1056</v>
      </c>
      <c r="EL28" s="16">
        <f t="shared" si="295"/>
        <v>865</v>
      </c>
      <c r="EM28" s="16">
        <f t="shared" si="295"/>
        <v>838</v>
      </c>
      <c r="EN28" s="16">
        <f t="shared" si="295"/>
        <v>821</v>
      </c>
      <c r="EO28" s="16">
        <f t="shared" si="295"/>
        <v>831</v>
      </c>
      <c r="EP28" s="16">
        <f t="shared" si="295"/>
        <v>760</v>
      </c>
      <c r="EQ28" s="16">
        <f t="shared" si="295"/>
        <v>565</v>
      </c>
      <c r="ER28" s="16">
        <f t="shared" si="295"/>
        <v>247</v>
      </c>
      <c r="ES28" s="16">
        <f t="shared" si="295"/>
        <v>96</v>
      </c>
      <c r="ET28" s="16">
        <f t="shared" si="295"/>
        <v>17</v>
      </c>
      <c r="EU28" s="11">
        <f t="shared" si="289"/>
        <v>15343</v>
      </c>
      <c r="EV28" s="11">
        <f t="shared" si="282"/>
        <v>1010.4</v>
      </c>
      <c r="EW28" s="11">
        <f t="shared" si="283"/>
        <v>502.2</v>
      </c>
      <c r="EX28" s="11">
        <f t="shared" si="280"/>
        <v>4175</v>
      </c>
      <c r="EY28" s="11">
        <f t="shared" si="284"/>
        <v>2516</v>
      </c>
      <c r="EZ28" s="15">
        <f t="shared" si="285"/>
        <v>0.27211106041843186</v>
      </c>
      <c r="FA28" s="15">
        <f t="shared" si="286"/>
        <v>0.16398357557192206</v>
      </c>
      <c r="FB28" s="11">
        <f t="shared" si="290"/>
        <v>3092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449</v>
      </c>
      <c r="EA29" s="9">
        <f t="shared" si="296"/>
        <v>513</v>
      </c>
      <c r="EB29" s="9">
        <f t="shared" si="296"/>
        <v>537</v>
      </c>
      <c r="EC29" s="9">
        <f t="shared" si="296"/>
        <v>454</v>
      </c>
      <c r="ED29" s="9">
        <f t="shared" si="296"/>
        <v>247</v>
      </c>
      <c r="EE29" s="9">
        <f t="shared" si="296"/>
        <v>368</v>
      </c>
      <c r="EF29" s="9">
        <f t="shared" si="296"/>
        <v>445</v>
      </c>
      <c r="EG29" s="9">
        <f t="shared" si="296"/>
        <v>525</v>
      </c>
      <c r="EH29" s="9">
        <f t="shared" si="296"/>
        <v>544</v>
      </c>
      <c r="EI29" s="9">
        <f t="shared" si="296"/>
        <v>491</v>
      </c>
      <c r="EJ29" s="9">
        <f t="shared" si="296"/>
        <v>461</v>
      </c>
      <c r="EK29" s="9">
        <f t="shared" si="296"/>
        <v>425</v>
      </c>
      <c r="EL29" s="9">
        <f t="shared" si="296"/>
        <v>535</v>
      </c>
      <c r="EM29" s="9">
        <f t="shared" si="296"/>
        <v>406</v>
      </c>
      <c r="EN29" s="9">
        <f t="shared" si="296"/>
        <v>358</v>
      </c>
      <c r="EO29" s="9">
        <f t="shared" si="296"/>
        <v>313</v>
      </c>
      <c r="EP29" s="9">
        <f t="shared" si="296"/>
        <v>298</v>
      </c>
      <c r="EQ29" s="9">
        <f t="shared" si="296"/>
        <v>191</v>
      </c>
      <c r="ER29" s="9">
        <f t="shared" si="296"/>
        <v>97</v>
      </c>
      <c r="ES29" s="9">
        <f t="shared" si="296"/>
        <v>23</v>
      </c>
      <c r="ET29" s="9">
        <f t="shared" si="296"/>
        <v>5</v>
      </c>
      <c r="EU29" s="9">
        <f t="shared" si="289"/>
        <v>7685</v>
      </c>
      <c r="EV29" s="9">
        <f t="shared" si="282"/>
        <v>630</v>
      </c>
      <c r="EW29" s="9">
        <f t="shared" si="283"/>
        <v>305.60000000000002</v>
      </c>
      <c r="EX29" s="9">
        <f t="shared" si="280"/>
        <v>1691</v>
      </c>
      <c r="EY29" s="9">
        <f t="shared" si="284"/>
        <v>927</v>
      </c>
      <c r="EZ29" s="13">
        <f t="shared" si="285"/>
        <v>0.22003903708523098</v>
      </c>
      <c r="FA29" s="13">
        <f t="shared" si="286"/>
        <v>0.12062459336369551</v>
      </c>
      <c r="FB29" s="9">
        <f t="shared" si="290"/>
        <v>1585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388</v>
      </c>
      <c r="EA30" s="10">
        <f t="shared" si="297"/>
        <v>414</v>
      </c>
      <c r="EB30" s="10">
        <f t="shared" si="297"/>
        <v>420</v>
      </c>
      <c r="EC30" s="10">
        <f t="shared" si="297"/>
        <v>334</v>
      </c>
      <c r="ED30" s="10">
        <f t="shared" si="297"/>
        <v>227</v>
      </c>
      <c r="EE30" s="10">
        <f t="shared" si="297"/>
        <v>358</v>
      </c>
      <c r="EF30" s="10">
        <f t="shared" si="297"/>
        <v>467</v>
      </c>
      <c r="EG30" s="10">
        <f t="shared" si="297"/>
        <v>523</v>
      </c>
      <c r="EH30" s="10">
        <f t="shared" si="297"/>
        <v>498</v>
      </c>
      <c r="EI30" s="10">
        <f t="shared" si="297"/>
        <v>428</v>
      </c>
      <c r="EJ30" s="10">
        <f t="shared" si="297"/>
        <v>477</v>
      </c>
      <c r="EK30" s="10">
        <f t="shared" si="297"/>
        <v>462</v>
      </c>
      <c r="EL30" s="10">
        <f t="shared" si="297"/>
        <v>522</v>
      </c>
      <c r="EM30" s="10">
        <f t="shared" si="297"/>
        <v>458</v>
      </c>
      <c r="EN30" s="10">
        <f t="shared" si="297"/>
        <v>443</v>
      </c>
      <c r="EO30" s="10">
        <f t="shared" si="297"/>
        <v>439</v>
      </c>
      <c r="EP30" s="10">
        <f t="shared" si="297"/>
        <v>437</v>
      </c>
      <c r="EQ30" s="10">
        <f t="shared" si="297"/>
        <v>412</v>
      </c>
      <c r="ER30" s="10">
        <f t="shared" si="297"/>
        <v>254</v>
      </c>
      <c r="ES30" s="10">
        <f t="shared" si="297"/>
        <v>83</v>
      </c>
      <c r="ET30" s="10">
        <f t="shared" si="297"/>
        <v>10</v>
      </c>
      <c r="EU30" s="10">
        <f t="shared" si="289"/>
        <v>8054</v>
      </c>
      <c r="EV30" s="10">
        <f t="shared" si="282"/>
        <v>500.4</v>
      </c>
      <c r="EW30" s="10">
        <f t="shared" si="283"/>
        <v>234.8</v>
      </c>
      <c r="EX30" s="10">
        <f t="shared" si="280"/>
        <v>2536</v>
      </c>
      <c r="EY30" s="10">
        <f t="shared" si="284"/>
        <v>1635</v>
      </c>
      <c r="EZ30" s="14">
        <f t="shared" si="285"/>
        <v>0.31487459647380184</v>
      </c>
      <c r="FA30" s="14">
        <f t="shared" si="286"/>
        <v>0.20300471815247081</v>
      </c>
      <c r="FB30" s="10">
        <f t="shared" si="290"/>
        <v>1575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837</v>
      </c>
      <c r="EA31" s="16">
        <f t="shared" ref="EA31:ET31" si="298">EA29+EA30</f>
        <v>927</v>
      </c>
      <c r="EB31" s="16">
        <f t="shared" si="298"/>
        <v>957</v>
      </c>
      <c r="EC31" s="16">
        <f t="shared" si="298"/>
        <v>788</v>
      </c>
      <c r="ED31" s="16">
        <f t="shared" si="298"/>
        <v>474</v>
      </c>
      <c r="EE31" s="16">
        <f t="shared" si="298"/>
        <v>726</v>
      </c>
      <c r="EF31" s="16">
        <f t="shared" si="298"/>
        <v>912</v>
      </c>
      <c r="EG31" s="16">
        <f t="shared" si="298"/>
        <v>1048</v>
      </c>
      <c r="EH31" s="16">
        <f t="shared" si="298"/>
        <v>1042</v>
      </c>
      <c r="EI31" s="16">
        <f t="shared" si="298"/>
        <v>919</v>
      </c>
      <c r="EJ31" s="16">
        <f t="shared" si="298"/>
        <v>938</v>
      </c>
      <c r="EK31" s="16">
        <f t="shared" si="298"/>
        <v>887</v>
      </c>
      <c r="EL31" s="16">
        <f t="shared" si="298"/>
        <v>1057</v>
      </c>
      <c r="EM31" s="16">
        <f t="shared" si="298"/>
        <v>864</v>
      </c>
      <c r="EN31" s="16">
        <f t="shared" si="298"/>
        <v>801</v>
      </c>
      <c r="EO31" s="16">
        <f t="shared" si="298"/>
        <v>752</v>
      </c>
      <c r="EP31" s="16">
        <f t="shared" si="298"/>
        <v>735</v>
      </c>
      <c r="EQ31" s="16">
        <f t="shared" si="298"/>
        <v>603</v>
      </c>
      <c r="ER31" s="16">
        <f t="shared" si="298"/>
        <v>351</v>
      </c>
      <c r="ES31" s="16">
        <f t="shared" si="298"/>
        <v>106</v>
      </c>
      <c r="ET31" s="16">
        <f t="shared" si="298"/>
        <v>15</v>
      </c>
      <c r="EU31" s="11">
        <f t="shared" si="289"/>
        <v>15739</v>
      </c>
      <c r="EV31" s="11">
        <f t="shared" si="282"/>
        <v>1130.4000000000001</v>
      </c>
      <c r="EW31" s="11">
        <f t="shared" si="283"/>
        <v>540.4</v>
      </c>
      <c r="EX31" s="11">
        <f t="shared" si="280"/>
        <v>4227</v>
      </c>
      <c r="EY31" s="11">
        <f t="shared" si="284"/>
        <v>2562</v>
      </c>
      <c r="EZ31" s="15">
        <f t="shared" si="285"/>
        <v>0.26856852404854181</v>
      </c>
      <c r="FA31" s="15">
        <f t="shared" si="286"/>
        <v>0.16278035453332487</v>
      </c>
      <c r="FB31" s="11">
        <f t="shared" si="290"/>
        <v>3160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6337</v>
      </c>
      <c r="D4" s="17">
        <f>SUM(C41:C61)</f>
        <v>7083</v>
      </c>
      <c r="E4" s="17">
        <f>C4+D4</f>
        <v>13420</v>
      </c>
      <c r="F4" s="85"/>
      <c r="G4" s="1" t="s">
        <v>58</v>
      </c>
      <c r="H4" s="1">
        <f>B4</f>
        <v>2010</v>
      </c>
      <c r="I4" s="17">
        <f>C4</f>
        <v>6337</v>
      </c>
      <c r="J4" s="17">
        <f>D4</f>
        <v>7083</v>
      </c>
      <c r="K4" s="17">
        <f>I4+J4</f>
        <v>13420</v>
      </c>
      <c r="N4" s="1" t="s">
        <v>58</v>
      </c>
      <c r="O4" s="1">
        <f>H4</f>
        <v>2010</v>
      </c>
      <c r="P4" s="17">
        <f>I4</f>
        <v>6337</v>
      </c>
      <c r="Q4" s="17">
        <f t="shared" ref="Q4:R4" si="0">J4</f>
        <v>7083</v>
      </c>
      <c r="R4" s="17">
        <f t="shared" si="0"/>
        <v>13420</v>
      </c>
      <c r="S4" s="1"/>
      <c r="T4" s="1"/>
      <c r="U4" s="1"/>
    </row>
    <row r="5" spans="1:21" x14ac:dyDescent="0.15">
      <c r="A5" s="1" t="s">
        <v>61</v>
      </c>
      <c r="B5" s="1">
        <f>管理者入力シート!B6</f>
        <v>2015</v>
      </c>
      <c r="C5" s="17">
        <f>SUM(B65:B85)</f>
        <v>6573</v>
      </c>
      <c r="D5" s="17">
        <f>SUM(C65:C85)</f>
        <v>7341</v>
      </c>
      <c r="E5" s="17">
        <f t="shared" ref="E5" si="1">C5+D5</f>
        <v>13914</v>
      </c>
      <c r="F5" s="85"/>
      <c r="G5" s="1" t="s">
        <v>57</v>
      </c>
      <c r="H5" s="1">
        <f t="shared" ref="H5:H6" si="2">B5</f>
        <v>2015</v>
      </c>
      <c r="I5" s="17">
        <f t="shared" ref="I5" si="3">C5</f>
        <v>6573</v>
      </c>
      <c r="J5" s="17">
        <f>D5</f>
        <v>7341</v>
      </c>
      <c r="K5" s="17">
        <f t="shared" ref="K5:K10" si="4">I5+J5</f>
        <v>13914</v>
      </c>
      <c r="N5" s="1" t="s">
        <v>57</v>
      </c>
      <c r="O5" s="1">
        <f t="shared" ref="O5:O10" si="5">H5</f>
        <v>2015</v>
      </c>
      <c r="P5" s="17">
        <f t="shared" ref="P5:P10" si="6">I5</f>
        <v>6573</v>
      </c>
      <c r="Q5" s="17">
        <f t="shared" ref="Q5:Q10" si="7">J5</f>
        <v>7341</v>
      </c>
      <c r="R5" s="17">
        <f t="shared" ref="R5:R10" si="8">K5</f>
        <v>13914</v>
      </c>
      <c r="S5" s="1"/>
      <c r="T5" s="1"/>
      <c r="U5" s="1"/>
    </row>
    <row r="6" spans="1:21" x14ac:dyDescent="0.15">
      <c r="A6" s="1" t="s">
        <v>62</v>
      </c>
      <c r="B6" s="1">
        <f>管理者入力シート!B5</f>
        <v>2020</v>
      </c>
      <c r="C6" s="17">
        <f>SUM(B89:B109)</f>
        <v>6779</v>
      </c>
      <c r="D6" s="17">
        <f>SUM(C89:C109)</f>
        <v>7502</v>
      </c>
      <c r="E6" s="17">
        <f>C6+D6</f>
        <v>14281</v>
      </c>
      <c r="F6" s="85"/>
      <c r="G6" s="1" t="s">
        <v>62</v>
      </c>
      <c r="H6" s="1">
        <f t="shared" si="2"/>
        <v>2020</v>
      </c>
      <c r="I6" s="17">
        <f>C6</f>
        <v>6779</v>
      </c>
      <c r="J6" s="17">
        <f>D6</f>
        <v>7502</v>
      </c>
      <c r="K6" s="17">
        <f t="shared" si="4"/>
        <v>14281</v>
      </c>
      <c r="N6" s="1" t="s">
        <v>62</v>
      </c>
      <c r="O6" s="1">
        <f t="shared" si="5"/>
        <v>2020</v>
      </c>
      <c r="P6" s="17">
        <f t="shared" si="6"/>
        <v>6779</v>
      </c>
      <c r="Q6" s="17">
        <f t="shared" si="7"/>
        <v>7502</v>
      </c>
      <c r="R6" s="17">
        <f t="shared" si="8"/>
        <v>14281</v>
      </c>
      <c r="S6" s="1"/>
      <c r="T6" s="1"/>
      <c r="U6" s="1"/>
    </row>
    <row r="7" spans="1:21" x14ac:dyDescent="0.15">
      <c r="G7" s="1" t="s">
        <v>106</v>
      </c>
      <c r="H7" s="1">
        <f>管理者入力シート!B8</f>
        <v>2025</v>
      </c>
      <c r="I7" s="17">
        <f>SUM(H69:H89)</f>
        <v>6856</v>
      </c>
      <c r="J7" s="17">
        <f>SUM(I69:I89)</f>
        <v>7486</v>
      </c>
      <c r="K7" s="17">
        <f t="shared" si="4"/>
        <v>14342</v>
      </c>
      <c r="N7" s="1" t="s">
        <v>106</v>
      </c>
      <c r="O7" s="1">
        <f t="shared" si="5"/>
        <v>2025</v>
      </c>
      <c r="P7" s="17">
        <f t="shared" si="6"/>
        <v>6856</v>
      </c>
      <c r="Q7" s="17">
        <f t="shared" si="7"/>
        <v>7486</v>
      </c>
      <c r="R7" s="17">
        <f t="shared" si="8"/>
        <v>14342</v>
      </c>
      <c r="S7" s="236">
        <f>SUM(O69:O89)</f>
        <v>6860</v>
      </c>
      <c r="T7" s="236">
        <f>SUM(P69:P89)</f>
        <v>7491</v>
      </c>
      <c r="U7" s="236">
        <f>S7+T7</f>
        <v>14351</v>
      </c>
    </row>
    <row r="8" spans="1:21" x14ac:dyDescent="0.15">
      <c r="A8" s="69" t="s">
        <v>71</v>
      </c>
      <c r="G8" s="1" t="s">
        <v>107</v>
      </c>
      <c r="H8" s="1">
        <f>管理者入力シート!B9</f>
        <v>2030</v>
      </c>
      <c r="I8" s="17">
        <f>SUM(H93:H113)</f>
        <v>6843</v>
      </c>
      <c r="J8" s="17">
        <f>SUM(I93:I113)</f>
        <v>7388</v>
      </c>
      <c r="K8" s="17">
        <f t="shared" si="4"/>
        <v>14231</v>
      </c>
      <c r="N8" s="1" t="s">
        <v>107</v>
      </c>
      <c r="O8" s="1">
        <f t="shared" si="5"/>
        <v>2030</v>
      </c>
      <c r="P8" s="17">
        <f t="shared" si="6"/>
        <v>6843</v>
      </c>
      <c r="Q8" s="17">
        <f t="shared" si="7"/>
        <v>7388</v>
      </c>
      <c r="R8" s="17">
        <f t="shared" si="8"/>
        <v>14231</v>
      </c>
      <c r="S8" s="236">
        <f>SUM(O93:O113)</f>
        <v>6853</v>
      </c>
      <c r="T8" s="236">
        <f>SUM(P93:P113)</f>
        <v>7399</v>
      </c>
      <c r="U8" s="236">
        <f t="shared" ref="U8:U10" si="9">S8+T8</f>
        <v>14252</v>
      </c>
    </row>
    <row r="9" spans="1:21" x14ac:dyDescent="0.15">
      <c r="A9" s="2" t="s">
        <v>72</v>
      </c>
      <c r="G9" s="1" t="s">
        <v>108</v>
      </c>
      <c r="H9" s="1">
        <f>管理者入力シート!B10</f>
        <v>2035</v>
      </c>
      <c r="I9" s="17">
        <f>SUM(H117:H137)</f>
        <v>6783</v>
      </c>
      <c r="J9" s="17">
        <f>SUM(I117:I137)</f>
        <v>7281</v>
      </c>
      <c r="K9" s="17">
        <f t="shared" si="4"/>
        <v>14064</v>
      </c>
      <c r="N9" s="1" t="s">
        <v>108</v>
      </c>
      <c r="O9" s="1">
        <f t="shared" si="5"/>
        <v>2035</v>
      </c>
      <c r="P9" s="17">
        <f t="shared" si="6"/>
        <v>6783</v>
      </c>
      <c r="Q9" s="17">
        <f t="shared" si="7"/>
        <v>7281</v>
      </c>
      <c r="R9" s="17">
        <f t="shared" si="8"/>
        <v>14064</v>
      </c>
      <c r="S9" s="236">
        <f>SUM(O117:O137)</f>
        <v>6799</v>
      </c>
      <c r="T9" s="236">
        <f>SUM(P117:P137)</f>
        <v>7300</v>
      </c>
      <c r="U9" s="236">
        <f t="shared" si="9"/>
        <v>14099</v>
      </c>
    </row>
    <row r="10" spans="1:21" x14ac:dyDescent="0.15">
      <c r="A10" s="1" t="s">
        <v>58</v>
      </c>
      <c r="B10" s="1">
        <f>B4</f>
        <v>2010</v>
      </c>
      <c r="C10" s="17">
        <f>ROUND(VLOOKUP(B10&amp;"_3",管理者用人口入力シート!A:AA,26,FALSE),0)</f>
        <v>982</v>
      </c>
      <c r="D10" s="12"/>
      <c r="E10" s="12"/>
      <c r="G10" s="1" t="s">
        <v>109</v>
      </c>
      <c r="H10" s="1">
        <f>管理者入力シート!B11</f>
        <v>2040</v>
      </c>
      <c r="I10" s="17">
        <f>SUM(H141:H161)</f>
        <v>6726</v>
      </c>
      <c r="J10" s="17">
        <f>SUM(I141:I161)</f>
        <v>7182</v>
      </c>
      <c r="K10" s="17">
        <f t="shared" si="4"/>
        <v>13908</v>
      </c>
      <c r="N10" s="1" t="s">
        <v>109</v>
      </c>
      <c r="O10" s="1">
        <f t="shared" si="5"/>
        <v>2040</v>
      </c>
      <c r="P10" s="17">
        <f t="shared" si="6"/>
        <v>6726</v>
      </c>
      <c r="Q10" s="17">
        <f t="shared" si="7"/>
        <v>7182</v>
      </c>
      <c r="R10" s="17">
        <f t="shared" si="8"/>
        <v>13908</v>
      </c>
      <c r="S10" s="236">
        <f>SUM(O141:O161)</f>
        <v>6751</v>
      </c>
      <c r="T10" s="236">
        <f>SUM(P141:P161)</f>
        <v>7209</v>
      </c>
      <c r="U10" s="236">
        <f t="shared" si="9"/>
        <v>13960</v>
      </c>
    </row>
    <row r="11" spans="1:21" x14ac:dyDescent="0.15">
      <c r="A11" s="1" t="s">
        <v>61</v>
      </c>
      <c r="B11" s="1">
        <f t="shared" ref="B11:B12" si="10">B5</f>
        <v>2015</v>
      </c>
      <c r="C11" s="17">
        <f>ROUND(VLOOKUP(B11&amp;"_3",管理者用人口入力シート!A:AA,26,FALSE),0)</f>
        <v>1111</v>
      </c>
      <c r="D11" s="12"/>
      <c r="E11" s="12"/>
      <c r="I11" s="12"/>
      <c r="J11" s="12"/>
      <c r="K11" s="12"/>
      <c r="P11" s="12"/>
    </row>
    <row r="12" spans="1:21" x14ac:dyDescent="0.15">
      <c r="A12" s="1" t="s">
        <v>62</v>
      </c>
      <c r="B12" s="1">
        <f t="shared" si="10"/>
        <v>2020</v>
      </c>
      <c r="C12" s="17">
        <f>ROUND(VLOOKUP(B12&amp;"_3",管理者用人口入力シート!A:AA,26,FALSE),0)</f>
        <v>1135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500</v>
      </c>
      <c r="D14" s="12"/>
      <c r="E14" s="12"/>
      <c r="G14" s="1" t="s">
        <v>58</v>
      </c>
      <c r="H14" s="1">
        <f>H4</f>
        <v>2010</v>
      </c>
      <c r="I14" s="17">
        <f>C10</f>
        <v>982</v>
      </c>
      <c r="J14" s="12"/>
      <c r="K14" s="12"/>
      <c r="N14" s="1" t="s">
        <v>58</v>
      </c>
      <c r="O14" s="1">
        <f>O4</f>
        <v>2010</v>
      </c>
      <c r="P14" s="17">
        <f>I14</f>
        <v>982</v>
      </c>
      <c r="Q14" s="17"/>
    </row>
    <row r="15" spans="1:21" x14ac:dyDescent="0.15">
      <c r="A15" s="1" t="s">
        <v>61</v>
      </c>
      <c r="B15" s="1">
        <f t="shared" ref="B15:B16" si="11">B5</f>
        <v>2015</v>
      </c>
      <c r="C15" s="17">
        <f>ROUND(VLOOKUP(B15&amp;"_3",管理者用人口入力シート!A:AA,27,FALSE),0)</f>
        <v>535</v>
      </c>
      <c r="D15" s="12"/>
      <c r="E15" s="12"/>
      <c r="G15" s="1" t="s">
        <v>57</v>
      </c>
      <c r="H15" s="1">
        <f t="shared" ref="H15:H20" si="12">H5</f>
        <v>2015</v>
      </c>
      <c r="I15" s="17">
        <f>C11</f>
        <v>1111</v>
      </c>
      <c r="J15" s="12"/>
      <c r="K15" s="12"/>
      <c r="N15" s="1" t="s">
        <v>57</v>
      </c>
      <c r="O15" s="1">
        <f t="shared" ref="O15:O20" si="13">O5</f>
        <v>2015</v>
      </c>
      <c r="P15" s="17">
        <f t="shared" ref="P15:P20" si="14">I15</f>
        <v>1111</v>
      </c>
      <c r="Q15" s="17"/>
    </row>
    <row r="16" spans="1:21" x14ac:dyDescent="0.15">
      <c r="A16" s="1" t="s">
        <v>62</v>
      </c>
      <c r="B16" s="1">
        <f t="shared" si="11"/>
        <v>2020</v>
      </c>
      <c r="C16" s="17">
        <f>ROUND(VLOOKUP(B16&amp;"_3",管理者用人口入力シート!A:AA,27,FALSE),0)</f>
        <v>569</v>
      </c>
      <c r="D16" s="12"/>
      <c r="E16" s="12"/>
      <c r="G16" s="1" t="s">
        <v>62</v>
      </c>
      <c r="H16" s="1">
        <f t="shared" si="12"/>
        <v>2020</v>
      </c>
      <c r="I16" s="17">
        <f>C12</f>
        <v>1135</v>
      </c>
      <c r="J16" s="12"/>
      <c r="K16" s="12"/>
      <c r="N16" s="1" t="s">
        <v>62</v>
      </c>
      <c r="O16" s="1">
        <f t="shared" si="13"/>
        <v>2020</v>
      </c>
      <c r="P16" s="17">
        <f t="shared" si="14"/>
        <v>1135</v>
      </c>
      <c r="Q16" s="17"/>
    </row>
    <row r="17" spans="1:17" x14ac:dyDescent="0.15">
      <c r="G17" s="1" t="s">
        <v>106</v>
      </c>
      <c r="H17" s="1">
        <f t="shared" si="12"/>
        <v>2025</v>
      </c>
      <c r="I17" s="17">
        <f>ROUND(VLOOKUP(H17&amp;"_3",管理者用人口入力シート!BH:CM,26,FALSE),0)</f>
        <v>1090</v>
      </c>
      <c r="J17" s="12"/>
      <c r="K17" s="12"/>
      <c r="N17" s="1" t="s">
        <v>106</v>
      </c>
      <c r="O17" s="1">
        <f t="shared" si="13"/>
        <v>2025</v>
      </c>
      <c r="P17" s="17">
        <f t="shared" si="14"/>
        <v>1090</v>
      </c>
      <c r="Q17" s="17">
        <f>ROUND(VLOOKUP(H17&amp;"_3",管理者用人口入力シート!CO:DT,26,FALSE),0)</f>
        <v>1091</v>
      </c>
    </row>
    <row r="18" spans="1:17" x14ac:dyDescent="0.15">
      <c r="A18" s="69" t="s">
        <v>110</v>
      </c>
      <c r="G18" s="1" t="s">
        <v>107</v>
      </c>
      <c r="H18" s="1">
        <f t="shared" si="12"/>
        <v>2030</v>
      </c>
      <c r="I18" s="17">
        <f>ROUND(VLOOKUP(H18&amp;"_3",管理者用人口入力シート!BH:CM,26,FALSE),0)</f>
        <v>985</v>
      </c>
      <c r="J18" s="12"/>
      <c r="K18" s="12"/>
      <c r="N18" s="1" t="s">
        <v>107</v>
      </c>
      <c r="O18" s="1">
        <f t="shared" si="13"/>
        <v>2030</v>
      </c>
      <c r="P18" s="17">
        <f t="shared" si="14"/>
        <v>985</v>
      </c>
      <c r="Q18" s="17">
        <f>ROUND(VLOOKUP(H18&amp;"_3",管理者用人口入力シート!CO:DT,26,FALSE),0)</f>
        <v>988</v>
      </c>
    </row>
    <row r="19" spans="1:17" x14ac:dyDescent="0.15">
      <c r="A19" s="2" t="s">
        <v>84</v>
      </c>
      <c r="G19" s="1" t="s">
        <v>108</v>
      </c>
      <c r="H19" s="1">
        <f t="shared" si="12"/>
        <v>2035</v>
      </c>
      <c r="I19" s="17">
        <f>ROUND(VLOOKUP(H19&amp;"_3",管理者用人口入力シート!BH:CM,26,FALSE),0)</f>
        <v>919</v>
      </c>
      <c r="J19" s="12"/>
      <c r="K19" s="12"/>
      <c r="N19" s="1" t="s">
        <v>108</v>
      </c>
      <c r="O19" s="1">
        <f t="shared" si="13"/>
        <v>2035</v>
      </c>
      <c r="P19" s="17">
        <f t="shared" si="14"/>
        <v>919</v>
      </c>
      <c r="Q19" s="17">
        <f>ROUND(VLOOKUP(H19&amp;"_3",管理者用人口入力シート!CO:DT,26,FALSE),0)</f>
        <v>924</v>
      </c>
    </row>
    <row r="20" spans="1:17" x14ac:dyDescent="0.15">
      <c r="A20" s="1" t="s">
        <v>58</v>
      </c>
      <c r="B20" s="1">
        <f>B4</f>
        <v>2010</v>
      </c>
      <c r="C20" s="17">
        <f>SUM(B54:C61)</f>
        <v>2448</v>
      </c>
      <c r="D20" s="12"/>
      <c r="E20" s="12"/>
      <c r="G20" s="1" t="s">
        <v>109</v>
      </c>
      <c r="H20" s="1">
        <f t="shared" si="12"/>
        <v>2040</v>
      </c>
      <c r="I20" s="17">
        <f>ROUND(VLOOKUP(H20&amp;"_3",管理者用人口入力シート!BH:CM,26,FALSE),0)</f>
        <v>916</v>
      </c>
      <c r="J20" s="12"/>
      <c r="K20" s="12"/>
      <c r="N20" s="1" t="s">
        <v>109</v>
      </c>
      <c r="O20" s="1">
        <f t="shared" si="13"/>
        <v>2040</v>
      </c>
      <c r="P20" s="17">
        <f t="shared" si="14"/>
        <v>916</v>
      </c>
      <c r="Q20" s="17">
        <f>ROUND(VLOOKUP(H20&amp;"_3",管理者用人口入力シート!CO:DT,26,FALSE),0)</f>
        <v>925</v>
      </c>
    </row>
    <row r="21" spans="1:17" x14ac:dyDescent="0.15">
      <c r="A21" s="1" t="s">
        <v>61</v>
      </c>
      <c r="B21" s="1">
        <f t="shared" ref="B21:B22" si="15">B5</f>
        <v>2015</v>
      </c>
      <c r="C21" s="17">
        <f>SUM(B78:C85)</f>
        <v>2979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3546</v>
      </c>
      <c r="D22" s="12"/>
      <c r="E22" s="12"/>
      <c r="G22" s="1" t="s">
        <v>58</v>
      </c>
      <c r="H22" s="1">
        <f>H4</f>
        <v>2010</v>
      </c>
      <c r="I22" s="17">
        <f>C14</f>
        <v>500</v>
      </c>
      <c r="J22" s="12"/>
      <c r="K22" s="12"/>
      <c r="N22" s="1" t="s">
        <v>58</v>
      </c>
      <c r="O22" s="1">
        <f>O4</f>
        <v>2010</v>
      </c>
      <c r="P22" s="17">
        <f>I22</f>
        <v>500</v>
      </c>
      <c r="Q22" s="17"/>
    </row>
    <row r="23" spans="1:17" x14ac:dyDescent="0.15">
      <c r="A23" s="2" t="s">
        <v>86</v>
      </c>
      <c r="G23" s="1" t="s">
        <v>57</v>
      </c>
      <c r="H23" s="1">
        <f t="shared" ref="H23:H28" si="16">H5</f>
        <v>2015</v>
      </c>
      <c r="I23" s="17">
        <f t="shared" ref="I23:I24" si="17">C15</f>
        <v>535</v>
      </c>
      <c r="J23" s="12"/>
      <c r="K23" s="12"/>
      <c r="N23" s="1" t="s">
        <v>57</v>
      </c>
      <c r="O23" s="1">
        <f t="shared" ref="O23:O28" si="18">O5</f>
        <v>2015</v>
      </c>
      <c r="P23" s="17">
        <f t="shared" ref="P23:P28" si="19">I23</f>
        <v>535</v>
      </c>
      <c r="Q23" s="17"/>
    </row>
    <row r="24" spans="1:17" x14ac:dyDescent="0.15">
      <c r="A24" s="1" t="s">
        <v>58</v>
      </c>
      <c r="B24" s="1">
        <f>B4</f>
        <v>2010</v>
      </c>
      <c r="C24" s="17">
        <f>SUM(B56:C61)</f>
        <v>1238</v>
      </c>
      <c r="D24" s="12"/>
      <c r="E24" s="12"/>
      <c r="G24" s="1" t="s">
        <v>62</v>
      </c>
      <c r="H24" s="1">
        <f t="shared" si="16"/>
        <v>2020</v>
      </c>
      <c r="I24" s="17">
        <f t="shared" si="17"/>
        <v>569</v>
      </c>
      <c r="J24" s="12"/>
      <c r="K24" s="12"/>
      <c r="N24" s="1" t="s">
        <v>62</v>
      </c>
      <c r="O24" s="1">
        <f t="shared" si="18"/>
        <v>2020</v>
      </c>
      <c r="P24" s="17">
        <f t="shared" si="19"/>
        <v>569</v>
      </c>
      <c r="Q24" s="17"/>
    </row>
    <row r="25" spans="1:17" x14ac:dyDescent="0.15">
      <c r="A25" s="1" t="s">
        <v>61</v>
      </c>
      <c r="B25" s="1">
        <f t="shared" ref="B25:B26" si="20">B5</f>
        <v>2015</v>
      </c>
      <c r="C25" s="17">
        <f>SUM(B80:C85)</f>
        <v>1433</v>
      </c>
      <c r="D25" s="12"/>
      <c r="E25" s="12"/>
      <c r="G25" s="1" t="s">
        <v>106</v>
      </c>
      <c r="H25" s="1">
        <f t="shared" si="16"/>
        <v>2025</v>
      </c>
      <c r="I25" s="17">
        <f>ROUND(VLOOKUP(H25&amp;"_3",管理者用人口入力シート!BH:CM,27,FALSE),0)</f>
        <v>591</v>
      </c>
      <c r="J25" s="12"/>
      <c r="K25" s="12"/>
      <c r="N25" s="1" t="s">
        <v>106</v>
      </c>
      <c r="O25" s="1">
        <f t="shared" si="18"/>
        <v>2025</v>
      </c>
      <c r="P25" s="17">
        <f t="shared" si="19"/>
        <v>591</v>
      </c>
      <c r="Q25" s="17">
        <f>ROUND(VLOOKUP(H17&amp;"_3",管理者用人口入力シート!CO:DT,27,FALSE),0)</f>
        <v>592</v>
      </c>
    </row>
    <row r="26" spans="1:17" x14ac:dyDescent="0.15">
      <c r="A26" s="1" t="s">
        <v>62</v>
      </c>
      <c r="B26" s="1">
        <f t="shared" si="20"/>
        <v>2020</v>
      </c>
      <c r="C26" s="17">
        <f>SUM(B104:C109)</f>
        <v>1669</v>
      </c>
      <c r="D26" s="12"/>
      <c r="E26" s="12"/>
      <c r="G26" s="1" t="s">
        <v>107</v>
      </c>
      <c r="H26" s="1">
        <f t="shared" si="16"/>
        <v>2030</v>
      </c>
      <c r="I26" s="17">
        <f>ROUND(VLOOKUP(H26&amp;"_3",管理者用人口入力シート!BH:CM,27,FALSE),0)</f>
        <v>553</v>
      </c>
      <c r="J26" s="12"/>
      <c r="K26" s="12"/>
      <c r="N26" s="1" t="s">
        <v>107</v>
      </c>
      <c r="O26" s="1">
        <f t="shared" si="18"/>
        <v>2030</v>
      </c>
      <c r="P26" s="17">
        <f t="shared" si="19"/>
        <v>553</v>
      </c>
      <c r="Q26" s="17">
        <f>ROUND(VLOOKUP(H18&amp;"_3",管理者用人口入力シート!CO:DT,27,FALSE),0)</f>
        <v>554</v>
      </c>
    </row>
    <row r="27" spans="1:17" x14ac:dyDescent="0.15">
      <c r="G27" s="1" t="s">
        <v>108</v>
      </c>
      <c r="H27" s="1">
        <f t="shared" si="16"/>
        <v>2035</v>
      </c>
      <c r="I27" s="17">
        <f>ROUND(VLOOKUP(H27&amp;"_3",管理者用人口入力シート!BH:CM,27,FALSE),0)</f>
        <v>502</v>
      </c>
      <c r="J27" s="12"/>
      <c r="K27" s="12"/>
      <c r="N27" s="1" t="s">
        <v>108</v>
      </c>
      <c r="O27" s="1">
        <f t="shared" si="18"/>
        <v>2035</v>
      </c>
      <c r="P27" s="17">
        <f t="shared" si="19"/>
        <v>502</v>
      </c>
      <c r="Q27" s="17">
        <f>ROUND(VLOOKUP(H19&amp;"_3",管理者用人口入力シート!CO:DT,27,FALSE),0)</f>
        <v>505</v>
      </c>
    </row>
    <row r="28" spans="1:17" x14ac:dyDescent="0.15">
      <c r="A28" s="69" t="s">
        <v>85</v>
      </c>
      <c r="G28" s="1" t="s">
        <v>109</v>
      </c>
      <c r="H28" s="1">
        <f t="shared" si="16"/>
        <v>2040</v>
      </c>
      <c r="I28" s="17">
        <f>ROUND(VLOOKUP(H28&amp;"_3",管理者用人口入力シート!BH:CM,27,FALSE),0)</f>
        <v>472</v>
      </c>
      <c r="J28" s="12"/>
      <c r="K28" s="12"/>
      <c r="N28" s="1" t="s">
        <v>109</v>
      </c>
      <c r="O28" s="1">
        <f t="shared" si="18"/>
        <v>2040</v>
      </c>
      <c r="P28" s="17">
        <f t="shared" si="19"/>
        <v>472</v>
      </c>
      <c r="Q28" s="17">
        <f>ROUND(VLOOKUP(H20&amp;"_3",管理者用人口入力シート!CO:DT,27,FALSE),0)</f>
        <v>476</v>
      </c>
    </row>
    <row r="29" spans="1:17" x14ac:dyDescent="0.15">
      <c r="A29" s="2" t="s">
        <v>84</v>
      </c>
    </row>
    <row r="30" spans="1:17" x14ac:dyDescent="0.15">
      <c r="A30" s="1" t="s">
        <v>58</v>
      </c>
      <c r="B30" s="1">
        <f>B4</f>
        <v>2010</v>
      </c>
      <c r="C30" s="38">
        <f>ROUND((SUM(B54:C61)/SUM(B41:C61)),2)</f>
        <v>0.18</v>
      </c>
      <c r="D30" s="205"/>
      <c r="E30" s="205"/>
      <c r="G30" s="69" t="s">
        <v>110</v>
      </c>
      <c r="N30" s="69" t="s">
        <v>110</v>
      </c>
    </row>
    <row r="31" spans="1:17" x14ac:dyDescent="0.15">
      <c r="A31" s="1" t="s">
        <v>61</v>
      </c>
      <c r="B31" s="1">
        <f t="shared" ref="B31:B32" si="21">B5</f>
        <v>2015</v>
      </c>
      <c r="C31" s="38">
        <f>ROUND((SUM(B78:C85)/SUM(B65:C85)),2)</f>
        <v>0.21</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0.25</v>
      </c>
      <c r="D32" s="205"/>
      <c r="E32" s="205"/>
      <c r="G32" s="1" t="s">
        <v>58</v>
      </c>
      <c r="H32" s="1">
        <f>H4</f>
        <v>2010</v>
      </c>
      <c r="I32" s="17">
        <f>C20</f>
        <v>2448</v>
      </c>
      <c r="J32" s="12"/>
      <c r="K32" s="12"/>
      <c r="N32" s="1" t="s">
        <v>58</v>
      </c>
      <c r="O32" s="1">
        <f>O4</f>
        <v>2010</v>
      </c>
      <c r="P32" s="17">
        <f>I32</f>
        <v>2448</v>
      </c>
      <c r="Q32" s="17"/>
    </row>
    <row r="33" spans="1:17" x14ac:dyDescent="0.15">
      <c r="A33" s="2" t="s">
        <v>86</v>
      </c>
      <c r="G33" s="1" t="s">
        <v>57</v>
      </c>
      <c r="H33" s="1">
        <f t="shared" ref="H33:H38" si="22">H5</f>
        <v>2015</v>
      </c>
      <c r="I33" s="17">
        <f>C21</f>
        <v>2979</v>
      </c>
      <c r="J33" s="12"/>
      <c r="K33" s="12"/>
      <c r="N33" s="1" t="s">
        <v>57</v>
      </c>
      <c r="O33" s="1">
        <f t="shared" ref="O33:O38" si="23">O5</f>
        <v>2015</v>
      </c>
      <c r="P33" s="17">
        <f t="shared" ref="P33:P38" si="24">I33</f>
        <v>2979</v>
      </c>
      <c r="Q33" s="17"/>
    </row>
    <row r="34" spans="1:17" x14ac:dyDescent="0.15">
      <c r="A34" s="1" t="s">
        <v>58</v>
      </c>
      <c r="B34" s="1">
        <f>B4</f>
        <v>2010</v>
      </c>
      <c r="C34" s="38">
        <f>ROUND((SUM(B56:C61)/SUM(B41:C61)),2)</f>
        <v>0.09</v>
      </c>
      <c r="D34" s="205"/>
      <c r="E34" s="205"/>
      <c r="G34" s="1" t="s">
        <v>62</v>
      </c>
      <c r="H34" s="1">
        <f t="shared" si="22"/>
        <v>2020</v>
      </c>
      <c r="I34" s="17">
        <f>C22</f>
        <v>3546</v>
      </c>
      <c r="J34" s="12"/>
      <c r="K34" s="12"/>
      <c r="N34" s="1" t="s">
        <v>62</v>
      </c>
      <c r="O34" s="1">
        <f t="shared" si="23"/>
        <v>2020</v>
      </c>
      <c r="P34" s="17">
        <f t="shared" si="24"/>
        <v>3546</v>
      </c>
      <c r="Q34" s="17"/>
    </row>
    <row r="35" spans="1:17" x14ac:dyDescent="0.15">
      <c r="A35" s="1" t="s">
        <v>61</v>
      </c>
      <c r="B35" s="1">
        <f t="shared" ref="B35:B36" si="25">B5</f>
        <v>2015</v>
      </c>
      <c r="C35" s="38">
        <f>ROUND((SUM(B80:C85)/SUM(B65:C85)),2)</f>
        <v>0.1</v>
      </c>
      <c r="D35" s="205"/>
      <c r="E35" s="205"/>
      <c r="G35" s="1" t="s">
        <v>106</v>
      </c>
      <c r="H35" s="1">
        <f t="shared" si="22"/>
        <v>2025</v>
      </c>
      <c r="I35" s="17">
        <f>SUM(H82:I89)</f>
        <v>3903</v>
      </c>
      <c r="J35" s="12"/>
      <c r="K35" s="12"/>
      <c r="N35" s="1" t="s">
        <v>106</v>
      </c>
      <c r="O35" s="1">
        <f t="shared" si="23"/>
        <v>2025</v>
      </c>
      <c r="P35" s="17">
        <f t="shared" si="24"/>
        <v>3903</v>
      </c>
      <c r="Q35" s="17">
        <f>SUM(O82:P89)</f>
        <v>3903</v>
      </c>
    </row>
    <row r="36" spans="1:17" x14ac:dyDescent="0.15">
      <c r="A36" s="1" t="s">
        <v>62</v>
      </c>
      <c r="B36" s="1">
        <f t="shared" si="25"/>
        <v>2020</v>
      </c>
      <c r="C36" s="38">
        <f>ROUND((SUM(B104:C109)/SUM(B89:C109)),2)</f>
        <v>0.12</v>
      </c>
      <c r="D36" s="205"/>
      <c r="E36" s="205"/>
      <c r="G36" s="1" t="s">
        <v>107</v>
      </c>
      <c r="H36" s="1">
        <f t="shared" si="22"/>
        <v>2030</v>
      </c>
      <c r="I36" s="17">
        <f>SUM(H106:I113)</f>
        <v>4085</v>
      </c>
      <c r="J36" s="12"/>
      <c r="K36" s="12"/>
      <c r="N36" s="1" t="s">
        <v>107</v>
      </c>
      <c r="O36" s="1">
        <f t="shared" si="23"/>
        <v>2030</v>
      </c>
      <c r="P36" s="17">
        <f t="shared" si="24"/>
        <v>4085</v>
      </c>
      <c r="Q36" s="17">
        <f>SUM(O106:P113)</f>
        <v>4085</v>
      </c>
    </row>
    <row r="37" spans="1:17" x14ac:dyDescent="0.15">
      <c r="G37" s="1" t="s">
        <v>108</v>
      </c>
      <c r="H37" s="1">
        <f t="shared" si="22"/>
        <v>2035</v>
      </c>
      <c r="I37" s="17">
        <f>SUM(H130:I137)</f>
        <v>4175</v>
      </c>
      <c r="J37" s="12"/>
      <c r="K37" s="12"/>
      <c r="N37" s="1" t="s">
        <v>108</v>
      </c>
      <c r="O37" s="1">
        <f t="shared" si="23"/>
        <v>2035</v>
      </c>
      <c r="P37" s="17">
        <f t="shared" si="24"/>
        <v>4175</v>
      </c>
      <c r="Q37" s="17">
        <f>SUM(O130:P137)</f>
        <v>4175</v>
      </c>
    </row>
    <row r="38" spans="1:17" x14ac:dyDescent="0.15">
      <c r="A38" s="69" t="s">
        <v>113</v>
      </c>
      <c r="G38" s="1" t="s">
        <v>109</v>
      </c>
      <c r="H38" s="1">
        <f t="shared" si="22"/>
        <v>2040</v>
      </c>
      <c r="I38" s="17">
        <f>SUM(H154:I161)</f>
        <v>4227</v>
      </c>
      <c r="J38" s="12"/>
      <c r="K38" s="12"/>
      <c r="N38" s="1" t="s">
        <v>109</v>
      </c>
      <c r="O38" s="1">
        <f t="shared" si="23"/>
        <v>2040</v>
      </c>
      <c r="P38" s="17">
        <f t="shared" si="24"/>
        <v>4227</v>
      </c>
      <c r="Q38" s="17">
        <f>SUM(O154:P161)</f>
        <v>4227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1238</v>
      </c>
      <c r="J40" s="12"/>
      <c r="K40" s="12"/>
      <c r="N40" s="1" t="s">
        <v>58</v>
      </c>
      <c r="O40" s="1">
        <f>O4</f>
        <v>2010</v>
      </c>
      <c r="P40" s="17">
        <f>I40</f>
        <v>1238</v>
      </c>
      <c r="Q40" s="17"/>
    </row>
    <row r="41" spans="1:17" x14ac:dyDescent="0.15">
      <c r="A41" s="2" t="s">
        <v>0</v>
      </c>
      <c r="B41" s="17">
        <f>ROUND(VLOOKUP(B$39&amp;"_1",管理者用人口入力シート!A:X,D41,FALSE),0)</f>
        <v>404</v>
      </c>
      <c r="C41" s="17">
        <f>ROUND(VLOOKUP(B$39&amp;"_2",管理者用人口入力シート!A:X,D41,FALSE),0)</f>
        <v>422</v>
      </c>
      <c r="D41" s="2">
        <v>4</v>
      </c>
      <c r="G41" s="1" t="s">
        <v>57</v>
      </c>
      <c r="H41" s="1">
        <f t="shared" ref="H41:H46" si="26">H5</f>
        <v>2015</v>
      </c>
      <c r="I41" s="17">
        <f>C25</f>
        <v>1433</v>
      </c>
      <c r="J41" s="12"/>
      <c r="K41" s="12"/>
      <c r="N41" s="1" t="s">
        <v>57</v>
      </c>
      <c r="O41" s="1">
        <f t="shared" ref="O41:O46" si="27">O5</f>
        <v>2015</v>
      </c>
      <c r="P41" s="17">
        <f t="shared" ref="P41:P46" si="28">I41</f>
        <v>1433</v>
      </c>
      <c r="Q41" s="17"/>
    </row>
    <row r="42" spans="1:17" x14ac:dyDescent="0.15">
      <c r="A42" s="2" t="s">
        <v>1</v>
      </c>
      <c r="B42" s="17">
        <f>ROUND(VLOOKUP(B$39&amp;"_1",管理者用人口入力シート!A:X,D42,FALSE),0)</f>
        <v>407</v>
      </c>
      <c r="C42" s="17">
        <f>ROUND(VLOOKUP(B$39&amp;"_2",管理者用人口入力シート!A:X,D42,FALSE),0)</f>
        <v>402</v>
      </c>
      <c r="D42" s="2">
        <v>5</v>
      </c>
      <c r="G42" s="1" t="s">
        <v>62</v>
      </c>
      <c r="H42" s="1">
        <f t="shared" si="26"/>
        <v>2020</v>
      </c>
      <c r="I42" s="17">
        <f>C26</f>
        <v>1669</v>
      </c>
      <c r="J42" s="12"/>
      <c r="K42" s="12"/>
      <c r="N42" s="1" t="s">
        <v>62</v>
      </c>
      <c r="O42" s="1">
        <f t="shared" si="27"/>
        <v>2020</v>
      </c>
      <c r="P42" s="17">
        <f t="shared" si="28"/>
        <v>1669</v>
      </c>
      <c r="Q42" s="17"/>
    </row>
    <row r="43" spans="1:17" x14ac:dyDescent="0.15">
      <c r="A43" s="2" t="s">
        <v>2</v>
      </c>
      <c r="B43" s="17">
        <f>ROUND(VLOOKUP(B$39&amp;"_1",管理者用人口入力シート!A:X,D43,FALSE),0)</f>
        <v>451</v>
      </c>
      <c r="C43" s="17">
        <f>ROUND(VLOOKUP(B$39&amp;"_2",管理者用人口入力シート!A:X,D43,FALSE),0)</f>
        <v>376</v>
      </c>
      <c r="D43" s="2">
        <v>6</v>
      </c>
      <c r="G43" s="1" t="s">
        <v>106</v>
      </c>
      <c r="H43" s="1">
        <f t="shared" si="26"/>
        <v>2025</v>
      </c>
      <c r="I43" s="17">
        <f>SUM(H84:I89)</f>
        <v>2019</v>
      </c>
      <c r="J43" s="12"/>
      <c r="K43" s="12"/>
      <c r="N43" s="1" t="s">
        <v>106</v>
      </c>
      <c r="O43" s="1">
        <f t="shared" si="27"/>
        <v>2025</v>
      </c>
      <c r="P43" s="17">
        <f t="shared" si="28"/>
        <v>2019</v>
      </c>
      <c r="Q43" s="17">
        <f>SUM(O84:P89)</f>
        <v>2019</v>
      </c>
    </row>
    <row r="44" spans="1:17" x14ac:dyDescent="0.15">
      <c r="A44" s="2" t="s">
        <v>3</v>
      </c>
      <c r="B44" s="17">
        <f>ROUND(VLOOKUP(B$39&amp;"_1",管理者用人口入力シート!A:X,D44,FALSE),0)</f>
        <v>474</v>
      </c>
      <c r="C44" s="17">
        <f>ROUND(VLOOKUP(B$39&amp;"_2",管理者用人口入力シート!A:X,D44,FALSE),0)</f>
        <v>372</v>
      </c>
      <c r="D44" s="2">
        <v>7</v>
      </c>
      <c r="G44" s="1" t="s">
        <v>107</v>
      </c>
      <c r="H44" s="1">
        <f t="shared" si="26"/>
        <v>2030</v>
      </c>
      <c r="I44" s="17">
        <f>SUM(H108:I113)</f>
        <v>2318</v>
      </c>
      <c r="J44" s="12"/>
      <c r="K44" s="12"/>
      <c r="N44" s="1" t="s">
        <v>107</v>
      </c>
      <c r="O44" s="1">
        <f t="shared" si="27"/>
        <v>2030</v>
      </c>
      <c r="P44" s="17">
        <f t="shared" si="28"/>
        <v>2318</v>
      </c>
      <c r="Q44" s="17">
        <f>SUM(O108:P113)</f>
        <v>2318</v>
      </c>
    </row>
    <row r="45" spans="1:17" x14ac:dyDescent="0.15">
      <c r="A45" s="2" t="s">
        <v>4</v>
      </c>
      <c r="B45" s="17">
        <f>ROUND(VLOOKUP(B$39&amp;"_1",管理者用人口入力シート!A:X,D45,FALSE),0)</f>
        <v>212</v>
      </c>
      <c r="C45" s="17">
        <f>ROUND(VLOOKUP(B$39&amp;"_2",管理者用人口入力シート!A:X,D45,FALSE),0)</f>
        <v>308</v>
      </c>
      <c r="D45" s="2">
        <v>8</v>
      </c>
      <c r="G45" s="1" t="s">
        <v>108</v>
      </c>
      <c r="H45" s="1">
        <f t="shared" si="26"/>
        <v>2035</v>
      </c>
      <c r="I45" s="17">
        <f>SUM(H132:I137)</f>
        <v>2516</v>
      </c>
      <c r="J45" s="12"/>
      <c r="K45" s="12"/>
      <c r="N45" s="1" t="s">
        <v>108</v>
      </c>
      <c r="O45" s="1">
        <f t="shared" si="27"/>
        <v>2035</v>
      </c>
      <c r="P45" s="17">
        <f t="shared" si="28"/>
        <v>2516</v>
      </c>
      <c r="Q45" s="17">
        <f>SUM(O132:P137)</f>
        <v>2516</v>
      </c>
    </row>
    <row r="46" spans="1:17" x14ac:dyDescent="0.15">
      <c r="A46" s="2" t="s">
        <v>5</v>
      </c>
      <c r="B46" s="17">
        <f>ROUND(VLOOKUP(B$39&amp;"_1",管理者用人口入力シート!A:X,D46,FALSE),0)</f>
        <v>323</v>
      </c>
      <c r="C46" s="17">
        <f>ROUND(VLOOKUP(B$39&amp;"_2",管理者用人口入力シート!A:X,D46,FALSE),0)</f>
        <v>394</v>
      </c>
      <c r="D46" s="2">
        <v>9</v>
      </c>
      <c r="G46" s="1" t="s">
        <v>109</v>
      </c>
      <c r="H46" s="1">
        <f t="shared" si="26"/>
        <v>2040</v>
      </c>
      <c r="I46" s="17">
        <f>SUM(H156:I161)</f>
        <v>2562</v>
      </c>
      <c r="J46" s="12"/>
      <c r="K46" s="12"/>
      <c r="N46" s="1" t="s">
        <v>109</v>
      </c>
      <c r="O46" s="1">
        <f t="shared" si="27"/>
        <v>2040</v>
      </c>
      <c r="P46" s="17">
        <f t="shared" si="28"/>
        <v>2562</v>
      </c>
      <c r="Q46" s="17">
        <f>SUM(O156:P161)</f>
        <v>2562</v>
      </c>
    </row>
    <row r="47" spans="1:17" x14ac:dyDescent="0.15">
      <c r="A47" s="2" t="s">
        <v>6</v>
      </c>
      <c r="B47" s="17">
        <f>ROUND(VLOOKUP(B$39&amp;"_1",管理者用人口入力シート!A:X,D47,FALSE),0)</f>
        <v>433</v>
      </c>
      <c r="C47" s="17">
        <f>ROUND(VLOOKUP(B$39&amp;"_2",管理者用人口入力シート!A:X,D47,FALSE),0)</f>
        <v>472</v>
      </c>
      <c r="D47" s="2">
        <v>10</v>
      </c>
    </row>
    <row r="48" spans="1:17" x14ac:dyDescent="0.15">
      <c r="A48" s="2" t="s">
        <v>7</v>
      </c>
      <c r="B48" s="17">
        <f>ROUND(VLOOKUP(B$39&amp;"_1",管理者用人口入力シート!A:X,D48,FALSE),0)</f>
        <v>402</v>
      </c>
      <c r="C48" s="17">
        <f>ROUND(VLOOKUP(B$39&amp;"_2",管理者用人口入力シート!A:X,D48,FALSE),0)</f>
        <v>464</v>
      </c>
      <c r="D48" s="2">
        <v>11</v>
      </c>
      <c r="G48" s="69" t="s">
        <v>85</v>
      </c>
      <c r="N48" s="69" t="s">
        <v>85</v>
      </c>
    </row>
    <row r="49" spans="1:17" x14ac:dyDescent="0.15">
      <c r="A49" s="2" t="s">
        <v>8</v>
      </c>
      <c r="B49" s="17">
        <f>ROUND(VLOOKUP(B$39&amp;"_1",管理者用人口入力シート!A:X,D49,FALSE),0)</f>
        <v>400</v>
      </c>
      <c r="C49" s="17">
        <f>ROUND(VLOOKUP(B$39&amp;"_2",管理者用人口入力シート!A:X,D49,FALSE),0)</f>
        <v>472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411</v>
      </c>
      <c r="C50" s="17">
        <f>ROUND(VLOOKUP(B$39&amp;"_2",管理者用人口入力シート!A:X,D50,FALSE),0)</f>
        <v>489</v>
      </c>
      <c r="D50" s="2">
        <v>13</v>
      </c>
      <c r="G50" s="1" t="s">
        <v>58</v>
      </c>
      <c r="H50" s="1">
        <f>H4</f>
        <v>2010</v>
      </c>
      <c r="I50" s="38">
        <f>C30</f>
        <v>0.18</v>
      </c>
      <c r="J50" s="205"/>
      <c r="K50" s="205"/>
      <c r="N50" s="1" t="s">
        <v>58</v>
      </c>
      <c r="O50" s="1">
        <f>O4</f>
        <v>2010</v>
      </c>
      <c r="P50" s="38">
        <f t="shared" ref="P50:P56" si="29">I50</f>
        <v>0.18</v>
      </c>
      <c r="Q50" s="1"/>
    </row>
    <row r="51" spans="1:17" x14ac:dyDescent="0.15">
      <c r="A51" s="2" t="s">
        <v>10</v>
      </c>
      <c r="B51" s="17">
        <f>ROUND(VLOOKUP(B$39&amp;"_1",管理者用人口入力シート!A:X,D51,FALSE),0)</f>
        <v>460</v>
      </c>
      <c r="C51" s="17">
        <f>ROUND(VLOOKUP(B$39&amp;"_2",管理者用人口入力シート!A:X,D51,FALSE),0)</f>
        <v>488</v>
      </c>
      <c r="D51" s="2">
        <v>14</v>
      </c>
      <c r="G51" s="1" t="s">
        <v>57</v>
      </c>
      <c r="H51" s="1">
        <f t="shared" ref="H51:H56" si="30">H5</f>
        <v>2015</v>
      </c>
      <c r="I51" s="38">
        <f t="shared" ref="I51:I52" si="31">C31</f>
        <v>0.21</v>
      </c>
      <c r="J51" s="205"/>
      <c r="K51" s="205"/>
      <c r="N51" s="1" t="s">
        <v>57</v>
      </c>
      <c r="O51" s="1">
        <f t="shared" ref="O51:O56" si="32">O5</f>
        <v>2015</v>
      </c>
      <c r="P51" s="38">
        <f t="shared" si="29"/>
        <v>0.21</v>
      </c>
      <c r="Q51" s="1"/>
    </row>
    <row r="52" spans="1:17" x14ac:dyDescent="0.15">
      <c r="A52" s="2" t="s">
        <v>11</v>
      </c>
      <c r="B52" s="17">
        <f>ROUND(VLOOKUP(B$39&amp;"_1",管理者用人口入力シート!A:X,D52,FALSE),0)</f>
        <v>450</v>
      </c>
      <c r="C52" s="17">
        <f>ROUND(VLOOKUP(B$39&amp;"_2",管理者用人口入力シート!A:X,D52,FALSE),0)</f>
        <v>534</v>
      </c>
      <c r="D52" s="2">
        <v>15</v>
      </c>
      <c r="G52" s="1" t="s">
        <v>62</v>
      </c>
      <c r="H52" s="1">
        <f t="shared" si="30"/>
        <v>2020</v>
      </c>
      <c r="I52" s="38">
        <f t="shared" si="31"/>
        <v>0.25</v>
      </c>
      <c r="J52" s="205"/>
      <c r="K52" s="205"/>
      <c r="N52" s="1" t="s">
        <v>62</v>
      </c>
      <c r="O52" s="1">
        <f t="shared" si="32"/>
        <v>2020</v>
      </c>
      <c r="P52" s="38">
        <f t="shared" si="29"/>
        <v>0.25</v>
      </c>
      <c r="Q52" s="1"/>
    </row>
    <row r="53" spans="1:17" x14ac:dyDescent="0.15">
      <c r="A53" s="2" t="s">
        <v>12</v>
      </c>
      <c r="B53" s="17">
        <f>ROUND(VLOOKUP(B$39&amp;"_1",管理者用人口入力シート!A:X,D53,FALSE),0)</f>
        <v>478</v>
      </c>
      <c r="C53" s="17">
        <f>ROUND(VLOOKUP(B$39&amp;"_2",管理者用人口入力シート!A:X,D53,FALSE),0)</f>
        <v>474</v>
      </c>
      <c r="D53" s="2">
        <v>16</v>
      </c>
      <c r="G53" s="1" t="s">
        <v>106</v>
      </c>
      <c r="H53" s="1">
        <f t="shared" si="30"/>
        <v>2025</v>
      </c>
      <c r="I53" s="38">
        <f>ROUND((SUM(H82:I89)/SUM(H69:I89)),2)</f>
        <v>0.27</v>
      </c>
      <c r="J53" s="205"/>
      <c r="K53" s="205"/>
      <c r="L53" s="70"/>
      <c r="M53" s="70"/>
      <c r="N53" s="1" t="s">
        <v>106</v>
      </c>
      <c r="O53" s="1">
        <f t="shared" si="32"/>
        <v>2025</v>
      </c>
      <c r="P53" s="38">
        <f t="shared" si="29"/>
        <v>0.27</v>
      </c>
      <c r="Q53" s="38">
        <f>ROUND((SUM(O82:P89)/SUM(O69:P89)),2)</f>
        <v>0.27</v>
      </c>
    </row>
    <row r="54" spans="1:17" x14ac:dyDescent="0.15">
      <c r="A54" s="2" t="s">
        <v>13</v>
      </c>
      <c r="B54" s="17">
        <f>ROUND(VLOOKUP(B$39&amp;"_1",管理者用人口入力シート!A:X,D54,FALSE),0)</f>
        <v>310</v>
      </c>
      <c r="C54" s="17">
        <f>ROUND(VLOOKUP(B$39&amp;"_2",管理者用人口入力シート!A:X,D54,FALSE),0)</f>
        <v>338</v>
      </c>
      <c r="D54" s="2">
        <v>17</v>
      </c>
      <c r="G54" s="1" t="s">
        <v>107</v>
      </c>
      <c r="H54" s="1">
        <f t="shared" si="30"/>
        <v>2030</v>
      </c>
      <c r="I54" s="38">
        <f>ROUND((SUM(H106:I113)/SUM(H93:I113)),2)</f>
        <v>0.28999999999999998</v>
      </c>
      <c r="J54" s="205"/>
      <c r="K54" s="205"/>
      <c r="N54" s="1" t="s">
        <v>107</v>
      </c>
      <c r="O54" s="1">
        <f t="shared" si="32"/>
        <v>2030</v>
      </c>
      <c r="P54" s="38">
        <f t="shared" si="29"/>
        <v>0.28999999999999998</v>
      </c>
      <c r="Q54" s="38">
        <f>ROUND((SUM(O106:P113)/SUM(O93:P113)),2)</f>
        <v>0.28999999999999998</v>
      </c>
    </row>
    <row r="55" spans="1:17" x14ac:dyDescent="0.15">
      <c r="A55" s="2" t="s">
        <v>14</v>
      </c>
      <c r="B55" s="17">
        <f>ROUND(VLOOKUP(B$39&amp;"_1",管理者用人口入力シート!A:X,D55,FALSE),0)</f>
        <v>264</v>
      </c>
      <c r="C55" s="17">
        <f>ROUND(VLOOKUP(B$39&amp;"_2",管理者用人口入力シート!A:X,D55,FALSE),0)</f>
        <v>298</v>
      </c>
      <c r="D55" s="2">
        <v>18</v>
      </c>
      <c r="G55" s="1" t="s">
        <v>108</v>
      </c>
      <c r="H55" s="1">
        <f t="shared" si="30"/>
        <v>2035</v>
      </c>
      <c r="I55" s="38">
        <f>ROUND((SUM(H130:I137)/SUM(H117:I137)),2)</f>
        <v>0.3</v>
      </c>
      <c r="J55" s="205"/>
      <c r="K55" s="205"/>
      <c r="N55" s="1" t="s">
        <v>108</v>
      </c>
      <c r="O55" s="1">
        <f t="shared" si="32"/>
        <v>2035</v>
      </c>
      <c r="P55" s="38">
        <f t="shared" si="29"/>
        <v>0.3</v>
      </c>
      <c r="Q55" s="38">
        <f>ROUND((SUM(O130:P137)/SUM(O117:P137)),2)</f>
        <v>0.3</v>
      </c>
    </row>
    <row r="56" spans="1:17" x14ac:dyDescent="0.15">
      <c r="A56" s="2" t="s">
        <v>15</v>
      </c>
      <c r="B56" s="17">
        <f>ROUND(VLOOKUP(B$39&amp;"_1",管理者用人口入力シート!A:X,D56,FALSE),0)</f>
        <v>215</v>
      </c>
      <c r="C56" s="17">
        <f>ROUND(VLOOKUP(B$39&amp;"_2",管理者用人口入力シート!A:X,D56,FALSE),0)</f>
        <v>317</v>
      </c>
      <c r="D56" s="2">
        <v>19</v>
      </c>
      <c r="G56" s="1" t="s">
        <v>109</v>
      </c>
      <c r="H56" s="1">
        <f t="shared" si="30"/>
        <v>2040</v>
      </c>
      <c r="I56" s="38">
        <f>ROUND((SUM(H154:I161)/SUM(H141:I161)),2)</f>
        <v>0.3</v>
      </c>
      <c r="J56" s="205"/>
      <c r="K56" s="205"/>
      <c r="N56" s="1" t="s">
        <v>109</v>
      </c>
      <c r="O56" s="1">
        <f t="shared" si="32"/>
        <v>2040</v>
      </c>
      <c r="P56" s="38">
        <f t="shared" si="29"/>
        <v>0.3</v>
      </c>
      <c r="Q56" s="38">
        <f>ROUND((SUM(O154:P161)/SUM(O141:P161)),2)</f>
        <v>0.3</v>
      </c>
    </row>
    <row r="57" spans="1:17" x14ac:dyDescent="0.15">
      <c r="A57" s="2" t="s">
        <v>16</v>
      </c>
      <c r="B57" s="17">
        <f>ROUND(VLOOKUP(B$39&amp;"_1",管理者用人口入力シート!A:X,D57,FALSE),0)</f>
        <v>149</v>
      </c>
      <c r="C57" s="17">
        <f>ROUND(VLOOKUP(B$39&amp;"_2",管理者用人口入力シート!A:X,D57,FALSE),0)</f>
        <v>244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73</v>
      </c>
      <c r="C58" s="17">
        <f>ROUND(VLOOKUP(B$39&amp;"_2",管理者用人口入力シート!A:X,D58,FALSE),0)</f>
        <v>126</v>
      </c>
      <c r="D58" s="2">
        <v>21</v>
      </c>
      <c r="G58" s="1" t="s">
        <v>58</v>
      </c>
      <c r="H58" s="1">
        <f>H4</f>
        <v>2010</v>
      </c>
      <c r="I58" s="38">
        <f>C34</f>
        <v>0.09</v>
      </c>
      <c r="J58" s="205"/>
      <c r="K58" s="205"/>
      <c r="N58" s="1" t="s">
        <v>58</v>
      </c>
      <c r="O58" s="1">
        <f>O4</f>
        <v>2010</v>
      </c>
      <c r="P58" s="38">
        <f t="shared" ref="P58:P64" si="33">I58</f>
        <v>0.09</v>
      </c>
      <c r="Q58" s="1"/>
    </row>
    <row r="59" spans="1:17" x14ac:dyDescent="0.15">
      <c r="A59" s="2" t="s">
        <v>18</v>
      </c>
      <c r="B59" s="17">
        <f>ROUND(VLOOKUP(B$39&amp;"_1",管理者用人口入力シート!A:X,D59,FALSE),0)</f>
        <v>17</v>
      </c>
      <c r="C59" s="17">
        <f>ROUND(VLOOKUP(B$39&amp;"_2",管理者用人口入力シート!A:X,D59,FALSE),0)</f>
        <v>68</v>
      </c>
      <c r="D59" s="2">
        <v>22</v>
      </c>
      <c r="G59" s="1" t="s">
        <v>57</v>
      </c>
      <c r="H59" s="1">
        <f t="shared" ref="H59:H64" si="34">H5</f>
        <v>2015</v>
      </c>
      <c r="I59" s="38">
        <f t="shared" ref="I59:I60" si="35">C35</f>
        <v>0.1</v>
      </c>
      <c r="J59" s="205"/>
      <c r="K59" s="205"/>
      <c r="N59" s="1" t="s">
        <v>57</v>
      </c>
      <c r="O59" s="1">
        <f t="shared" ref="O59:O64" si="36">O5</f>
        <v>2015</v>
      </c>
      <c r="P59" s="38">
        <f t="shared" si="33"/>
        <v>0.1</v>
      </c>
      <c r="Q59" s="1"/>
    </row>
    <row r="60" spans="1:17" x14ac:dyDescent="0.15">
      <c r="A60" s="2" t="s">
        <v>19</v>
      </c>
      <c r="B60" s="17">
        <f>ROUND(VLOOKUP(B$39&amp;"_1",管理者用人口入力シート!A:X,D60,FALSE),0)</f>
        <v>4</v>
      </c>
      <c r="C60" s="17">
        <f>ROUND(VLOOKUP(B$39&amp;"_2",管理者用人口入力シート!A:X,D60,FALSE),0)</f>
        <v>22</v>
      </c>
      <c r="D60" s="2">
        <v>23</v>
      </c>
      <c r="G60" s="1" t="s">
        <v>62</v>
      </c>
      <c r="H60" s="1">
        <f t="shared" si="34"/>
        <v>2020</v>
      </c>
      <c r="I60" s="38">
        <f t="shared" si="35"/>
        <v>0.12</v>
      </c>
      <c r="J60" s="205"/>
      <c r="K60" s="205"/>
      <c r="N60" s="1" t="s">
        <v>62</v>
      </c>
      <c r="O60" s="1">
        <f t="shared" si="36"/>
        <v>2020</v>
      </c>
      <c r="P60" s="38">
        <f t="shared" si="33"/>
        <v>0.12</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0.14000000000000001</v>
      </c>
      <c r="J61" s="205"/>
      <c r="K61" s="205"/>
      <c r="N61" s="1" t="s">
        <v>106</v>
      </c>
      <c r="O61" s="1">
        <f t="shared" si="36"/>
        <v>2025</v>
      </c>
      <c r="P61" s="38">
        <f t="shared" si="33"/>
        <v>0.14000000000000001</v>
      </c>
      <c r="Q61" s="38">
        <f>ROUND((SUM(O84:P89)/SUM(O69:P89)),2)</f>
        <v>0.14000000000000001</v>
      </c>
    </row>
    <row r="62" spans="1:17" x14ac:dyDescent="0.15">
      <c r="G62" s="1" t="s">
        <v>107</v>
      </c>
      <c r="H62" s="1">
        <f t="shared" si="34"/>
        <v>2030</v>
      </c>
      <c r="I62" s="38">
        <f>ROUND((SUM(H108:I113)/SUM(H93:I113)),2)</f>
        <v>0.16</v>
      </c>
      <c r="J62" s="205"/>
      <c r="K62" s="205"/>
      <c r="N62" s="1" t="s">
        <v>107</v>
      </c>
      <c r="O62" s="1">
        <f t="shared" si="36"/>
        <v>2030</v>
      </c>
      <c r="P62" s="38">
        <f t="shared" si="33"/>
        <v>0.16</v>
      </c>
      <c r="Q62" s="38">
        <f>ROUND((SUM(O108:P113)/SUM(O93:P113)),2)</f>
        <v>0.16</v>
      </c>
    </row>
    <row r="63" spans="1:17" x14ac:dyDescent="0.15">
      <c r="A63" s="2" t="s">
        <v>384</v>
      </c>
      <c r="B63" s="315">
        <f>管理者入力シート!B6</f>
        <v>2015</v>
      </c>
      <c r="C63" s="316"/>
      <c r="D63" s="2" t="s">
        <v>114</v>
      </c>
      <c r="G63" s="1" t="s">
        <v>108</v>
      </c>
      <c r="H63" s="1">
        <f t="shared" si="34"/>
        <v>2035</v>
      </c>
      <c r="I63" s="38">
        <f>ROUND((SUM(H132:I137)/SUM(H117:I137)),2)</f>
        <v>0.18</v>
      </c>
      <c r="J63" s="205"/>
      <c r="K63" s="205"/>
      <c r="N63" s="1" t="s">
        <v>108</v>
      </c>
      <c r="O63" s="1">
        <f t="shared" si="36"/>
        <v>2035</v>
      </c>
      <c r="P63" s="38">
        <f t="shared" si="33"/>
        <v>0.18</v>
      </c>
      <c r="Q63" s="38">
        <f>ROUND((SUM(O132:P137)/SUM(O117:P137)),2)</f>
        <v>0.18</v>
      </c>
    </row>
    <row r="64" spans="1:17" x14ac:dyDescent="0.15">
      <c r="A64" s="2" t="s">
        <v>115</v>
      </c>
      <c r="B64" s="18" t="s">
        <v>21</v>
      </c>
      <c r="C64" s="18" t="s">
        <v>22</v>
      </c>
      <c r="G64" s="1" t="s">
        <v>109</v>
      </c>
      <c r="H64" s="1">
        <f t="shared" si="34"/>
        <v>2040</v>
      </c>
      <c r="I64" s="38">
        <f>ROUND((SUM(H156:I161)/SUM(H141:I161)),2)</f>
        <v>0.18</v>
      </c>
      <c r="J64" s="205"/>
      <c r="K64" s="205"/>
      <c r="N64" s="1" t="s">
        <v>109</v>
      </c>
      <c r="O64" s="1">
        <f t="shared" si="36"/>
        <v>2040</v>
      </c>
      <c r="P64" s="38">
        <f t="shared" si="33"/>
        <v>0.18</v>
      </c>
      <c r="Q64" s="38">
        <f>ROUND((SUM(O156:P161)/SUM(O141:P161)),2)</f>
        <v>0.18</v>
      </c>
    </row>
    <row r="65" spans="1:21" x14ac:dyDescent="0.15">
      <c r="A65" s="2" t="s">
        <v>0</v>
      </c>
      <c r="B65" s="17">
        <f>ROUND(VLOOKUP(B$63&amp;"_1",管理者用人口入力シート!A:X,D65,FALSE),0)</f>
        <v>403</v>
      </c>
      <c r="C65" s="17">
        <f>ROUND(VLOOKUP(B$63&amp;"_2",管理者用人口入力シート!A:X,D65,FALSE),0)</f>
        <v>400</v>
      </c>
      <c r="D65" s="2">
        <v>4</v>
      </c>
    </row>
    <row r="66" spans="1:21" x14ac:dyDescent="0.15">
      <c r="A66" s="2" t="s">
        <v>1</v>
      </c>
      <c r="B66" s="17">
        <f>ROUND(VLOOKUP(B$63&amp;"_1",管理者用人口入力シート!A:X,D66,FALSE),0)</f>
        <v>458</v>
      </c>
      <c r="C66" s="17">
        <f>ROUND(VLOOKUP(B$63&amp;"_2",管理者用人口入力シート!A:X,D66,FALSE),0)</f>
        <v>459</v>
      </c>
      <c r="D66" s="2">
        <v>5</v>
      </c>
      <c r="G66" s="69" t="s">
        <v>113</v>
      </c>
      <c r="N66" s="69" t="s">
        <v>113</v>
      </c>
    </row>
    <row r="67" spans="1:21" x14ac:dyDescent="0.15">
      <c r="A67" s="2" t="s">
        <v>2</v>
      </c>
      <c r="B67" s="17">
        <f>ROUND(VLOOKUP(B$63&amp;"_1",管理者用人口入力シート!A:X,D67,FALSE),0)</f>
        <v>476</v>
      </c>
      <c r="C67" s="17">
        <f>ROUND(VLOOKUP(B$63&amp;"_2",管理者用人口入力シート!A:X,D67,FALSE),0)</f>
        <v>458</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454</v>
      </c>
      <c r="C68" s="17">
        <f>ROUND(VLOOKUP(B$63&amp;"_2",管理者用人口入力シート!A:X,D68,FALSE),0)</f>
        <v>353</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248</v>
      </c>
      <c r="C69" s="17">
        <f>ROUND(VLOOKUP(B$63&amp;"_2",管理者用人口入力シート!A:X,D69,FALSE),0)</f>
        <v>225</v>
      </c>
      <c r="D69" s="2">
        <v>8</v>
      </c>
      <c r="G69" s="2" t="s">
        <v>0</v>
      </c>
      <c r="H69" s="17">
        <f>ROUND(VLOOKUP(H$67&amp;"_1",管理者用人口入力シート!BH:CE,J69,FALSE),0)</f>
        <v>354</v>
      </c>
      <c r="I69" s="17">
        <f>ROUND(VLOOKUP(H$67&amp;"_2",管理者用人口入力シート!BH:CE,J69,FALSE),0)</f>
        <v>306</v>
      </c>
      <c r="J69" s="2">
        <v>4</v>
      </c>
      <c r="K69" s="12"/>
      <c r="N69" s="2" t="s">
        <v>0</v>
      </c>
      <c r="O69" s="17">
        <f>ROUND(VLOOKUP(O$67&amp;"_1",管理者用人口入力シート!CO:DL,Q69,FALSE),0)</f>
        <v>355</v>
      </c>
      <c r="P69" s="17">
        <f>ROUND(VLOOKUP(O$67&amp;"_2",管理者用人口入力シート!CO:DL,Q69,FALSE),0)</f>
        <v>307</v>
      </c>
      <c r="Q69" s="2">
        <v>4</v>
      </c>
      <c r="U69" s="85"/>
    </row>
    <row r="70" spans="1:21" x14ac:dyDescent="0.15">
      <c r="A70" s="2" t="s">
        <v>5</v>
      </c>
      <c r="B70" s="17">
        <f>ROUND(VLOOKUP(B$63&amp;"_1",管理者用人口入力シート!A:X,D70,FALSE),0)</f>
        <v>290</v>
      </c>
      <c r="C70" s="17">
        <f>ROUND(VLOOKUP(B$63&amp;"_2",管理者用人口入力シート!A:X,D70,FALSE),0)</f>
        <v>356</v>
      </c>
      <c r="D70" s="2">
        <v>9</v>
      </c>
      <c r="G70" s="2" t="s">
        <v>1</v>
      </c>
      <c r="H70" s="17">
        <f>ROUND(VLOOKUP(H$67&amp;"_1",管理者用人口入力シート!BH:CE,J70,FALSE),0)</f>
        <v>447</v>
      </c>
      <c r="I70" s="17">
        <f>ROUND(VLOOKUP(H$67&amp;"_2",管理者用人口入力シート!BH:CE,J70,FALSE),0)</f>
        <v>360</v>
      </c>
      <c r="J70" s="2">
        <v>5</v>
      </c>
      <c r="K70" s="12"/>
      <c r="N70" s="2" t="s">
        <v>1</v>
      </c>
      <c r="O70" s="17">
        <f>ROUND(VLOOKUP(O$67&amp;"_1",管理者用人口入力シート!CO:DL,Q70,FALSE),0)</f>
        <v>447</v>
      </c>
      <c r="P70" s="17">
        <f>ROUND(VLOOKUP(O$67&amp;"_2",管理者用人口入力シート!CO:DL,Q70,FALSE),0)</f>
        <v>360</v>
      </c>
      <c r="Q70" s="2">
        <v>5</v>
      </c>
      <c r="U70" s="85"/>
    </row>
    <row r="71" spans="1:21" x14ac:dyDescent="0.15">
      <c r="A71" s="2" t="s">
        <v>6</v>
      </c>
      <c r="B71" s="17">
        <f>ROUND(VLOOKUP(B$63&amp;"_1",管理者用人口入力シート!A:X,D71,FALSE),0)</f>
        <v>366</v>
      </c>
      <c r="C71" s="17">
        <f>ROUND(VLOOKUP(B$63&amp;"_2",管理者用人口入力シート!A:X,D71,FALSE),0)</f>
        <v>448</v>
      </c>
      <c r="D71" s="2">
        <v>10</v>
      </c>
      <c r="G71" s="2" t="s">
        <v>2</v>
      </c>
      <c r="H71" s="17">
        <f>ROUND(VLOOKUP(H$67&amp;"_1",管理者用人口入力シート!BH:CE,J71,FALSE),0)</f>
        <v>539</v>
      </c>
      <c r="I71" s="17">
        <f>ROUND(VLOOKUP(H$67&amp;"_2",管理者用人口入力シート!BH:CE,J71,FALSE),0)</f>
        <v>469</v>
      </c>
      <c r="J71" s="2">
        <v>6</v>
      </c>
      <c r="K71" s="12"/>
      <c r="N71" s="2" t="s">
        <v>2</v>
      </c>
      <c r="O71" s="17">
        <f>ROUND(VLOOKUP(O$67&amp;"_1",管理者用人口入力シート!CO:DL,Q71,FALSE),0)</f>
        <v>540</v>
      </c>
      <c r="P71" s="17">
        <f>ROUND(VLOOKUP(O$67&amp;"_2",管理者用人口入力シート!CO:DL,Q71,FALSE),0)</f>
        <v>470</v>
      </c>
      <c r="Q71" s="2">
        <v>6</v>
      </c>
      <c r="U71" s="85"/>
    </row>
    <row r="72" spans="1:21" x14ac:dyDescent="0.15">
      <c r="A72" s="2" t="s">
        <v>7</v>
      </c>
      <c r="B72" s="17">
        <f>ROUND(VLOOKUP(B$63&amp;"_1",管理者用人口入力シート!A:X,D72,FALSE),0)</f>
        <v>502</v>
      </c>
      <c r="C72" s="17">
        <f>ROUND(VLOOKUP(B$63&amp;"_2",管理者用人口入力シート!A:X,D72,FALSE),0)</f>
        <v>523</v>
      </c>
      <c r="D72" s="2">
        <v>11</v>
      </c>
      <c r="G72" s="2" t="s">
        <v>3</v>
      </c>
      <c r="H72" s="17">
        <f>ROUND(VLOOKUP(H$67&amp;"_1",管理者用人口入力シート!BH:CE,J72,FALSE),0)</f>
        <v>491</v>
      </c>
      <c r="I72" s="17">
        <f>ROUND(VLOOKUP(H$67&amp;"_2",管理者用人口入力シート!BH:CE,J72,FALSE),0)</f>
        <v>447</v>
      </c>
      <c r="J72" s="2">
        <v>7</v>
      </c>
      <c r="K72" s="12"/>
      <c r="N72" s="2" t="s">
        <v>3</v>
      </c>
      <c r="O72" s="17">
        <f>ROUND(VLOOKUP(O$67&amp;"_1",管理者用人口入力シート!CO:DL,Q72,FALSE),0)</f>
        <v>491</v>
      </c>
      <c r="P72" s="17">
        <f>ROUND(VLOOKUP(O$67&amp;"_2",管理者用人口入力シート!CO:DL,Q72,FALSE),0)</f>
        <v>447</v>
      </c>
      <c r="Q72" s="2">
        <v>7</v>
      </c>
      <c r="U72" s="85"/>
    </row>
    <row r="73" spans="1:21" x14ac:dyDescent="0.15">
      <c r="A73" s="2" t="s">
        <v>8</v>
      </c>
      <c r="B73" s="17">
        <f>ROUND(VLOOKUP(B$63&amp;"_1",管理者用人口入力シート!A:X,D73,FALSE),0)</f>
        <v>418</v>
      </c>
      <c r="C73" s="17">
        <f>ROUND(VLOOKUP(B$63&amp;"_2",管理者用人口入力シート!A:X,D73,FALSE),0)</f>
        <v>478</v>
      </c>
      <c r="D73" s="2">
        <v>12</v>
      </c>
      <c r="G73" s="2" t="s">
        <v>4</v>
      </c>
      <c r="H73" s="17">
        <f>ROUND(VLOOKUP(H$67&amp;"_1",管理者用人口入力シート!BH:CE,J73,FALSE),0)</f>
        <v>226</v>
      </c>
      <c r="I73" s="17">
        <f>ROUND(VLOOKUP(H$67&amp;"_2",管理者用人口入力シート!BH:CE,J73,FALSE),0)</f>
        <v>258</v>
      </c>
      <c r="J73" s="2">
        <v>8</v>
      </c>
      <c r="K73" s="12"/>
      <c r="N73" s="2" t="s">
        <v>4</v>
      </c>
      <c r="O73" s="17">
        <f>ROUND(VLOOKUP(O$67&amp;"_1",管理者用人口入力シート!CO:DL,Q73,FALSE),0)</f>
        <v>226</v>
      </c>
      <c r="P73" s="17">
        <f>ROUND(VLOOKUP(O$67&amp;"_2",管理者用人口入力シート!CO:DL,Q73,FALSE),0)</f>
        <v>258</v>
      </c>
      <c r="Q73" s="2">
        <v>8</v>
      </c>
      <c r="U73" s="85"/>
    </row>
    <row r="74" spans="1:21" x14ac:dyDescent="0.15">
      <c r="A74" s="2" t="s">
        <v>9</v>
      </c>
      <c r="B74" s="17">
        <f>ROUND(VLOOKUP(B$63&amp;"_1",管理者用人口入力シート!A:X,D74,FALSE),0)</f>
        <v>410</v>
      </c>
      <c r="C74" s="17">
        <f>ROUND(VLOOKUP(B$63&amp;"_2",管理者用人口入力シート!A:X,D74,FALSE),0)</f>
        <v>460</v>
      </c>
      <c r="D74" s="2">
        <v>13</v>
      </c>
      <c r="G74" s="2" t="s">
        <v>5</v>
      </c>
      <c r="H74" s="17">
        <f>ROUND(VLOOKUP(H$67&amp;"_1",管理者用人口入力シート!BH:CE,J74,FALSE),0)</f>
        <v>263</v>
      </c>
      <c r="I74" s="17">
        <f>ROUND(VLOOKUP(H$67&amp;"_2",管理者用人口入力シート!BH:CE,J74,FALSE),0)</f>
        <v>260</v>
      </c>
      <c r="J74" s="2">
        <v>9</v>
      </c>
      <c r="K74" s="12"/>
      <c r="N74" s="2" t="s">
        <v>5</v>
      </c>
      <c r="O74" s="17">
        <f>ROUND(VLOOKUP(O$67&amp;"_1",管理者用人口入力シート!CO:DL,Q74,FALSE),0)</f>
        <v>265</v>
      </c>
      <c r="P74" s="17">
        <f>ROUND(VLOOKUP(O$67&amp;"_2",管理者用人口入力シート!CO:DL,Q74,FALSE),0)</f>
        <v>262</v>
      </c>
      <c r="Q74" s="2">
        <v>9</v>
      </c>
      <c r="U74" s="85"/>
    </row>
    <row r="75" spans="1:21" x14ac:dyDescent="0.15">
      <c r="A75" s="2" t="s">
        <v>10</v>
      </c>
      <c r="B75" s="17">
        <f>ROUND(VLOOKUP(B$63&amp;"_1",管理者用人口入力シート!A:X,D75,FALSE),0)</f>
        <v>405</v>
      </c>
      <c r="C75" s="17">
        <f>ROUND(VLOOKUP(B$63&amp;"_2",管理者用人口入力シート!A:X,D75,FALSE),0)</f>
        <v>465</v>
      </c>
      <c r="D75" s="2">
        <v>14</v>
      </c>
      <c r="G75" s="2" t="s">
        <v>6</v>
      </c>
      <c r="H75" s="17">
        <f>ROUND(VLOOKUP(H$67&amp;"_1",管理者用人口入力シート!BH:CE,J75,FALSE),0)</f>
        <v>304</v>
      </c>
      <c r="I75" s="17">
        <f>ROUND(VLOOKUP(H$67&amp;"_2",管理者用人口入力シート!BH:CE,J75,FALSE),0)</f>
        <v>292</v>
      </c>
      <c r="J75" s="2">
        <v>10</v>
      </c>
      <c r="K75" s="12"/>
      <c r="N75" s="2" t="s">
        <v>6</v>
      </c>
      <c r="O75" s="17">
        <f>ROUND(VLOOKUP(O$67&amp;"_1",管理者用人口入力シート!CO:DL,Q75,FALSE),0)</f>
        <v>304</v>
      </c>
      <c r="P75" s="17">
        <f>ROUND(VLOOKUP(O$67&amp;"_2",管理者用人口入力シート!CO:DL,Q75,FALSE),0)</f>
        <v>292</v>
      </c>
      <c r="Q75" s="2">
        <v>10</v>
      </c>
      <c r="U75" s="85"/>
    </row>
    <row r="76" spans="1:21" x14ac:dyDescent="0.15">
      <c r="A76" s="2" t="s">
        <v>11</v>
      </c>
      <c r="B76" s="17">
        <f>ROUND(VLOOKUP(B$63&amp;"_1",管理者用人口入力シート!A:X,D76,FALSE),0)</f>
        <v>441</v>
      </c>
      <c r="C76" s="17">
        <f>ROUND(VLOOKUP(B$63&amp;"_2",管理者用人口入力シート!A:X,D76,FALSE),0)</f>
        <v>482</v>
      </c>
      <c r="D76" s="2">
        <v>15</v>
      </c>
      <c r="G76" s="2" t="s">
        <v>7</v>
      </c>
      <c r="H76" s="17">
        <f>ROUND(VLOOKUP(H$67&amp;"_1",管理者用人口入力シート!BH:CE,J76,FALSE),0)</f>
        <v>380</v>
      </c>
      <c r="I76" s="17">
        <f>ROUND(VLOOKUP(H$67&amp;"_2",管理者用人口入力シート!BH:CE,J76,FALSE),0)</f>
        <v>432</v>
      </c>
      <c r="J76" s="2">
        <v>11</v>
      </c>
      <c r="K76" s="12"/>
      <c r="N76" s="2" t="s">
        <v>7</v>
      </c>
      <c r="O76" s="17">
        <f>ROUND(VLOOKUP(O$67&amp;"_1",管理者用人口入力シート!CO:DL,Q76,FALSE),0)</f>
        <v>380</v>
      </c>
      <c r="P76" s="17">
        <f>ROUND(VLOOKUP(O$67&amp;"_2",管理者用人口入力シート!CO:DL,Q76,FALSE),0)</f>
        <v>432</v>
      </c>
      <c r="Q76" s="2">
        <v>11</v>
      </c>
      <c r="U76" s="85"/>
    </row>
    <row r="77" spans="1:21" x14ac:dyDescent="0.15">
      <c r="A77" s="2" t="s">
        <v>12</v>
      </c>
      <c r="B77" s="17">
        <f>ROUND(VLOOKUP(B$63&amp;"_1",管理者用人口入力シート!A:X,D77,FALSE),0)</f>
        <v>430</v>
      </c>
      <c r="C77" s="17">
        <f>ROUND(VLOOKUP(B$63&amp;"_2",管理者用人口入力シート!A:X,D77,FALSE),0)</f>
        <v>527</v>
      </c>
      <c r="D77" s="2">
        <v>16</v>
      </c>
      <c r="G77" s="2" t="s">
        <v>8</v>
      </c>
      <c r="H77" s="17">
        <f>ROUND(VLOOKUP(H$67&amp;"_1",管理者用人口入力シート!BH:CE,J77,FALSE),0)</f>
        <v>436</v>
      </c>
      <c r="I77" s="17">
        <f>ROUND(VLOOKUP(H$67&amp;"_2",管理者用人口入力シート!BH:CE,J77,FALSE),0)</f>
        <v>490</v>
      </c>
      <c r="J77" s="2">
        <v>12</v>
      </c>
      <c r="K77" s="12"/>
      <c r="N77" s="2" t="s">
        <v>8</v>
      </c>
      <c r="O77" s="17">
        <f>ROUND(VLOOKUP(O$67&amp;"_1",管理者用人口入力シート!CO:DL,Q77,FALSE),0)</f>
        <v>436</v>
      </c>
      <c r="P77" s="17">
        <f>ROUND(VLOOKUP(O$67&amp;"_2",管理者用人口入力シート!CO:DL,Q77,FALSE),0)</f>
        <v>491</v>
      </c>
      <c r="Q77" s="2">
        <v>12</v>
      </c>
      <c r="U77" s="85"/>
    </row>
    <row r="78" spans="1:21" x14ac:dyDescent="0.15">
      <c r="A78" s="2" t="s">
        <v>13</v>
      </c>
      <c r="B78" s="17">
        <f>ROUND(VLOOKUP(B$63&amp;"_1",管理者用人口入力シート!A:X,D78,FALSE),0)</f>
        <v>471</v>
      </c>
      <c r="C78" s="17">
        <f>ROUND(VLOOKUP(B$63&amp;"_2",管理者用人口入力シート!A:X,D78,FALSE),0)</f>
        <v>463</v>
      </c>
      <c r="D78" s="2">
        <v>17</v>
      </c>
      <c r="G78" s="2" t="s">
        <v>9</v>
      </c>
      <c r="H78" s="17">
        <f>ROUND(VLOOKUP(H$67&amp;"_1",管理者用人口入力シート!BH:CE,J78,FALSE),0)</f>
        <v>562</v>
      </c>
      <c r="I78" s="17">
        <f>ROUND(VLOOKUP(H$67&amp;"_2",管理者用人口入力シート!BH:CE,J78,FALSE),0)</f>
        <v>544</v>
      </c>
      <c r="J78" s="2">
        <v>13</v>
      </c>
      <c r="K78" s="12"/>
      <c r="N78" s="2" t="s">
        <v>9</v>
      </c>
      <c r="O78" s="17">
        <f>ROUND(VLOOKUP(O$67&amp;"_1",管理者用人口入力シート!CO:DL,Q78,FALSE),0)</f>
        <v>562</v>
      </c>
      <c r="P78" s="17">
        <f>ROUND(VLOOKUP(O$67&amp;"_2",管理者用人口入力シート!CO:DL,Q78,FALSE),0)</f>
        <v>544</v>
      </c>
      <c r="Q78" s="2">
        <v>13</v>
      </c>
      <c r="U78" s="85"/>
    </row>
    <row r="79" spans="1:21" x14ac:dyDescent="0.15">
      <c r="A79" s="2" t="s">
        <v>14</v>
      </c>
      <c r="B79" s="17">
        <f>ROUND(VLOOKUP(B$63&amp;"_1",管理者用人口入力シート!A:X,D79,FALSE),0)</f>
        <v>276</v>
      </c>
      <c r="C79" s="17">
        <f>ROUND(VLOOKUP(B$63&amp;"_2",管理者用人口入力シート!A:X,D79,FALSE),0)</f>
        <v>336</v>
      </c>
      <c r="D79" s="2">
        <v>18</v>
      </c>
      <c r="G79" s="2" t="s">
        <v>10</v>
      </c>
      <c r="H79" s="17">
        <f>ROUND(VLOOKUP(H$67&amp;"_1",管理者用人口入力シート!BH:CE,J79,FALSE),0)</f>
        <v>420</v>
      </c>
      <c r="I79" s="17">
        <f>ROUND(VLOOKUP(H$67&amp;"_2",管理者用人口入力シート!BH:CE,J79,FALSE),0)</f>
        <v>461</v>
      </c>
      <c r="J79" s="2">
        <v>14</v>
      </c>
      <c r="K79" s="12"/>
      <c r="N79" s="2" t="s">
        <v>10</v>
      </c>
      <c r="O79" s="17">
        <f>ROUND(VLOOKUP(O$67&amp;"_1",管理者用人口入力シート!CO:DL,Q79,FALSE),0)</f>
        <v>420</v>
      </c>
      <c r="P79" s="17">
        <f>ROUND(VLOOKUP(O$67&amp;"_2",管理者用人口入力シート!CO:DL,Q79,FALSE),0)</f>
        <v>461</v>
      </c>
      <c r="Q79" s="2">
        <v>14</v>
      </c>
      <c r="U79" s="85"/>
    </row>
    <row r="80" spans="1:21" x14ac:dyDescent="0.15">
      <c r="A80" s="2" t="s">
        <v>15</v>
      </c>
      <c r="B80" s="17">
        <f>ROUND(VLOOKUP(B$63&amp;"_1",管理者用人口入力シート!A:X,D80,FALSE),0)</f>
        <v>222</v>
      </c>
      <c r="C80" s="17">
        <f>ROUND(VLOOKUP(B$63&amp;"_2",管理者用人口入力シート!A:X,D80,FALSE),0)</f>
        <v>288</v>
      </c>
      <c r="D80" s="2">
        <v>19</v>
      </c>
      <c r="G80" s="2" t="s">
        <v>11</v>
      </c>
      <c r="H80" s="17">
        <f>ROUND(VLOOKUP(H$67&amp;"_1",管理者用人口入力シート!BH:CE,J80,FALSE),0)</f>
        <v>391</v>
      </c>
      <c r="I80" s="17">
        <f>ROUND(VLOOKUP(H$67&amp;"_2",管理者用人口入力シート!BH:CE,J80,FALSE),0)</f>
        <v>446</v>
      </c>
      <c r="J80" s="2">
        <v>15</v>
      </c>
      <c r="K80" s="12"/>
      <c r="N80" s="2" t="s">
        <v>11</v>
      </c>
      <c r="O80" s="17">
        <f>ROUND(VLOOKUP(O$67&amp;"_1",管理者用人口入力シート!CO:DL,Q80,FALSE),0)</f>
        <v>391</v>
      </c>
      <c r="P80" s="17">
        <f>ROUND(VLOOKUP(O$67&amp;"_2",管理者用人口入力シート!CO:DL,Q80,FALSE),0)</f>
        <v>446</v>
      </c>
      <c r="Q80" s="2">
        <v>15</v>
      </c>
      <c r="U80" s="85"/>
    </row>
    <row r="81" spans="1:21" x14ac:dyDescent="0.15">
      <c r="A81" s="2" t="s">
        <v>16</v>
      </c>
      <c r="B81" s="17">
        <f>ROUND(VLOOKUP(B$63&amp;"_1",管理者用人口入力シート!A:X,D81,FALSE),0)</f>
        <v>172</v>
      </c>
      <c r="C81" s="17">
        <f>ROUND(VLOOKUP(B$63&amp;"_2",管理者用人口入力シート!A:X,D81,FALSE),0)</f>
        <v>299</v>
      </c>
      <c r="D81" s="2">
        <v>20</v>
      </c>
      <c r="G81" s="2" t="s">
        <v>12</v>
      </c>
      <c r="H81" s="17">
        <f>ROUND(VLOOKUP(H$67&amp;"_1",管理者用人口入力シート!BH:CE,J81,FALSE),0)</f>
        <v>397</v>
      </c>
      <c r="I81" s="17">
        <f>ROUND(VLOOKUP(H$67&amp;"_2",管理者用人口入力シート!BH:CE,J81,FALSE),0)</f>
        <v>464</v>
      </c>
      <c r="J81" s="2">
        <v>16</v>
      </c>
      <c r="K81" s="12"/>
      <c r="N81" s="2" t="s">
        <v>12</v>
      </c>
      <c r="O81" s="17">
        <f>ROUND(VLOOKUP(O$67&amp;"_1",管理者用人口入力シート!CO:DL,Q81,FALSE),0)</f>
        <v>397</v>
      </c>
      <c r="P81" s="17">
        <f>ROUND(VLOOKUP(O$67&amp;"_2",管理者用人口入力シート!CO:DL,Q81,FALSE),0)</f>
        <v>464</v>
      </c>
      <c r="Q81" s="2">
        <v>16</v>
      </c>
      <c r="U81" s="85"/>
    </row>
    <row r="82" spans="1:21" x14ac:dyDescent="0.15">
      <c r="A82" s="2" t="s">
        <v>17</v>
      </c>
      <c r="B82" s="17">
        <f>ROUND(VLOOKUP(B$63&amp;"_1",管理者用人口入力シート!A:X,D82,FALSE),0)</f>
        <v>94</v>
      </c>
      <c r="C82" s="17">
        <f>ROUND(VLOOKUP(B$63&amp;"_2",管理者用人口入力シート!A:X,D82,FALSE),0)</f>
        <v>204</v>
      </c>
      <c r="D82" s="2">
        <v>21</v>
      </c>
      <c r="G82" s="2" t="s">
        <v>13</v>
      </c>
      <c r="H82" s="17">
        <f>ROUND(VLOOKUP(H$67&amp;"_1",管理者用人口入力シート!BH:CE,J82,FALSE),0)</f>
        <v>460</v>
      </c>
      <c r="I82" s="17">
        <f>ROUND(VLOOKUP(H$67&amp;"_2",管理者用人口入力シート!BH:CE,J82,FALSE),0)</f>
        <v>492</v>
      </c>
      <c r="J82" s="2">
        <v>17</v>
      </c>
      <c r="K82" s="12"/>
      <c r="N82" s="2" t="s">
        <v>13</v>
      </c>
      <c r="O82" s="17">
        <f>ROUND(VLOOKUP(O$67&amp;"_1",管理者用人口入力シート!CO:DL,Q82,FALSE),0)</f>
        <v>460</v>
      </c>
      <c r="P82" s="17">
        <f>ROUND(VLOOKUP(O$67&amp;"_2",管理者用人口入力シート!CO:DL,Q82,FALSE),0)</f>
        <v>492</v>
      </c>
      <c r="Q82" s="2">
        <v>17</v>
      </c>
      <c r="U82" s="85"/>
    </row>
    <row r="83" spans="1:21" x14ac:dyDescent="0.15">
      <c r="A83" s="2" t="s">
        <v>18</v>
      </c>
      <c r="B83" s="17">
        <f>ROUND(VLOOKUP(B$63&amp;"_1",管理者用人口入力シート!A:X,D83,FALSE),0)</f>
        <v>31</v>
      </c>
      <c r="C83" s="17">
        <f>ROUND(VLOOKUP(B$63&amp;"_2",管理者用人口入力シート!A:X,D83,FALSE),0)</f>
        <v>86</v>
      </c>
      <c r="D83" s="2">
        <v>22</v>
      </c>
      <c r="G83" s="2" t="s">
        <v>14</v>
      </c>
      <c r="H83" s="17">
        <f>ROUND(VLOOKUP(H$67&amp;"_1",管理者用人口入力シート!BH:CE,J83,FALSE),0)</f>
        <v>399</v>
      </c>
      <c r="I83" s="17">
        <f>ROUND(VLOOKUP(H$67&amp;"_2",管理者用人口入力シート!BH:CE,J83,FALSE),0)</f>
        <v>533</v>
      </c>
      <c r="J83" s="2">
        <v>18</v>
      </c>
      <c r="K83" s="12"/>
      <c r="N83" s="2" t="s">
        <v>14</v>
      </c>
      <c r="O83" s="17">
        <f>ROUND(VLOOKUP(O$67&amp;"_1",管理者用人口入力シート!CO:DL,Q83,FALSE),0)</f>
        <v>399</v>
      </c>
      <c r="P83" s="17">
        <f>ROUND(VLOOKUP(O$67&amp;"_2",管理者用人口入力シート!CO:DL,Q83,FALSE),0)</f>
        <v>533</v>
      </c>
      <c r="Q83" s="2">
        <v>18</v>
      </c>
      <c r="U83" s="85"/>
    </row>
    <row r="84" spans="1:21" x14ac:dyDescent="0.15">
      <c r="A84" s="2" t="s">
        <v>19</v>
      </c>
      <c r="B84" s="17">
        <f>ROUND(VLOOKUP(B$63&amp;"_1",管理者用人口入力シート!A:X,D84,FALSE),0)</f>
        <v>5</v>
      </c>
      <c r="C84" s="17">
        <f>ROUND(VLOOKUP(B$63&amp;"_2",管理者用人口入力シート!A:X,D84,FALSE),0)</f>
        <v>28</v>
      </c>
      <c r="D84" s="2">
        <v>23</v>
      </c>
      <c r="G84" s="2" t="s">
        <v>15</v>
      </c>
      <c r="H84" s="17">
        <f>ROUND(VLOOKUP(H$67&amp;"_1",管理者用人口入力シート!BH:CE,J84,FALSE),0)</f>
        <v>384</v>
      </c>
      <c r="I84" s="17">
        <f>ROUND(VLOOKUP(H$67&amp;"_2",管理者用人口入力シート!BH:CE,J84,FALSE),0)</f>
        <v>437</v>
      </c>
      <c r="J84" s="2">
        <v>19</v>
      </c>
      <c r="K84" s="12"/>
      <c r="N84" s="2" t="s">
        <v>15</v>
      </c>
      <c r="O84" s="17">
        <f>ROUND(VLOOKUP(O$67&amp;"_1",管理者用人口入力シート!CO:DL,Q84,FALSE),0)</f>
        <v>384</v>
      </c>
      <c r="P84" s="17">
        <f>ROUND(VLOOKUP(O$67&amp;"_2",管理者用人口入力シート!CO:DL,Q84,FALSE),0)</f>
        <v>437</v>
      </c>
      <c r="Q84" s="2">
        <v>19</v>
      </c>
      <c r="U84" s="85"/>
    </row>
    <row r="85" spans="1:21" x14ac:dyDescent="0.15">
      <c r="A85" s="2" t="s">
        <v>20</v>
      </c>
      <c r="B85" s="17">
        <f>ROUND(VLOOKUP(B$63&amp;"_1",管理者用人口入力シート!A:X,D85,FALSE),0)</f>
        <v>1</v>
      </c>
      <c r="C85" s="17">
        <f>ROUND(VLOOKUP(B$63&amp;"_2",管理者用人口入力シート!A:X,D85,FALSE),0)</f>
        <v>3</v>
      </c>
      <c r="D85" s="2">
        <v>24</v>
      </c>
      <c r="G85" s="2" t="s">
        <v>16</v>
      </c>
      <c r="H85" s="17">
        <f>ROUND(VLOOKUP(H$67&amp;"_1",管理者用人口入力シート!BH:CE,J85,FALSE),0)</f>
        <v>201</v>
      </c>
      <c r="I85" s="17">
        <f>ROUND(VLOOKUP(H$67&amp;"_2",管理者用人口入力シート!BH:CE,J85,FALSE),0)</f>
        <v>299</v>
      </c>
      <c r="J85" s="2">
        <v>20</v>
      </c>
      <c r="K85" s="12"/>
      <c r="N85" s="2" t="s">
        <v>16</v>
      </c>
      <c r="O85" s="17">
        <f>ROUND(VLOOKUP(O$67&amp;"_1",管理者用人口入力シート!CO:DL,Q85,FALSE),0)</f>
        <v>201</v>
      </c>
      <c r="P85" s="17">
        <f>ROUND(VLOOKUP(O$67&amp;"_2",管理者用人口入力シート!CO:DL,Q85,FALSE),0)</f>
        <v>299</v>
      </c>
      <c r="Q85" s="2">
        <v>20</v>
      </c>
      <c r="U85" s="85"/>
    </row>
    <row r="86" spans="1:21" x14ac:dyDescent="0.15">
      <c r="G86" s="2" t="s">
        <v>17</v>
      </c>
      <c r="H86" s="17">
        <f>ROUND(VLOOKUP(H$67&amp;"_1",管理者用人口入力シート!BH:CE,J86,FALSE),0)</f>
        <v>125</v>
      </c>
      <c r="I86" s="17">
        <f>ROUND(VLOOKUP(H$67&amp;"_2",管理者用人口入力シート!BH:CE,J86,FALSE),0)</f>
        <v>231</v>
      </c>
      <c r="J86" s="2">
        <v>21</v>
      </c>
      <c r="K86" s="12"/>
      <c r="N86" s="2" t="s">
        <v>17</v>
      </c>
      <c r="O86" s="17">
        <f>ROUND(VLOOKUP(O$67&amp;"_1",管理者用人口入力シート!CO:DL,Q86,FALSE),0)</f>
        <v>125</v>
      </c>
      <c r="P86" s="17">
        <f>ROUND(VLOOKUP(O$67&amp;"_2",管理者用人口入力シート!CO:DL,Q86,FALSE),0)</f>
        <v>231</v>
      </c>
      <c r="Q86" s="2">
        <v>21</v>
      </c>
      <c r="U86" s="85"/>
    </row>
    <row r="87" spans="1:21" x14ac:dyDescent="0.15">
      <c r="A87" s="2" t="s">
        <v>62</v>
      </c>
      <c r="B87" s="315">
        <f>管理者入力シート!B5</f>
        <v>2020</v>
      </c>
      <c r="C87" s="316"/>
      <c r="D87" s="2" t="s">
        <v>114</v>
      </c>
      <c r="G87" s="2" t="s">
        <v>18</v>
      </c>
      <c r="H87" s="17">
        <f>ROUND(VLOOKUP(H$67&amp;"_1",管理者用人口入力シート!BH:CE,J87,FALSE),0)</f>
        <v>57</v>
      </c>
      <c r="I87" s="17">
        <f>ROUND(VLOOKUP(H$67&amp;"_2",管理者用人口入力シート!BH:CE,J87,FALSE),0)</f>
        <v>190</v>
      </c>
      <c r="J87" s="2">
        <v>22</v>
      </c>
      <c r="K87" s="12"/>
      <c r="N87" s="2" t="s">
        <v>18</v>
      </c>
      <c r="O87" s="17">
        <f>ROUND(VLOOKUP(O$67&amp;"_1",管理者用人口入力シート!CO:DL,Q87,FALSE),0)</f>
        <v>57</v>
      </c>
      <c r="P87" s="17">
        <f>ROUND(VLOOKUP(O$67&amp;"_2",管理者用人口入力シート!CO:DL,Q87,FALSE),0)</f>
        <v>190</v>
      </c>
      <c r="Q87" s="2">
        <v>22</v>
      </c>
      <c r="U87" s="85"/>
    </row>
    <row r="88" spans="1:21" x14ac:dyDescent="0.15">
      <c r="A88" s="2" t="s">
        <v>115</v>
      </c>
      <c r="B88" s="18" t="s">
        <v>21</v>
      </c>
      <c r="C88" s="18" t="s">
        <v>22</v>
      </c>
      <c r="G88" s="2" t="s">
        <v>19</v>
      </c>
      <c r="H88" s="17">
        <f>ROUND(VLOOKUP(H$67&amp;"_1",管理者用人口入力シート!BH:CE,J88,FALSE),0)</f>
        <v>17</v>
      </c>
      <c r="I88" s="17">
        <f>ROUND(VLOOKUP(H$67&amp;"_2",管理者用人口入力シート!BH:CE,J88,FALSE),0)</f>
        <v>69</v>
      </c>
      <c r="J88" s="2">
        <v>23</v>
      </c>
      <c r="K88" s="12"/>
      <c r="N88" s="2" t="s">
        <v>19</v>
      </c>
      <c r="O88" s="17">
        <f>ROUND(VLOOKUP(O$67&amp;"_1",管理者用人口入力シート!CO:DL,Q88,FALSE),0)</f>
        <v>17</v>
      </c>
      <c r="P88" s="17">
        <f>ROUND(VLOOKUP(O$67&amp;"_2",管理者用人口入力シート!CO:DL,Q88,FALSE),0)</f>
        <v>69</v>
      </c>
      <c r="Q88" s="2">
        <v>23</v>
      </c>
      <c r="U88" s="85"/>
    </row>
    <row r="89" spans="1:21" x14ac:dyDescent="0.15">
      <c r="A89" s="2" t="s">
        <v>0</v>
      </c>
      <c r="B89" s="17">
        <f>ROUND(VLOOKUP(B$87&amp;"_1",管理者用人口入力シート!A:X,D89,FALSE),0)</f>
        <v>387</v>
      </c>
      <c r="C89" s="17">
        <f>ROUND(VLOOKUP(B$87&amp;"_2",管理者用人口入力シート!A:X,D89,FALSE),0)</f>
        <v>334</v>
      </c>
      <c r="D89" s="2">
        <v>4</v>
      </c>
      <c r="G89" s="2" t="s">
        <v>20</v>
      </c>
      <c r="H89" s="17">
        <f>ROUND(VLOOKUP(H$67&amp;"_1",管理者用人口入力シート!BH:CE,J89,FALSE),0)</f>
        <v>3</v>
      </c>
      <c r="I89" s="17">
        <f>ROUND(VLOOKUP(H$67&amp;"_2",管理者用人口入力シート!BH:CE,J89,FALSE),0)</f>
        <v>6</v>
      </c>
      <c r="J89" s="2">
        <v>24</v>
      </c>
      <c r="K89" s="12"/>
      <c r="N89" s="2" t="s">
        <v>20</v>
      </c>
      <c r="O89" s="17">
        <f>ROUND(VLOOKUP(O$67&amp;"_1",管理者用人口入力シート!CO:DL,Q89,FALSE),0)</f>
        <v>3</v>
      </c>
      <c r="P89" s="17">
        <f>ROUND(VLOOKUP(O$67&amp;"_2",管理者用人口入力シート!CO:DL,Q89,FALSE),0)</f>
        <v>6</v>
      </c>
      <c r="Q89" s="2">
        <v>24</v>
      </c>
      <c r="U89" s="85"/>
    </row>
    <row r="90" spans="1:21" x14ac:dyDescent="0.15">
      <c r="A90" s="2" t="s">
        <v>1</v>
      </c>
      <c r="B90" s="17">
        <f>ROUND(VLOOKUP(B$87&amp;"_1",管理者用人口入力シート!A:X,D90,FALSE),0)</f>
        <v>476</v>
      </c>
      <c r="C90" s="17">
        <f>ROUND(VLOOKUP(B$87&amp;"_2",管理者用人口入力シート!A:X,D90,FALSE),0)</f>
        <v>428</v>
      </c>
      <c r="D90" s="2">
        <v>5</v>
      </c>
    </row>
    <row r="91" spans="1:21" x14ac:dyDescent="0.15">
      <c r="A91" s="2" t="s">
        <v>2</v>
      </c>
      <c r="B91" s="17">
        <f>ROUND(VLOOKUP(B$87&amp;"_1",管理者用人口入力シート!A:X,D91,FALSE),0)</f>
        <v>502</v>
      </c>
      <c r="C91" s="17">
        <f>ROUND(VLOOKUP(B$87&amp;"_2",管理者用人口入力シート!A:X,D91,FALSE),0)</f>
        <v>486</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453</v>
      </c>
      <c r="C92" s="17">
        <f>ROUND(VLOOKUP(B$87&amp;"_2",管理者用人口入力シート!A:X,D92,FALSE),0)</f>
        <v>414</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217</v>
      </c>
      <c r="C93" s="17">
        <f>ROUND(VLOOKUP(B$87&amp;"_2",管理者用人口入力シート!A:X,D93,FALSE),0)</f>
        <v>226</v>
      </c>
      <c r="D93" s="2">
        <v>8</v>
      </c>
      <c r="G93" s="2" t="s">
        <v>0</v>
      </c>
      <c r="H93" s="17">
        <f>ROUND(VLOOKUP(H$91&amp;"_1",管理者用人口入力シート!BH:CE,J93,FALSE),0)</f>
        <v>338</v>
      </c>
      <c r="I93" s="17">
        <f>ROUND(VLOOKUP(H$91&amp;"_2",管理者用人口入力シート!BH:CE,J93,FALSE),0)</f>
        <v>292</v>
      </c>
      <c r="J93" s="2">
        <v>4</v>
      </c>
      <c r="K93" s="12"/>
      <c r="N93" s="2" t="s">
        <v>0</v>
      </c>
      <c r="O93" s="17">
        <f>ROUND(VLOOKUP(O$91&amp;"_1",管理者用人口入力シート!CO:DL,Q93,FALSE),0)</f>
        <v>340</v>
      </c>
      <c r="P93" s="17">
        <f>ROUND(VLOOKUP(O$91&amp;"_2",管理者用人口入力シート!CO:DL,Q93,FALSE),0)</f>
        <v>294</v>
      </c>
      <c r="Q93" s="2">
        <v>4</v>
      </c>
      <c r="T93" s="85"/>
    </row>
    <row r="94" spans="1:21" x14ac:dyDescent="0.15">
      <c r="A94" s="2" t="s">
        <v>5</v>
      </c>
      <c r="B94" s="17">
        <f>ROUND(VLOOKUP(B$87&amp;"_1",管理者用人口入力シート!A:X,D94,FALSE),0)</f>
        <v>266</v>
      </c>
      <c r="C94" s="17">
        <f>ROUND(VLOOKUP(B$87&amp;"_2",管理者用人口入力シート!A:X,D94,FALSE),0)</f>
        <v>258</v>
      </c>
      <c r="D94" s="2">
        <v>9</v>
      </c>
      <c r="G94" s="2" t="s">
        <v>1</v>
      </c>
      <c r="H94" s="17">
        <f>ROUND(VLOOKUP(H$91&amp;"_1",管理者用人口入力シート!BH:CE,J94,FALSE),0)</f>
        <v>410</v>
      </c>
      <c r="I94" s="17">
        <f>ROUND(VLOOKUP(H$91&amp;"_2",管理者用人口入力シート!BH:CE,J94,FALSE),0)</f>
        <v>330</v>
      </c>
      <c r="J94" s="2">
        <v>5</v>
      </c>
      <c r="K94" s="12"/>
      <c r="N94" s="2" t="s">
        <v>1</v>
      </c>
      <c r="O94" s="17">
        <f>ROUND(VLOOKUP(O$91&amp;"_1",管理者用人口入力シート!CO:DL,Q94,FALSE),0)</f>
        <v>411</v>
      </c>
      <c r="P94" s="17">
        <f>ROUND(VLOOKUP(O$91&amp;"_2",管理者用人口入力シート!CO:DL,Q94,FALSE),0)</f>
        <v>331</v>
      </c>
      <c r="Q94" s="2">
        <v>5</v>
      </c>
      <c r="T94" s="85"/>
    </row>
    <row r="95" spans="1:21" x14ac:dyDescent="0.15">
      <c r="A95" s="2" t="s">
        <v>6</v>
      </c>
      <c r="B95" s="17">
        <f>ROUND(VLOOKUP(B$87&amp;"_1",管理者用人口入力シート!A:X,D95,FALSE),0)</f>
        <v>334</v>
      </c>
      <c r="C95" s="17">
        <f>ROUND(VLOOKUP(B$87&amp;"_2",管理者用人口入力シート!A:X,D95,FALSE),0)</f>
        <v>401</v>
      </c>
      <c r="D95" s="2">
        <v>10</v>
      </c>
      <c r="G95" s="2" t="s">
        <v>2</v>
      </c>
      <c r="H95" s="17">
        <f>ROUND(VLOOKUP(H$91&amp;"_1",管理者用人口入力シート!BH:CE,J95,FALSE),0)</f>
        <v>506</v>
      </c>
      <c r="I95" s="17">
        <f>ROUND(VLOOKUP(H$91&amp;"_2",管理者用人口入力シート!BH:CE,J95,FALSE),0)</f>
        <v>396</v>
      </c>
      <c r="J95" s="2">
        <v>6</v>
      </c>
      <c r="K95" s="12"/>
      <c r="N95" s="2" t="s">
        <v>2</v>
      </c>
      <c r="O95" s="17">
        <f>ROUND(VLOOKUP(O$91&amp;"_1",管理者用人口入力シート!CO:DL,Q95,FALSE),0)</f>
        <v>507</v>
      </c>
      <c r="P95" s="17">
        <f>ROUND(VLOOKUP(O$91&amp;"_2",管理者用人口入力シート!CO:DL,Q95,FALSE),0)</f>
        <v>397</v>
      </c>
      <c r="Q95" s="2">
        <v>6</v>
      </c>
      <c r="T95" s="85"/>
    </row>
    <row r="96" spans="1:21" x14ac:dyDescent="0.15">
      <c r="A96" s="2" t="s">
        <v>7</v>
      </c>
      <c r="B96" s="17">
        <f>ROUND(VLOOKUP(B$87&amp;"_1",管理者用人口入力シート!A:X,D96,FALSE),0)</f>
        <v>409</v>
      </c>
      <c r="C96" s="17">
        <f>ROUND(VLOOKUP(B$87&amp;"_2",管理者用人口入力シート!A:X,D96,FALSE),0)</f>
        <v>471</v>
      </c>
      <c r="D96" s="2">
        <v>11</v>
      </c>
      <c r="G96" s="2" t="s">
        <v>3</v>
      </c>
      <c r="H96" s="17">
        <f>ROUND(VLOOKUP(H$91&amp;"_1",管理者用人口入力シート!BH:CE,J96,FALSE),0)</f>
        <v>527</v>
      </c>
      <c r="I96" s="17">
        <f>ROUND(VLOOKUP(H$91&amp;"_2",管理者用人口入力シート!BH:CE,J96,FALSE),0)</f>
        <v>432</v>
      </c>
      <c r="J96" s="2">
        <v>7</v>
      </c>
      <c r="K96" s="12"/>
      <c r="N96" s="2" t="s">
        <v>3</v>
      </c>
      <c r="O96" s="17">
        <f>ROUND(VLOOKUP(O$91&amp;"_1",管理者用人口入力シート!CO:DL,Q96,FALSE),0)</f>
        <v>528</v>
      </c>
      <c r="P96" s="17">
        <f>ROUND(VLOOKUP(O$91&amp;"_2",管理者用人口入力シート!CO:DL,Q96,FALSE),0)</f>
        <v>433</v>
      </c>
      <c r="Q96" s="2">
        <v>7</v>
      </c>
      <c r="T96" s="85"/>
    </row>
    <row r="97" spans="1:20" x14ac:dyDescent="0.15">
      <c r="A97" s="2" t="s">
        <v>8</v>
      </c>
      <c r="B97" s="17">
        <f>ROUND(VLOOKUP(B$87&amp;"_1",管理者用人口入力シート!A:X,D97,FALSE),0)</f>
        <v>549</v>
      </c>
      <c r="C97" s="17">
        <f>ROUND(VLOOKUP(B$87&amp;"_2",管理者用人口入力シート!A:X,D97,FALSE),0)</f>
        <v>551</v>
      </c>
      <c r="D97" s="2">
        <v>12</v>
      </c>
      <c r="G97" s="2" t="s">
        <v>4</v>
      </c>
      <c r="H97" s="17">
        <f>ROUND(VLOOKUP(H$91&amp;"_1",管理者用人口入力シート!BH:CE,J97,FALSE),0)</f>
        <v>245</v>
      </c>
      <c r="I97" s="17">
        <f>ROUND(VLOOKUP(H$91&amp;"_2",管理者用人口入力シート!BH:CE,J97,FALSE),0)</f>
        <v>279</v>
      </c>
      <c r="J97" s="2">
        <v>8</v>
      </c>
      <c r="K97" s="12"/>
      <c r="N97" s="2" t="s">
        <v>4</v>
      </c>
      <c r="O97" s="17">
        <f>ROUND(VLOOKUP(O$91&amp;"_1",管理者用人口入力シート!CO:DL,Q97,FALSE),0)</f>
        <v>245</v>
      </c>
      <c r="P97" s="17">
        <f>ROUND(VLOOKUP(O$91&amp;"_2",管理者用人口入力シート!CO:DL,Q97,FALSE),0)</f>
        <v>279</v>
      </c>
      <c r="Q97" s="2">
        <v>8</v>
      </c>
      <c r="T97" s="85"/>
    </row>
    <row r="98" spans="1:20" x14ac:dyDescent="0.15">
      <c r="A98" s="2" t="s">
        <v>9</v>
      </c>
      <c r="B98" s="17">
        <f>ROUND(VLOOKUP(B$87&amp;"_1",管理者用人口入力シート!A:X,D98,FALSE),0)</f>
        <v>427</v>
      </c>
      <c r="C98" s="17">
        <f>ROUND(VLOOKUP(B$87&amp;"_2",管理者用人口入力シート!A:X,D98,FALSE),0)</f>
        <v>478</v>
      </c>
      <c r="D98" s="2">
        <v>13</v>
      </c>
      <c r="G98" s="2" t="s">
        <v>5</v>
      </c>
      <c r="H98" s="17">
        <f>ROUND(VLOOKUP(H$91&amp;"_1",管理者用人口入力シート!BH:CE,J98,FALSE),0)</f>
        <v>274</v>
      </c>
      <c r="I98" s="17">
        <f>ROUND(VLOOKUP(H$91&amp;"_2",管理者用人口入力シート!BH:CE,J98,FALSE),0)</f>
        <v>296</v>
      </c>
      <c r="J98" s="2">
        <v>9</v>
      </c>
      <c r="K98" s="12"/>
      <c r="N98" s="2" t="s">
        <v>5</v>
      </c>
      <c r="O98" s="17">
        <f>ROUND(VLOOKUP(O$91&amp;"_1",管理者用人口入力シート!CO:DL,Q98,FALSE),0)</f>
        <v>276</v>
      </c>
      <c r="P98" s="17">
        <f>ROUND(VLOOKUP(O$91&amp;"_2",管理者用人口入力シート!CO:DL,Q98,FALSE),0)</f>
        <v>298</v>
      </c>
      <c r="Q98" s="2">
        <v>9</v>
      </c>
      <c r="T98" s="85"/>
    </row>
    <row r="99" spans="1:20" x14ac:dyDescent="0.15">
      <c r="A99" s="2" t="s">
        <v>10</v>
      </c>
      <c r="B99" s="17">
        <f>ROUND(VLOOKUP(B$87&amp;"_1",管理者用人口入力シート!A:X,D99,FALSE),0)</f>
        <v>404</v>
      </c>
      <c r="C99" s="17">
        <f>ROUND(VLOOKUP(B$87&amp;"_2",管理者用人口入力シート!A:X,D99,FALSE),0)</f>
        <v>451</v>
      </c>
      <c r="D99" s="2">
        <v>14</v>
      </c>
      <c r="G99" s="2" t="s">
        <v>6</v>
      </c>
      <c r="H99" s="17">
        <f>ROUND(VLOOKUP(H$91&amp;"_1",管理者用人口入力シート!BH:CE,J99,FALSE),0)</f>
        <v>300</v>
      </c>
      <c r="I99" s="17">
        <f>ROUND(VLOOKUP(H$91&amp;"_2",管理者用人口入力シート!BH:CE,J99,FALSE),0)</f>
        <v>294</v>
      </c>
      <c r="J99" s="2">
        <v>10</v>
      </c>
      <c r="K99" s="12"/>
      <c r="N99" s="2" t="s">
        <v>6</v>
      </c>
      <c r="O99" s="17">
        <f>ROUND(VLOOKUP(O$91&amp;"_1",管理者用人口入力シート!CO:DL,Q99,FALSE),0)</f>
        <v>303</v>
      </c>
      <c r="P99" s="17">
        <f>ROUND(VLOOKUP(O$91&amp;"_2",管理者用人口入力シート!CO:DL,Q99,FALSE),0)</f>
        <v>296</v>
      </c>
      <c r="Q99" s="2">
        <v>10</v>
      </c>
      <c r="T99" s="85"/>
    </row>
    <row r="100" spans="1:20" x14ac:dyDescent="0.15">
      <c r="A100" s="2" t="s">
        <v>11</v>
      </c>
      <c r="B100" s="17">
        <f>ROUND(VLOOKUP(B$87&amp;"_1",管理者用人口入力シート!A:X,D100,FALSE),0)</f>
        <v>397</v>
      </c>
      <c r="C100" s="17">
        <f>ROUND(VLOOKUP(B$87&amp;"_2",管理者用人口入力シート!A:X,D100,FALSE),0)</f>
        <v>462</v>
      </c>
      <c r="D100" s="2">
        <v>15</v>
      </c>
      <c r="G100" s="2" t="s">
        <v>7</v>
      </c>
      <c r="H100" s="17">
        <f>ROUND(VLOOKUP(H$91&amp;"_1",管理者用人口入力シート!BH:CE,J100,FALSE),0)</f>
        <v>346</v>
      </c>
      <c r="I100" s="17">
        <f>ROUND(VLOOKUP(H$91&amp;"_2",管理者用人口入力シート!BH:CE,J100,FALSE),0)</f>
        <v>315</v>
      </c>
      <c r="J100" s="2">
        <v>11</v>
      </c>
      <c r="K100" s="12"/>
      <c r="N100" s="2" t="s">
        <v>7</v>
      </c>
      <c r="O100" s="17">
        <f>ROUND(VLOOKUP(O$91&amp;"_1",管理者用人口入力シート!CO:DL,Q100,FALSE),0)</f>
        <v>346</v>
      </c>
      <c r="P100" s="17">
        <f>ROUND(VLOOKUP(O$91&amp;"_2",管理者用人口入力シート!CO:DL,Q100,FALSE),0)</f>
        <v>315</v>
      </c>
      <c r="Q100" s="2">
        <v>11</v>
      </c>
      <c r="T100" s="85"/>
    </row>
    <row r="101" spans="1:20" x14ac:dyDescent="0.15">
      <c r="A101" s="2" t="s">
        <v>12</v>
      </c>
      <c r="B101" s="17">
        <f>ROUND(VLOOKUP(B$87&amp;"_1",管理者用人口入力シート!A:X,D101,FALSE),0)</f>
        <v>461</v>
      </c>
      <c r="C101" s="17">
        <f>ROUND(VLOOKUP(B$87&amp;"_2",管理者用人口入力シート!A:X,D101,FALSE),0)</f>
        <v>493</v>
      </c>
      <c r="D101" s="2">
        <v>16</v>
      </c>
      <c r="G101" s="2" t="s">
        <v>8</v>
      </c>
      <c r="H101" s="17">
        <f>ROUND(VLOOKUP(H$91&amp;"_1",管理者用人口入力シート!BH:CE,J101,FALSE),0)</f>
        <v>406</v>
      </c>
      <c r="I101" s="17">
        <f>ROUND(VLOOKUP(H$91&amp;"_2",管理者用人口入力シート!BH:CE,J101,FALSE),0)</f>
        <v>450</v>
      </c>
      <c r="J101" s="2">
        <v>12</v>
      </c>
      <c r="K101" s="12"/>
      <c r="N101" s="2" t="s">
        <v>8</v>
      </c>
      <c r="O101" s="17">
        <f>ROUND(VLOOKUP(O$91&amp;"_1",管理者用人口入力シート!CO:DL,Q101,FALSE),0)</f>
        <v>406</v>
      </c>
      <c r="P101" s="17">
        <f>ROUND(VLOOKUP(O$91&amp;"_2",管理者用人口入力シート!CO:DL,Q101,FALSE),0)</f>
        <v>451</v>
      </c>
      <c r="Q101" s="2">
        <v>12</v>
      </c>
      <c r="T101" s="85"/>
    </row>
    <row r="102" spans="1:20" x14ac:dyDescent="0.15">
      <c r="A102" s="2" t="s">
        <v>13</v>
      </c>
      <c r="B102" s="17">
        <f>ROUND(VLOOKUP(B$87&amp;"_1",管理者用人口入力シート!A:X,D102,FALSE),0)</f>
        <v>436</v>
      </c>
      <c r="C102" s="17">
        <f>ROUND(VLOOKUP(B$87&amp;"_2",管理者用人口入力シート!A:X,D102,FALSE),0)</f>
        <v>539</v>
      </c>
      <c r="D102" s="2">
        <v>17</v>
      </c>
      <c r="G102" s="2" t="s">
        <v>9</v>
      </c>
      <c r="H102" s="17">
        <f>ROUND(VLOOKUP(H$91&amp;"_1",管理者用人口入力シート!BH:CE,J102,FALSE),0)</f>
        <v>446</v>
      </c>
      <c r="I102" s="17">
        <f>ROUND(VLOOKUP(H$91&amp;"_2",管理者用人口入力シート!BH:CE,J102,FALSE),0)</f>
        <v>484</v>
      </c>
      <c r="J102" s="2">
        <v>13</v>
      </c>
      <c r="K102" s="12"/>
      <c r="N102" s="2" t="s">
        <v>9</v>
      </c>
      <c r="O102" s="17">
        <f>ROUND(VLOOKUP(O$91&amp;"_1",管理者用人口入力シート!CO:DL,Q102,FALSE),0)</f>
        <v>446</v>
      </c>
      <c r="P102" s="17">
        <f>ROUND(VLOOKUP(O$91&amp;"_2",管理者用人口入力シート!CO:DL,Q102,FALSE),0)</f>
        <v>485</v>
      </c>
      <c r="Q102" s="2">
        <v>13</v>
      </c>
      <c r="T102" s="85"/>
    </row>
    <row r="103" spans="1:20" x14ac:dyDescent="0.15">
      <c r="A103" s="2" t="s">
        <v>14</v>
      </c>
      <c r="B103" s="17">
        <f>ROUND(VLOOKUP(B$87&amp;"_1",管理者用人口入力シート!A:X,D103,FALSE),0)</f>
        <v>445</v>
      </c>
      <c r="C103" s="17">
        <f>ROUND(VLOOKUP(B$87&amp;"_2",管理者用人口入力シート!A:X,D103,FALSE),0)</f>
        <v>457</v>
      </c>
      <c r="D103" s="2">
        <v>18</v>
      </c>
      <c r="G103" s="2" t="s">
        <v>10</v>
      </c>
      <c r="H103" s="17">
        <f>ROUND(VLOOKUP(H$91&amp;"_1",管理者用人口入力シート!BH:CE,J103,FALSE),0)</f>
        <v>553</v>
      </c>
      <c r="I103" s="17">
        <f>ROUND(VLOOKUP(H$91&amp;"_2",管理者用人口入力シート!BH:CE,J103,FALSE),0)</f>
        <v>525</v>
      </c>
      <c r="J103" s="2">
        <v>14</v>
      </c>
      <c r="K103" s="12"/>
      <c r="N103" s="2" t="s">
        <v>10</v>
      </c>
      <c r="O103" s="17">
        <f>ROUND(VLOOKUP(O$91&amp;"_1",管理者用人口入力シート!CO:DL,Q103,FALSE),0)</f>
        <v>553</v>
      </c>
      <c r="P103" s="17">
        <f>ROUND(VLOOKUP(O$91&amp;"_2",管理者用人口入力シート!CO:DL,Q103,FALSE),0)</f>
        <v>525</v>
      </c>
      <c r="Q103" s="2">
        <v>14</v>
      </c>
      <c r="T103" s="85"/>
    </row>
    <row r="104" spans="1:20" x14ac:dyDescent="0.15">
      <c r="A104" s="2" t="s">
        <v>15</v>
      </c>
      <c r="B104" s="17">
        <f>ROUND(VLOOKUP(B$87&amp;"_1",管理者用人口入力シート!A:X,D104,FALSE),0)</f>
        <v>245</v>
      </c>
      <c r="C104" s="17">
        <f>ROUND(VLOOKUP(B$87&amp;"_2",管理者用人口入力シート!A:X,D104,FALSE),0)</f>
        <v>319</v>
      </c>
      <c r="D104" s="2">
        <v>19</v>
      </c>
      <c r="G104" s="2" t="s">
        <v>11</v>
      </c>
      <c r="H104" s="17">
        <f>ROUND(VLOOKUP(H$91&amp;"_1",管理者用人口入力シート!BH:CE,J104,FALSE),0)</f>
        <v>407</v>
      </c>
      <c r="I104" s="17">
        <f>ROUND(VLOOKUP(H$91&amp;"_2",管理者用人口入力シート!BH:CE,J104,FALSE),0)</f>
        <v>456</v>
      </c>
      <c r="J104" s="2">
        <v>15</v>
      </c>
      <c r="K104" s="12"/>
      <c r="N104" s="2" t="s">
        <v>11</v>
      </c>
      <c r="O104" s="17">
        <f>ROUND(VLOOKUP(O$91&amp;"_1",管理者用人口入力シート!CO:DL,Q104,FALSE),0)</f>
        <v>407</v>
      </c>
      <c r="P104" s="17">
        <f>ROUND(VLOOKUP(O$91&amp;"_2",管理者用人口入力シート!CO:DL,Q104,FALSE),0)</f>
        <v>456</v>
      </c>
      <c r="Q104" s="2">
        <v>15</v>
      </c>
      <c r="T104" s="85"/>
    </row>
    <row r="105" spans="1:20" x14ac:dyDescent="0.15">
      <c r="A105" s="2" t="s">
        <v>16</v>
      </c>
      <c r="B105" s="17">
        <f>ROUND(VLOOKUP(B$87&amp;"_1",管理者用人口入力シート!A:X,D105,FALSE),0)</f>
        <v>186</v>
      </c>
      <c r="C105" s="17">
        <f>ROUND(VLOOKUP(B$87&amp;"_2",管理者用人口入力シート!A:X,D105,FALSE),0)</f>
        <v>268</v>
      </c>
      <c r="D105" s="2">
        <v>20</v>
      </c>
      <c r="G105" s="2" t="s">
        <v>12</v>
      </c>
      <c r="H105" s="17">
        <f>ROUND(VLOOKUP(H$91&amp;"_1",管理者用人口入力シート!BH:CE,J105,FALSE),0)</f>
        <v>391</v>
      </c>
      <c r="I105" s="17">
        <f>ROUND(VLOOKUP(H$91&amp;"_2",管理者用人口入力シート!BH:CE,J105,FALSE),0)</f>
        <v>448</v>
      </c>
      <c r="J105" s="2">
        <v>16</v>
      </c>
      <c r="K105" s="12"/>
      <c r="N105" s="2" t="s">
        <v>12</v>
      </c>
      <c r="O105" s="17">
        <f>ROUND(VLOOKUP(O$91&amp;"_1",管理者用人口入力シート!CO:DL,Q105,FALSE),0)</f>
        <v>391</v>
      </c>
      <c r="P105" s="17">
        <f>ROUND(VLOOKUP(O$91&amp;"_2",管理者用人口入力シート!CO:DL,Q105,FALSE),0)</f>
        <v>448</v>
      </c>
      <c r="Q105" s="2">
        <v>16</v>
      </c>
      <c r="T105" s="85"/>
    </row>
    <row r="106" spans="1:20" x14ac:dyDescent="0.15">
      <c r="A106" s="2" t="s">
        <v>17</v>
      </c>
      <c r="B106" s="17">
        <f>ROUND(VLOOKUP(B$87&amp;"_1",管理者用人口入力シート!A:X,D106,FALSE),0)</f>
        <v>124</v>
      </c>
      <c r="C106" s="17">
        <f>ROUND(VLOOKUP(B$87&amp;"_2",管理者用人口入力シート!A:X,D106,FALSE),0)</f>
        <v>265</v>
      </c>
      <c r="D106" s="2">
        <v>21</v>
      </c>
      <c r="G106" s="2" t="s">
        <v>13</v>
      </c>
      <c r="H106" s="17">
        <f>ROUND(VLOOKUP(H$91&amp;"_1",管理者用人口入力シート!BH:CE,J106,FALSE),0)</f>
        <v>396</v>
      </c>
      <c r="I106" s="17">
        <f>ROUND(VLOOKUP(H$91&amp;"_2",管理者用人口入力シート!BH:CE,J106,FALSE),0)</f>
        <v>463</v>
      </c>
      <c r="J106" s="2">
        <v>17</v>
      </c>
      <c r="K106" s="12"/>
      <c r="N106" s="2" t="s">
        <v>13</v>
      </c>
      <c r="O106" s="17">
        <f>ROUND(VLOOKUP(O$91&amp;"_1",管理者用人口入力シート!CO:DL,Q106,FALSE),0)</f>
        <v>396</v>
      </c>
      <c r="P106" s="17">
        <f>ROUND(VLOOKUP(O$91&amp;"_2",管理者用人口入力シート!CO:DL,Q106,FALSE),0)</f>
        <v>463</v>
      </c>
      <c r="Q106" s="2">
        <v>17</v>
      </c>
      <c r="T106" s="85"/>
    </row>
    <row r="107" spans="1:20" x14ac:dyDescent="0.15">
      <c r="A107" s="2" t="s">
        <v>18</v>
      </c>
      <c r="B107" s="17">
        <f>ROUND(VLOOKUP(B$87&amp;"_1",管理者用人口入力シート!A:X,D107,FALSE),0)</f>
        <v>46</v>
      </c>
      <c r="C107" s="17">
        <f>ROUND(VLOOKUP(B$87&amp;"_2",管理者用人口入力シート!A:X,D107,FALSE),0)</f>
        <v>155</v>
      </c>
      <c r="D107" s="2">
        <v>22</v>
      </c>
      <c r="G107" s="2" t="s">
        <v>14</v>
      </c>
      <c r="H107" s="17">
        <f>ROUND(VLOOKUP(H$91&amp;"_1",管理者用人口入力シート!BH:CE,J107,FALSE),0)</f>
        <v>421</v>
      </c>
      <c r="I107" s="17">
        <f>ROUND(VLOOKUP(H$91&amp;"_2",管理者用人口入力シート!BH:CE,J107,FALSE),0)</f>
        <v>487</v>
      </c>
      <c r="J107" s="2">
        <v>18</v>
      </c>
      <c r="K107" s="12"/>
      <c r="N107" s="2" t="s">
        <v>14</v>
      </c>
      <c r="O107" s="17">
        <f>ROUND(VLOOKUP(O$91&amp;"_1",管理者用人口入力シート!CO:DL,Q107,FALSE),0)</f>
        <v>421</v>
      </c>
      <c r="P107" s="17">
        <f>ROUND(VLOOKUP(O$91&amp;"_2",管理者用人口入力シート!CO:DL,Q107,FALSE),0)</f>
        <v>487</v>
      </c>
      <c r="Q107" s="2">
        <v>18</v>
      </c>
      <c r="T107" s="85"/>
    </row>
    <row r="108" spans="1:20" x14ac:dyDescent="0.15">
      <c r="A108" s="2" t="s">
        <v>19</v>
      </c>
      <c r="B108" s="17">
        <f>ROUND(VLOOKUP(B$87&amp;"_1",管理者用人口入力シート!A:X,D108,FALSE),0)</f>
        <v>14</v>
      </c>
      <c r="C108" s="17">
        <f>ROUND(VLOOKUP(B$87&amp;"_2",管理者用人口入力シート!A:X,D108,FALSE),0)</f>
        <v>42</v>
      </c>
      <c r="D108" s="2">
        <v>23</v>
      </c>
      <c r="G108" s="2" t="s">
        <v>15</v>
      </c>
      <c r="H108" s="17">
        <f>ROUND(VLOOKUP(H$91&amp;"_1",管理者用人口入力シート!BH:CE,J108,FALSE),0)</f>
        <v>344</v>
      </c>
      <c r="I108" s="17">
        <f>ROUND(VLOOKUP(H$91&amp;"_2",管理者用人口入力シート!BH:CE,J108,FALSE),0)</f>
        <v>511</v>
      </c>
      <c r="J108" s="2">
        <v>19</v>
      </c>
      <c r="K108" s="12"/>
      <c r="N108" s="2" t="s">
        <v>15</v>
      </c>
      <c r="O108" s="17">
        <f>ROUND(VLOOKUP(O$91&amp;"_1",管理者用人口入力シート!CO:DL,Q108,FALSE),0)</f>
        <v>344</v>
      </c>
      <c r="P108" s="17">
        <f>ROUND(VLOOKUP(O$91&amp;"_2",管理者用人口入力シート!CO:DL,Q108,FALSE),0)</f>
        <v>511</v>
      </c>
      <c r="Q108" s="2">
        <v>19</v>
      </c>
      <c r="T108" s="85"/>
    </row>
    <row r="109" spans="1:20" x14ac:dyDescent="0.15">
      <c r="A109" s="2" t="s">
        <v>20</v>
      </c>
      <c r="B109" s="17">
        <f>ROUND(VLOOKUP(B$87&amp;"_1",管理者用人口入力シート!A:X,D109,FALSE),0)</f>
        <v>1</v>
      </c>
      <c r="C109" s="17">
        <f>ROUND(VLOOKUP(B$87&amp;"_2",管理者用人口入力シート!A:X,D109,FALSE),0)</f>
        <v>4</v>
      </c>
      <c r="D109" s="2">
        <v>24</v>
      </c>
      <c r="G109" s="2" t="s">
        <v>16</v>
      </c>
      <c r="H109" s="17">
        <f>ROUND(VLOOKUP(H$91&amp;"_1",管理者用人口入力シート!BH:CE,J109,FALSE),0)</f>
        <v>315</v>
      </c>
      <c r="I109" s="17">
        <f>ROUND(VLOOKUP(H$91&amp;"_2",管理者用人口入力シート!BH:CE,J109,FALSE),0)</f>
        <v>410</v>
      </c>
      <c r="J109" s="2">
        <v>20</v>
      </c>
      <c r="K109" s="12"/>
      <c r="N109" s="2" t="s">
        <v>16</v>
      </c>
      <c r="O109" s="17">
        <f>ROUND(VLOOKUP(O$91&amp;"_1",管理者用人口入力シート!CO:DL,Q109,FALSE),0)</f>
        <v>315</v>
      </c>
      <c r="P109" s="17">
        <f>ROUND(VLOOKUP(O$91&amp;"_2",管理者用人口入力シート!CO:DL,Q109,FALSE),0)</f>
        <v>410</v>
      </c>
      <c r="Q109" s="2">
        <v>20</v>
      </c>
      <c r="T109" s="85"/>
    </row>
    <row r="110" spans="1:20" x14ac:dyDescent="0.15">
      <c r="G110" s="2" t="s">
        <v>17</v>
      </c>
      <c r="H110" s="17">
        <f>ROUND(VLOOKUP(H$91&amp;"_1",管理者用人口入力シート!BH:CE,J110,FALSE),0)</f>
        <v>136</v>
      </c>
      <c r="I110" s="17">
        <f>ROUND(VLOOKUP(H$91&amp;"_2",管理者用人口入力シート!BH:CE,J110,FALSE),0)</f>
        <v>258</v>
      </c>
      <c r="J110" s="2">
        <v>21</v>
      </c>
      <c r="K110" s="12"/>
      <c r="N110" s="2" t="s">
        <v>17</v>
      </c>
      <c r="O110" s="17">
        <f>ROUND(VLOOKUP(O$91&amp;"_1",管理者用人口入力シート!CO:DL,Q110,FALSE),0)</f>
        <v>136</v>
      </c>
      <c r="P110" s="17">
        <f>ROUND(VLOOKUP(O$91&amp;"_2",管理者用人口入力シート!CO:DL,Q110,FALSE),0)</f>
        <v>258</v>
      </c>
      <c r="Q110" s="2">
        <v>21</v>
      </c>
      <c r="T110" s="85"/>
    </row>
    <row r="111" spans="1:20" x14ac:dyDescent="0.15">
      <c r="G111" s="2" t="s">
        <v>18</v>
      </c>
      <c r="H111" s="17">
        <f>ROUND(VLOOKUP(H$91&amp;"_1",管理者用人口入力シート!BH:CE,J111,FALSE),0)</f>
        <v>57</v>
      </c>
      <c r="I111" s="17">
        <f>ROUND(VLOOKUP(H$91&amp;"_2",管理者用人口入力シート!BH:CE,J111,FALSE),0)</f>
        <v>166</v>
      </c>
      <c r="J111" s="2">
        <v>22</v>
      </c>
      <c r="K111" s="12"/>
      <c r="N111" s="2" t="s">
        <v>18</v>
      </c>
      <c r="O111" s="17">
        <f>ROUND(VLOOKUP(O$91&amp;"_1",管理者用人口入力シート!CO:DL,Q111,FALSE),0)</f>
        <v>57</v>
      </c>
      <c r="P111" s="17">
        <f>ROUND(VLOOKUP(O$91&amp;"_2",管理者用人口入力シート!CO:DL,Q111,FALSE),0)</f>
        <v>166</v>
      </c>
      <c r="Q111" s="2">
        <v>22</v>
      </c>
      <c r="T111" s="85"/>
    </row>
    <row r="112" spans="1:20" x14ac:dyDescent="0.15">
      <c r="G112" s="2" t="s">
        <v>19</v>
      </c>
      <c r="H112" s="17">
        <f>ROUND(VLOOKUP(H$91&amp;"_1",管理者用人口入力シート!BH:CE,J112,FALSE),0)</f>
        <v>21</v>
      </c>
      <c r="I112" s="17">
        <f>ROUND(VLOOKUP(H$91&amp;"_2",管理者用人口入力シート!BH:CE,J112,FALSE),0)</f>
        <v>86</v>
      </c>
      <c r="J112" s="2">
        <v>23</v>
      </c>
      <c r="K112" s="12"/>
      <c r="N112" s="2" t="s">
        <v>19</v>
      </c>
      <c r="O112" s="17">
        <f>ROUND(VLOOKUP(O$91&amp;"_1",管理者用人口入力シート!CO:DL,Q112,FALSE),0)</f>
        <v>21</v>
      </c>
      <c r="P112" s="17">
        <f>ROUND(VLOOKUP(O$91&amp;"_2",管理者用人口入力シート!CO:DL,Q112,FALSE),0)</f>
        <v>86</v>
      </c>
      <c r="Q112" s="2">
        <v>23</v>
      </c>
      <c r="T112" s="85"/>
    </row>
    <row r="113" spans="7:20" x14ac:dyDescent="0.15">
      <c r="G113" s="2" t="s">
        <v>20</v>
      </c>
      <c r="H113" s="17">
        <f>ROUND(VLOOKUP(H$91&amp;"_1",管理者用人口入力シート!BH:CE,J113,FALSE),0)</f>
        <v>4</v>
      </c>
      <c r="I113" s="17">
        <f>ROUND(VLOOKUP(H$91&amp;"_2",管理者用人口入力シート!BH:CE,J113,FALSE),0)</f>
        <v>10</v>
      </c>
      <c r="J113" s="2">
        <v>24</v>
      </c>
      <c r="K113" s="12"/>
      <c r="N113" s="2" t="s">
        <v>20</v>
      </c>
      <c r="O113" s="17">
        <f>ROUND(VLOOKUP(O$91&amp;"_1",管理者用人口入力シート!CO:DL,Q113,FALSE),0)</f>
        <v>4</v>
      </c>
      <c r="P113" s="17">
        <f>ROUND(VLOOKUP(O$91&amp;"_2",管理者用人口入力シート!CO:DL,Q113,FALSE),0)</f>
        <v>10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354</v>
      </c>
      <c r="I117" s="17">
        <f>ROUND(VLOOKUP(H$115&amp;"_2",管理者用人口入力シート!BH:CE,J117,FALSE),0)</f>
        <v>306</v>
      </c>
      <c r="J117" s="2">
        <v>4</v>
      </c>
      <c r="N117" s="2" t="s">
        <v>0</v>
      </c>
      <c r="O117" s="17">
        <f>ROUND(VLOOKUP(O$115&amp;"_1",管理者用人口入力シート!CO:DL,Q117,FALSE),0)</f>
        <v>357</v>
      </c>
      <c r="P117" s="17">
        <f>ROUND(VLOOKUP(O$115&amp;"_2",管理者用人口入力シート!CO:DL,Q117,FALSE),0)</f>
        <v>309</v>
      </c>
      <c r="Q117" s="2">
        <v>4</v>
      </c>
      <c r="T117" s="85"/>
    </row>
    <row r="118" spans="7:20" x14ac:dyDescent="0.15">
      <c r="G118" s="2" t="s">
        <v>1</v>
      </c>
      <c r="H118" s="17">
        <f>ROUND(VLOOKUP(H$115&amp;"_1",管理者用人口入力シート!BH:CE,J118,FALSE),0)</f>
        <v>390</v>
      </c>
      <c r="I118" s="17">
        <f>ROUND(VLOOKUP(H$115&amp;"_2",管理者用人口入力シート!BH:CE,J118,FALSE),0)</f>
        <v>315</v>
      </c>
      <c r="J118" s="2">
        <v>5</v>
      </c>
      <c r="N118" s="2" t="s">
        <v>1</v>
      </c>
      <c r="O118" s="17">
        <f>ROUND(VLOOKUP(O$115&amp;"_1",管理者用人口入力シート!CO:DL,Q118,FALSE),0)</f>
        <v>393</v>
      </c>
      <c r="P118" s="17">
        <f>ROUND(VLOOKUP(O$115&amp;"_2",管理者用人口入力シート!CO:DL,Q118,FALSE),0)</f>
        <v>317</v>
      </c>
      <c r="Q118" s="2">
        <v>5</v>
      </c>
      <c r="T118" s="85"/>
    </row>
    <row r="119" spans="7:20" x14ac:dyDescent="0.15">
      <c r="G119" s="2" t="s">
        <v>2</v>
      </c>
      <c r="H119" s="17">
        <f>ROUND(VLOOKUP(H$115&amp;"_1",管理者用人口入力シート!BH:CE,J119,FALSE),0)</f>
        <v>464</v>
      </c>
      <c r="I119" s="17">
        <f>ROUND(VLOOKUP(H$115&amp;"_2",管理者用人口入力シート!BH:CE,J119,FALSE),0)</f>
        <v>362</v>
      </c>
      <c r="J119" s="2">
        <v>6</v>
      </c>
      <c r="N119" s="2" t="s">
        <v>2</v>
      </c>
      <c r="O119" s="17">
        <f>ROUND(VLOOKUP(O$115&amp;"_1",管理者用人口入力シート!CO:DL,Q119,FALSE),0)</f>
        <v>466</v>
      </c>
      <c r="P119" s="17">
        <f>ROUND(VLOOKUP(O$115&amp;"_2",管理者用人口入力シート!CO:DL,Q119,FALSE),0)</f>
        <v>365</v>
      </c>
      <c r="Q119" s="2">
        <v>6</v>
      </c>
      <c r="T119" s="85"/>
    </row>
    <row r="120" spans="7:20" x14ac:dyDescent="0.15">
      <c r="G120" s="2" t="s">
        <v>3</v>
      </c>
      <c r="H120" s="17">
        <f>ROUND(VLOOKUP(H$115&amp;"_1",管理者用人口入力シート!BH:CE,J120,FALSE),0)</f>
        <v>495</v>
      </c>
      <c r="I120" s="17">
        <f>ROUND(VLOOKUP(H$115&amp;"_2",管理者用人口入力シート!BH:CE,J120,FALSE),0)</f>
        <v>364</v>
      </c>
      <c r="J120" s="2">
        <v>7</v>
      </c>
      <c r="N120" s="2" t="s">
        <v>3</v>
      </c>
      <c r="O120" s="17">
        <f>ROUND(VLOOKUP(O$115&amp;"_1",管理者用人口入力シート!CO:DL,Q120,FALSE),0)</f>
        <v>496</v>
      </c>
      <c r="P120" s="17">
        <f>ROUND(VLOOKUP(O$115&amp;"_2",管理者用人口入力シート!CO:DL,Q120,FALSE),0)</f>
        <v>365</v>
      </c>
      <c r="Q120" s="2">
        <v>7</v>
      </c>
      <c r="T120" s="85"/>
    </row>
    <row r="121" spans="7:20" x14ac:dyDescent="0.15">
      <c r="G121" s="2" t="s">
        <v>4</v>
      </c>
      <c r="H121" s="17">
        <f>ROUND(VLOOKUP(H$115&amp;"_1",管理者用人口入力シート!BH:CE,J121,FALSE),0)</f>
        <v>263</v>
      </c>
      <c r="I121" s="17">
        <f>ROUND(VLOOKUP(H$115&amp;"_2",管理者用人口入力シート!BH:CE,J121,FALSE),0)</f>
        <v>269</v>
      </c>
      <c r="J121" s="2">
        <v>8</v>
      </c>
      <c r="N121" s="2" t="s">
        <v>4</v>
      </c>
      <c r="O121" s="17">
        <f>ROUND(VLOOKUP(O$115&amp;"_1",管理者用人口入力シート!CO:DL,Q121,FALSE),0)</f>
        <v>264</v>
      </c>
      <c r="P121" s="17">
        <f>ROUND(VLOOKUP(O$115&amp;"_2",管理者用人口入力シート!CO:DL,Q121,FALSE),0)</f>
        <v>270</v>
      </c>
      <c r="Q121" s="2">
        <v>8</v>
      </c>
      <c r="T121" s="85"/>
    </row>
    <row r="122" spans="7:20" x14ac:dyDescent="0.15">
      <c r="G122" s="2" t="s">
        <v>5</v>
      </c>
      <c r="H122" s="17">
        <f>ROUND(VLOOKUP(H$115&amp;"_1",管理者用人口入力シート!BH:CE,J122,FALSE),0)</f>
        <v>297</v>
      </c>
      <c r="I122" s="17">
        <f>ROUND(VLOOKUP(H$115&amp;"_2",管理者用人口入力シート!BH:CE,J122,FALSE),0)</f>
        <v>320</v>
      </c>
      <c r="J122" s="2">
        <v>9</v>
      </c>
      <c r="N122" s="2" t="s">
        <v>5</v>
      </c>
      <c r="O122" s="17">
        <f>ROUND(VLOOKUP(O$115&amp;"_1",管理者用人口入力シート!CO:DL,Q122,FALSE),0)</f>
        <v>299</v>
      </c>
      <c r="P122" s="17">
        <f>ROUND(VLOOKUP(O$115&amp;"_2",管理者用人口入力シート!CO:DL,Q122,FALSE),0)</f>
        <v>322</v>
      </c>
      <c r="Q122" s="2">
        <v>9</v>
      </c>
      <c r="T122" s="85"/>
    </row>
    <row r="123" spans="7:20" x14ac:dyDescent="0.15">
      <c r="G123" s="2" t="s">
        <v>6</v>
      </c>
      <c r="H123" s="17">
        <f>ROUND(VLOOKUP(H$115&amp;"_1",管理者用人口入力シート!BH:CE,J123,FALSE),0)</f>
        <v>313</v>
      </c>
      <c r="I123" s="17">
        <f>ROUND(VLOOKUP(H$115&amp;"_2",管理者用人口入力シート!BH:CE,J123,FALSE),0)</f>
        <v>335</v>
      </c>
      <c r="J123" s="2">
        <v>10</v>
      </c>
      <c r="N123" s="2" t="s">
        <v>6</v>
      </c>
      <c r="O123" s="17">
        <f>ROUND(VLOOKUP(O$115&amp;"_1",管理者用人口入力シート!CO:DL,Q123,FALSE),0)</f>
        <v>315</v>
      </c>
      <c r="P123" s="17">
        <f>ROUND(VLOOKUP(O$115&amp;"_2",管理者用人口入力シート!CO:DL,Q123,FALSE),0)</f>
        <v>337</v>
      </c>
      <c r="Q123" s="2">
        <v>10</v>
      </c>
      <c r="T123" s="85"/>
    </row>
    <row r="124" spans="7:20" x14ac:dyDescent="0.15">
      <c r="G124" s="2" t="s">
        <v>7</v>
      </c>
      <c r="H124" s="17">
        <f>ROUND(VLOOKUP(H$115&amp;"_1",管理者用人口入力シート!BH:CE,J124,FALSE),0)</f>
        <v>342</v>
      </c>
      <c r="I124" s="17">
        <f>ROUND(VLOOKUP(H$115&amp;"_2",管理者用人口入力シート!BH:CE,J124,FALSE),0)</f>
        <v>317</v>
      </c>
      <c r="J124" s="2">
        <v>11</v>
      </c>
      <c r="N124" s="2" t="s">
        <v>7</v>
      </c>
      <c r="O124" s="17">
        <f>ROUND(VLOOKUP(O$115&amp;"_1",管理者用人口入力シート!CO:DL,Q124,FALSE),0)</f>
        <v>344</v>
      </c>
      <c r="P124" s="17">
        <f>ROUND(VLOOKUP(O$115&amp;"_2",管理者用人口入力シート!CO:DL,Q124,FALSE),0)</f>
        <v>319</v>
      </c>
      <c r="Q124" s="2">
        <v>11</v>
      </c>
      <c r="T124" s="85"/>
    </row>
    <row r="125" spans="7:20" x14ac:dyDescent="0.15">
      <c r="G125" s="2" t="s">
        <v>8</v>
      </c>
      <c r="H125" s="17">
        <f>ROUND(VLOOKUP(H$115&amp;"_1",管理者用人口入力シート!BH:CE,J125,FALSE),0)</f>
        <v>369</v>
      </c>
      <c r="I125" s="17">
        <f>ROUND(VLOOKUP(H$115&amp;"_2",管理者用人口入力シート!BH:CE,J125,FALSE),0)</f>
        <v>328</v>
      </c>
      <c r="J125" s="2">
        <v>12</v>
      </c>
      <c r="N125" s="2" t="s">
        <v>8</v>
      </c>
      <c r="O125" s="17">
        <f>ROUND(VLOOKUP(O$115&amp;"_1",管理者用人口入力シート!CO:DL,Q125,FALSE),0)</f>
        <v>369</v>
      </c>
      <c r="P125" s="17">
        <f>ROUND(VLOOKUP(O$115&amp;"_2",管理者用人口入力シート!CO:DL,Q125,FALSE),0)</f>
        <v>329</v>
      </c>
      <c r="Q125" s="2">
        <v>12</v>
      </c>
      <c r="T125" s="85"/>
    </row>
    <row r="126" spans="7:20" x14ac:dyDescent="0.15">
      <c r="G126" s="2" t="s">
        <v>9</v>
      </c>
      <c r="H126" s="17">
        <f>ROUND(VLOOKUP(H$115&amp;"_1",管理者用人口入力シート!BH:CE,J126,FALSE),0)</f>
        <v>415</v>
      </c>
      <c r="I126" s="17">
        <f>ROUND(VLOOKUP(H$115&amp;"_2",管理者用人口入力シート!BH:CE,J126,FALSE),0)</f>
        <v>444</v>
      </c>
      <c r="J126" s="2">
        <v>13</v>
      </c>
      <c r="N126" s="2" t="s">
        <v>9</v>
      </c>
      <c r="O126" s="17">
        <f>ROUND(VLOOKUP(O$115&amp;"_1",管理者用人口入力シート!CO:DL,Q126,FALSE),0)</f>
        <v>415</v>
      </c>
      <c r="P126" s="17">
        <f>ROUND(VLOOKUP(O$115&amp;"_2",管理者用人口入力シート!CO:DL,Q126,FALSE),0)</f>
        <v>445</v>
      </c>
      <c r="Q126" s="2">
        <v>13</v>
      </c>
      <c r="T126" s="85"/>
    </row>
    <row r="127" spans="7:20" x14ac:dyDescent="0.15">
      <c r="G127" s="2" t="s">
        <v>10</v>
      </c>
      <c r="H127" s="17">
        <f>ROUND(VLOOKUP(H$115&amp;"_1",管理者用人口入力シート!BH:CE,J127,FALSE),0)</f>
        <v>439</v>
      </c>
      <c r="I127" s="17">
        <f>ROUND(VLOOKUP(H$115&amp;"_2",管理者用人口入力シート!BH:CE,J127,FALSE),0)</f>
        <v>467</v>
      </c>
      <c r="J127" s="2">
        <v>14</v>
      </c>
      <c r="N127" s="2" t="s">
        <v>10</v>
      </c>
      <c r="O127" s="17">
        <f>ROUND(VLOOKUP(O$115&amp;"_1",管理者用人口入力シート!CO:DL,Q127,FALSE),0)</f>
        <v>439</v>
      </c>
      <c r="P127" s="17">
        <f>ROUND(VLOOKUP(O$115&amp;"_2",管理者用人口入力シート!CO:DL,Q127,FALSE),0)</f>
        <v>468</v>
      </c>
      <c r="Q127" s="2">
        <v>14</v>
      </c>
      <c r="T127" s="85"/>
    </row>
    <row r="128" spans="7:20" x14ac:dyDescent="0.15">
      <c r="G128" s="2" t="s">
        <v>11</v>
      </c>
      <c r="H128" s="17">
        <f>ROUND(VLOOKUP(H$115&amp;"_1",管理者用人口入力シート!BH:CE,J128,FALSE),0)</f>
        <v>536</v>
      </c>
      <c r="I128" s="17">
        <f>ROUND(VLOOKUP(H$115&amp;"_2",管理者用人口入力シート!BH:CE,J128,FALSE),0)</f>
        <v>520</v>
      </c>
      <c r="J128" s="2">
        <v>15</v>
      </c>
      <c r="N128" s="2" t="s">
        <v>11</v>
      </c>
      <c r="O128" s="17">
        <f>ROUND(VLOOKUP(O$115&amp;"_1",管理者用人口入力シート!CO:DL,Q128,FALSE),0)</f>
        <v>536</v>
      </c>
      <c r="P128" s="17">
        <f>ROUND(VLOOKUP(O$115&amp;"_2",管理者用人口入力シート!CO:DL,Q128,FALSE),0)</f>
        <v>520</v>
      </c>
      <c r="Q128" s="2">
        <v>15</v>
      </c>
      <c r="T128" s="85"/>
    </row>
    <row r="129" spans="7:20" x14ac:dyDescent="0.15">
      <c r="G129" s="2" t="s">
        <v>12</v>
      </c>
      <c r="H129" s="17">
        <f>ROUND(VLOOKUP(H$115&amp;"_1",管理者用人口入力シート!BH:CE,J129,FALSE),0)</f>
        <v>407</v>
      </c>
      <c r="I129" s="17">
        <f>ROUND(VLOOKUP(H$115&amp;"_2",管理者用人口入力シート!BH:CE,J129,FALSE),0)</f>
        <v>458</v>
      </c>
      <c r="J129" s="2">
        <v>16</v>
      </c>
      <c r="N129" s="2" t="s">
        <v>12</v>
      </c>
      <c r="O129" s="17">
        <f>ROUND(VLOOKUP(O$115&amp;"_1",管理者用人口入力シート!CO:DL,Q129,FALSE),0)</f>
        <v>407</v>
      </c>
      <c r="P129" s="17">
        <f>ROUND(VLOOKUP(O$115&amp;"_2",管理者用人口入力シート!CO:DL,Q129,FALSE),0)</f>
        <v>458</v>
      </c>
      <c r="Q129" s="2">
        <v>16</v>
      </c>
      <c r="T129" s="85"/>
    </row>
    <row r="130" spans="7:20" x14ac:dyDescent="0.15">
      <c r="G130" s="2" t="s">
        <v>13</v>
      </c>
      <c r="H130" s="17">
        <f>ROUND(VLOOKUP(H$115&amp;"_1",管理者用人口入力シート!BH:CE,J130,FALSE),0)</f>
        <v>390</v>
      </c>
      <c r="I130" s="17">
        <f>ROUND(VLOOKUP(H$115&amp;"_2",管理者用人口入力シート!BH:CE,J130,FALSE),0)</f>
        <v>448</v>
      </c>
      <c r="J130" s="2">
        <v>17</v>
      </c>
      <c r="N130" s="2" t="s">
        <v>13</v>
      </c>
      <c r="O130" s="17">
        <f>ROUND(VLOOKUP(O$115&amp;"_1",管理者用人口入力シート!CO:DL,Q130,FALSE),0)</f>
        <v>390</v>
      </c>
      <c r="P130" s="17">
        <f>ROUND(VLOOKUP(O$115&amp;"_2",管理者用人口入力シート!CO:DL,Q130,FALSE),0)</f>
        <v>448</v>
      </c>
      <c r="Q130" s="2">
        <v>17</v>
      </c>
      <c r="T130" s="85"/>
    </row>
    <row r="131" spans="7:20" x14ac:dyDescent="0.15">
      <c r="G131" s="2" t="s">
        <v>14</v>
      </c>
      <c r="H131" s="17">
        <f>ROUND(VLOOKUP(H$115&amp;"_1",管理者用人口入力シート!BH:CE,J131,FALSE),0)</f>
        <v>363</v>
      </c>
      <c r="I131" s="17">
        <f>ROUND(VLOOKUP(H$115&amp;"_2",管理者用人口入力シート!BH:CE,J131,FALSE),0)</f>
        <v>458</v>
      </c>
      <c r="J131" s="2">
        <v>18</v>
      </c>
      <c r="N131" s="2" t="s">
        <v>14</v>
      </c>
      <c r="O131" s="17">
        <f>ROUND(VLOOKUP(O$115&amp;"_1",管理者用人口入力シート!CO:DL,Q131,FALSE),0)</f>
        <v>363</v>
      </c>
      <c r="P131" s="17">
        <f>ROUND(VLOOKUP(O$115&amp;"_2",管理者用人口入力シート!CO:DL,Q131,FALSE),0)</f>
        <v>458</v>
      </c>
      <c r="Q131" s="2">
        <v>18</v>
      </c>
      <c r="T131" s="85"/>
    </row>
    <row r="132" spans="7:20" x14ac:dyDescent="0.15">
      <c r="G132" s="2" t="s">
        <v>15</v>
      </c>
      <c r="H132" s="17">
        <f>ROUND(VLOOKUP(H$115&amp;"_1",管理者用人口入力シート!BH:CE,J132,FALSE),0)</f>
        <v>364</v>
      </c>
      <c r="I132" s="17">
        <f>ROUND(VLOOKUP(H$115&amp;"_2",管理者用人口入力シート!BH:CE,J132,FALSE),0)</f>
        <v>467</v>
      </c>
      <c r="J132" s="2">
        <v>19</v>
      </c>
      <c r="N132" s="2" t="s">
        <v>15</v>
      </c>
      <c r="O132" s="17">
        <f>ROUND(VLOOKUP(O$115&amp;"_1",管理者用人口入力シート!CO:DL,Q132,FALSE),0)</f>
        <v>364</v>
      </c>
      <c r="P132" s="17">
        <f>ROUND(VLOOKUP(O$115&amp;"_2",管理者用人口入力シート!CO:DL,Q132,FALSE),0)</f>
        <v>467</v>
      </c>
      <c r="Q132" s="2">
        <v>19</v>
      </c>
      <c r="T132" s="85"/>
    </row>
    <row r="133" spans="7:20" x14ac:dyDescent="0.15">
      <c r="G133" s="2" t="s">
        <v>16</v>
      </c>
      <c r="H133" s="17">
        <f>ROUND(VLOOKUP(H$115&amp;"_1",管理者用人口入力シート!BH:CE,J133,FALSE),0)</f>
        <v>282</v>
      </c>
      <c r="I133" s="17">
        <f>ROUND(VLOOKUP(H$115&amp;"_2",管理者用人口入力シート!BH:CE,J133,FALSE),0)</f>
        <v>478</v>
      </c>
      <c r="J133" s="2">
        <v>20</v>
      </c>
      <c r="N133" s="2" t="s">
        <v>16</v>
      </c>
      <c r="O133" s="17">
        <f>ROUND(VLOOKUP(O$115&amp;"_1",管理者用人口入力シート!CO:DL,Q133,FALSE),0)</f>
        <v>282</v>
      </c>
      <c r="P133" s="17">
        <f>ROUND(VLOOKUP(O$115&amp;"_2",管理者用人口入力シート!CO:DL,Q133,FALSE),0)</f>
        <v>478</v>
      </c>
      <c r="Q133" s="2">
        <v>20</v>
      </c>
      <c r="T133" s="85"/>
    </row>
    <row r="134" spans="7:20" x14ac:dyDescent="0.15">
      <c r="G134" s="2" t="s">
        <v>17</v>
      </c>
      <c r="H134" s="17">
        <f>ROUND(VLOOKUP(H$115&amp;"_1",管理者用人口入力シート!BH:CE,J134,FALSE),0)</f>
        <v>212</v>
      </c>
      <c r="I134" s="17">
        <f>ROUND(VLOOKUP(H$115&amp;"_2",管理者用人口入力シート!BH:CE,J134,FALSE),0)</f>
        <v>353</v>
      </c>
      <c r="J134" s="2">
        <v>21</v>
      </c>
      <c r="N134" s="2" t="s">
        <v>17</v>
      </c>
      <c r="O134" s="17">
        <f>ROUND(VLOOKUP(O$115&amp;"_1",管理者用人口入力シート!CO:DL,Q134,FALSE),0)</f>
        <v>212</v>
      </c>
      <c r="P134" s="17">
        <f>ROUND(VLOOKUP(O$115&amp;"_2",管理者用人口入力シート!CO:DL,Q134,FALSE),0)</f>
        <v>353</v>
      </c>
      <c r="Q134" s="2">
        <v>21</v>
      </c>
      <c r="T134" s="85"/>
    </row>
    <row r="135" spans="7:20" x14ac:dyDescent="0.15">
      <c r="G135" s="2" t="s">
        <v>18</v>
      </c>
      <c r="H135" s="17">
        <f>ROUND(VLOOKUP(H$115&amp;"_1",管理者用人口入力シート!BH:CE,J135,FALSE),0)</f>
        <v>62</v>
      </c>
      <c r="I135" s="17">
        <f>ROUND(VLOOKUP(H$115&amp;"_2",管理者用人口入力シート!BH:CE,J135,FALSE),0)</f>
        <v>185</v>
      </c>
      <c r="J135" s="2">
        <v>22</v>
      </c>
      <c r="N135" s="2" t="s">
        <v>18</v>
      </c>
      <c r="O135" s="17">
        <f>ROUND(VLOOKUP(O$115&amp;"_1",管理者用人口入力シート!CO:DL,Q135,FALSE),0)</f>
        <v>62</v>
      </c>
      <c r="P135" s="17">
        <f>ROUND(VLOOKUP(O$115&amp;"_2",管理者用人口入力シート!CO:DL,Q135,FALSE),0)</f>
        <v>185</v>
      </c>
      <c r="Q135" s="2">
        <v>22</v>
      </c>
      <c r="T135" s="85"/>
    </row>
    <row r="136" spans="7:20" x14ac:dyDescent="0.15">
      <c r="G136" s="2" t="s">
        <v>19</v>
      </c>
      <c r="H136" s="17">
        <f>ROUND(VLOOKUP(H$115&amp;"_1",管理者用人口入力シート!BH:CE,J136,FALSE),0)</f>
        <v>21</v>
      </c>
      <c r="I136" s="17">
        <f>ROUND(VLOOKUP(H$115&amp;"_2",管理者用人口入力シート!BH:CE,J136,FALSE),0)</f>
        <v>75</v>
      </c>
      <c r="J136" s="2">
        <v>23</v>
      </c>
      <c r="N136" s="2" t="s">
        <v>19</v>
      </c>
      <c r="O136" s="17">
        <f>ROUND(VLOOKUP(O$115&amp;"_1",管理者用人口入力シート!CO:DL,Q136,FALSE),0)</f>
        <v>21</v>
      </c>
      <c r="P136" s="17">
        <f>ROUND(VLOOKUP(O$115&amp;"_2",管理者用人口入力シート!CO:DL,Q136,FALSE),0)</f>
        <v>75</v>
      </c>
      <c r="Q136" s="2">
        <v>23</v>
      </c>
      <c r="T136" s="85"/>
    </row>
    <row r="137" spans="7:20" x14ac:dyDescent="0.15">
      <c r="G137" s="2" t="s">
        <v>20</v>
      </c>
      <c r="H137" s="17">
        <f>ROUND(VLOOKUP(H$115&amp;"_1",管理者用人口入力シート!BH:CE,J137,FALSE),0)</f>
        <v>5</v>
      </c>
      <c r="I137" s="17">
        <f>ROUND(VLOOKUP(H$115&amp;"_2",管理者用人口入力シート!BH:CE,J137,FALSE),0)</f>
        <v>12</v>
      </c>
      <c r="J137" s="2">
        <v>24</v>
      </c>
      <c r="N137" s="2" t="s">
        <v>20</v>
      </c>
      <c r="O137" s="17">
        <f>ROUND(VLOOKUP(O$115&amp;"_1",管理者用人口入力シート!CO:DL,Q137,FALSE),0)</f>
        <v>5</v>
      </c>
      <c r="P137" s="17">
        <f>ROUND(VLOOKUP(O$115&amp;"_2",管理者用人口入力シート!CO:DL,Q137,FALSE),0)</f>
        <v>12</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359</v>
      </c>
      <c r="I141" s="17">
        <f>ROUND(VLOOKUP(H$139&amp;"_2",管理者用人口入力シート!BH:CE,J141,FALSE),0)</f>
        <v>311</v>
      </c>
      <c r="J141" s="2">
        <v>4</v>
      </c>
      <c r="N141" s="2" t="s">
        <v>0</v>
      </c>
      <c r="O141" s="17">
        <f>ROUND(VLOOKUP(O$139&amp;"_1",管理者用人口入力シート!CO:DL,Q141,FALSE),0)</f>
        <v>363</v>
      </c>
      <c r="P141" s="17">
        <f>ROUND(VLOOKUP(O$139&amp;"_2",管理者用人口入力シート!CO:DL,Q141,FALSE),0)</f>
        <v>314</v>
      </c>
      <c r="Q141" s="2">
        <v>4</v>
      </c>
    </row>
    <row r="142" spans="7:20" x14ac:dyDescent="0.15">
      <c r="G142" s="2" t="s">
        <v>1</v>
      </c>
      <c r="H142" s="17">
        <f>ROUND(VLOOKUP(H$139&amp;"_1",管理者用人口入力シート!BH:CE,J142,FALSE),0)</f>
        <v>409</v>
      </c>
      <c r="I142" s="17">
        <f>ROUND(VLOOKUP(H$139&amp;"_2",管理者用人口入力シート!BH:CE,J142,FALSE),0)</f>
        <v>330</v>
      </c>
      <c r="J142" s="2">
        <v>5</v>
      </c>
      <c r="N142" s="2" t="s">
        <v>1</v>
      </c>
      <c r="O142" s="17">
        <f>ROUND(VLOOKUP(O$139&amp;"_1",管理者用人口入力シート!CO:DL,Q142,FALSE),0)</f>
        <v>413</v>
      </c>
      <c r="P142" s="17">
        <f>ROUND(VLOOKUP(O$139&amp;"_2",管理者用人口入力シート!CO:DL,Q142,FALSE),0)</f>
        <v>333</v>
      </c>
      <c r="Q142" s="2">
        <v>5</v>
      </c>
    </row>
    <row r="143" spans="7:20" x14ac:dyDescent="0.15">
      <c r="G143" s="2" t="s">
        <v>2</v>
      </c>
      <c r="H143" s="17">
        <f>ROUND(VLOOKUP(H$139&amp;"_1",管理者用人口入力シート!BH:CE,J143,FALSE),0)</f>
        <v>442</v>
      </c>
      <c r="I143" s="17">
        <f>ROUND(VLOOKUP(H$139&amp;"_2",管理者用人口入力シート!BH:CE,J143,FALSE),0)</f>
        <v>345</v>
      </c>
      <c r="J143" s="2">
        <v>6</v>
      </c>
      <c r="N143" s="2" t="s">
        <v>2</v>
      </c>
      <c r="O143" s="17">
        <f>ROUND(VLOOKUP(O$139&amp;"_1",管理者用人口入力シート!CO:DL,Q143,FALSE),0)</f>
        <v>446</v>
      </c>
      <c r="P143" s="17">
        <f>ROUND(VLOOKUP(O$139&amp;"_2",管理者用人口入力シート!CO:DL,Q143,FALSE),0)</f>
        <v>349</v>
      </c>
      <c r="Q143" s="2">
        <v>6</v>
      </c>
    </row>
    <row r="144" spans="7:20" x14ac:dyDescent="0.15">
      <c r="G144" s="2" t="s">
        <v>3</v>
      </c>
      <c r="H144" s="17">
        <f>ROUND(VLOOKUP(H$139&amp;"_1",管理者用人口入力シート!BH:CE,J144,FALSE),0)</f>
        <v>454</v>
      </c>
      <c r="I144" s="17">
        <f>ROUND(VLOOKUP(H$139&amp;"_2",管理者用人口入力シート!BH:CE,J144,FALSE),0)</f>
        <v>334</v>
      </c>
      <c r="J144" s="2">
        <v>7</v>
      </c>
      <c r="N144" s="2" t="s">
        <v>3</v>
      </c>
      <c r="O144" s="17">
        <f>ROUND(VLOOKUP(O$139&amp;"_1",管理者用人口入力シート!CO:DL,Q144,FALSE),0)</f>
        <v>456</v>
      </c>
      <c r="P144" s="17">
        <f>ROUND(VLOOKUP(O$139&amp;"_2",管理者用人口入力シート!CO:DL,Q144,FALSE),0)</f>
        <v>336</v>
      </c>
      <c r="Q144" s="2">
        <v>7</v>
      </c>
    </row>
    <row r="145" spans="7:17" x14ac:dyDescent="0.15">
      <c r="G145" s="2" t="s">
        <v>4</v>
      </c>
      <c r="H145" s="17">
        <f>ROUND(VLOOKUP(H$139&amp;"_1",管理者用人口入力シート!BH:CE,J145,FALSE),0)</f>
        <v>247</v>
      </c>
      <c r="I145" s="17">
        <f>ROUND(VLOOKUP(H$139&amp;"_2",管理者用人口入力シート!BH:CE,J145,FALSE),0)</f>
        <v>227</v>
      </c>
      <c r="J145" s="2">
        <v>8</v>
      </c>
      <c r="N145" s="2" t="s">
        <v>4</v>
      </c>
      <c r="O145" s="17">
        <f>ROUND(VLOOKUP(O$139&amp;"_1",管理者用人口入力シート!CO:DL,Q145,FALSE),0)</f>
        <v>248</v>
      </c>
      <c r="P145" s="17">
        <f>ROUND(VLOOKUP(O$139&amp;"_2",管理者用人口入力シート!CO:DL,Q145,FALSE),0)</f>
        <v>227</v>
      </c>
      <c r="Q145" s="2">
        <v>8</v>
      </c>
    </row>
    <row r="146" spans="7:17" x14ac:dyDescent="0.15">
      <c r="G146" s="2" t="s">
        <v>5</v>
      </c>
      <c r="H146" s="17">
        <f>ROUND(VLOOKUP(H$139&amp;"_1",管理者用人口入力シート!BH:CE,J146,FALSE),0)</f>
        <v>319</v>
      </c>
      <c r="I146" s="17">
        <f>ROUND(VLOOKUP(H$139&amp;"_2",管理者用人口入力シート!BH:CE,J146,FALSE),0)</f>
        <v>309</v>
      </c>
      <c r="J146" s="2">
        <v>9</v>
      </c>
      <c r="N146" s="2" t="s">
        <v>5</v>
      </c>
      <c r="O146" s="17">
        <f>ROUND(VLOOKUP(O$139&amp;"_1",管理者用人口入力シート!CO:DL,Q146,FALSE),0)</f>
        <v>321</v>
      </c>
      <c r="P146" s="17">
        <f>ROUND(VLOOKUP(O$139&amp;"_2",管理者用人口入力シート!CO:DL,Q146,FALSE),0)</f>
        <v>312</v>
      </c>
      <c r="Q146" s="2">
        <v>9</v>
      </c>
    </row>
    <row r="147" spans="7:17" x14ac:dyDescent="0.15">
      <c r="G147" s="2" t="s">
        <v>6</v>
      </c>
      <c r="H147" s="17">
        <f>ROUND(VLOOKUP(H$139&amp;"_1",管理者用人口入力シート!BH:CE,J147,FALSE),0)</f>
        <v>340</v>
      </c>
      <c r="I147" s="17">
        <f>ROUND(VLOOKUP(H$139&amp;"_2",管理者用人口入力シート!BH:CE,J147,FALSE),0)</f>
        <v>362</v>
      </c>
      <c r="J147" s="2">
        <v>10</v>
      </c>
      <c r="N147" s="2" t="s">
        <v>6</v>
      </c>
      <c r="O147" s="17">
        <f>ROUND(VLOOKUP(O$139&amp;"_1",管理者用人口入力シート!CO:DL,Q147,FALSE),0)</f>
        <v>342</v>
      </c>
      <c r="P147" s="17">
        <f>ROUND(VLOOKUP(O$139&amp;"_2",管理者用人口入力シート!CO:DL,Q147,FALSE),0)</f>
        <v>364</v>
      </c>
      <c r="Q147" s="2">
        <v>10</v>
      </c>
    </row>
    <row r="148" spans="7:17" x14ac:dyDescent="0.15">
      <c r="G148" s="2" t="s">
        <v>7</v>
      </c>
      <c r="H148" s="17">
        <f>ROUND(VLOOKUP(H$139&amp;"_1",管理者用人口入力シート!BH:CE,J148,FALSE),0)</f>
        <v>356</v>
      </c>
      <c r="I148" s="17">
        <f>ROUND(VLOOKUP(H$139&amp;"_2",管理者用人口入力シート!BH:CE,J148,FALSE),0)</f>
        <v>361</v>
      </c>
      <c r="J148" s="2">
        <v>11</v>
      </c>
      <c r="N148" s="2" t="s">
        <v>7</v>
      </c>
      <c r="O148" s="17">
        <f>ROUND(VLOOKUP(O$139&amp;"_1",管理者用人口入力シート!CO:DL,Q148,FALSE),0)</f>
        <v>359</v>
      </c>
      <c r="P148" s="17">
        <f>ROUND(VLOOKUP(O$139&amp;"_2",管理者用人口入力シート!CO:DL,Q148,FALSE),0)</f>
        <v>364</v>
      </c>
      <c r="Q148" s="2">
        <v>11</v>
      </c>
    </row>
    <row r="149" spans="7:17" x14ac:dyDescent="0.15">
      <c r="G149" s="2" t="s">
        <v>8</v>
      </c>
      <c r="H149" s="17">
        <f>ROUND(VLOOKUP(H$139&amp;"_1",管理者用人口入力シート!BH:CE,J149,FALSE),0)</f>
        <v>364</v>
      </c>
      <c r="I149" s="17">
        <f>ROUND(VLOOKUP(H$139&amp;"_2",管理者用人口入力シート!BH:CE,J149,FALSE),0)</f>
        <v>330</v>
      </c>
      <c r="J149" s="2">
        <v>12</v>
      </c>
      <c r="N149" s="2" t="s">
        <v>8</v>
      </c>
      <c r="O149" s="17">
        <f>ROUND(VLOOKUP(O$139&amp;"_1",管理者用人口入力シート!CO:DL,Q149,FALSE),0)</f>
        <v>367</v>
      </c>
      <c r="P149" s="17">
        <f>ROUND(VLOOKUP(O$139&amp;"_2",管理者用人口入力シート!CO:DL,Q149,FALSE),0)</f>
        <v>334</v>
      </c>
      <c r="Q149" s="2">
        <v>12</v>
      </c>
    </row>
    <row r="150" spans="7:17" x14ac:dyDescent="0.15">
      <c r="G150" s="2" t="s">
        <v>9</v>
      </c>
      <c r="H150" s="17">
        <f>ROUND(VLOOKUP(H$139&amp;"_1",管理者用人口入力シート!BH:CE,J150,FALSE),0)</f>
        <v>377</v>
      </c>
      <c r="I150" s="17">
        <f>ROUND(VLOOKUP(H$139&amp;"_2",管理者用人口入力シート!BH:CE,J150,FALSE),0)</f>
        <v>324</v>
      </c>
      <c r="J150" s="2">
        <v>13</v>
      </c>
      <c r="N150" s="2" t="s">
        <v>9</v>
      </c>
      <c r="O150" s="17">
        <f>ROUND(VLOOKUP(O$139&amp;"_1",管理者用人口入力シート!CO:DL,Q150,FALSE),0)</f>
        <v>377</v>
      </c>
      <c r="P150" s="17">
        <f>ROUND(VLOOKUP(O$139&amp;"_2",管理者用人口入力シート!CO:DL,Q150,FALSE),0)</f>
        <v>325</v>
      </c>
      <c r="Q150" s="2">
        <v>13</v>
      </c>
    </row>
    <row r="151" spans="7:17" x14ac:dyDescent="0.15">
      <c r="G151" s="2" t="s">
        <v>10</v>
      </c>
      <c r="H151" s="17">
        <f>ROUND(VLOOKUP(H$139&amp;"_1",管理者用人口入力シート!BH:CE,J151,FALSE),0)</f>
        <v>408</v>
      </c>
      <c r="I151" s="17">
        <f>ROUND(VLOOKUP(H$139&amp;"_2",管理者用人口入力シート!BH:CE,J151,FALSE),0)</f>
        <v>429</v>
      </c>
      <c r="J151" s="2">
        <v>14</v>
      </c>
      <c r="N151" s="2" t="s">
        <v>10</v>
      </c>
      <c r="O151" s="17">
        <f>ROUND(VLOOKUP(O$139&amp;"_1",管理者用人口入力シート!CO:DL,Q151,FALSE),0)</f>
        <v>408</v>
      </c>
      <c r="P151" s="17">
        <f>ROUND(VLOOKUP(O$139&amp;"_2",管理者用人口入力シート!CO:DL,Q151,FALSE),0)</f>
        <v>430</v>
      </c>
      <c r="Q151" s="2">
        <v>14</v>
      </c>
    </row>
    <row r="152" spans="7:17" x14ac:dyDescent="0.15">
      <c r="G152" s="2" t="s">
        <v>11</v>
      </c>
      <c r="H152" s="17">
        <f>ROUND(VLOOKUP(H$139&amp;"_1",管理者用人口入力シート!BH:CE,J152,FALSE),0)</f>
        <v>425</v>
      </c>
      <c r="I152" s="17">
        <f>ROUND(VLOOKUP(H$139&amp;"_2",管理者用人口入力シート!BH:CE,J152,FALSE),0)</f>
        <v>462</v>
      </c>
      <c r="J152" s="2">
        <v>15</v>
      </c>
      <c r="N152" s="2" t="s">
        <v>11</v>
      </c>
      <c r="O152" s="17">
        <f>ROUND(VLOOKUP(O$139&amp;"_1",管理者用人口入力シート!CO:DL,Q152,FALSE),0)</f>
        <v>425</v>
      </c>
      <c r="P152" s="17">
        <f>ROUND(VLOOKUP(O$139&amp;"_2",管理者用人口入力シート!CO:DL,Q152,FALSE),0)</f>
        <v>463</v>
      </c>
      <c r="Q152" s="2">
        <v>15</v>
      </c>
    </row>
    <row r="153" spans="7:17" x14ac:dyDescent="0.15">
      <c r="G153" s="2" t="s">
        <v>12</v>
      </c>
      <c r="H153" s="17">
        <f>ROUND(VLOOKUP(H$139&amp;"_1",管理者用人口入力シート!BH:CE,J153,FALSE),0)</f>
        <v>535</v>
      </c>
      <c r="I153" s="17">
        <f>ROUND(VLOOKUP(H$139&amp;"_2",管理者用人口入力シート!BH:CE,J153,FALSE),0)</f>
        <v>522</v>
      </c>
      <c r="J153" s="2">
        <v>16</v>
      </c>
      <c r="N153" s="2" t="s">
        <v>12</v>
      </c>
      <c r="O153" s="17">
        <f>ROUND(VLOOKUP(O$139&amp;"_1",管理者用人口入力シート!CO:DL,Q153,FALSE),0)</f>
        <v>535</v>
      </c>
      <c r="P153" s="17">
        <f>ROUND(VLOOKUP(O$139&amp;"_2",管理者用人口入力シート!CO:DL,Q153,FALSE),0)</f>
        <v>522</v>
      </c>
      <c r="Q153" s="2">
        <v>16</v>
      </c>
    </row>
    <row r="154" spans="7:17" x14ac:dyDescent="0.15">
      <c r="G154" s="2" t="s">
        <v>13</v>
      </c>
      <c r="H154" s="17">
        <f>ROUND(VLOOKUP(H$139&amp;"_1",管理者用人口入力シート!BH:CE,J154,FALSE),0)</f>
        <v>406</v>
      </c>
      <c r="I154" s="17">
        <f>ROUND(VLOOKUP(H$139&amp;"_2",管理者用人口入力シート!BH:CE,J154,FALSE),0)</f>
        <v>458</v>
      </c>
      <c r="J154" s="2">
        <v>17</v>
      </c>
      <c r="N154" s="2" t="s">
        <v>13</v>
      </c>
      <c r="O154" s="17">
        <f>ROUND(VLOOKUP(O$139&amp;"_1",管理者用人口入力シート!CO:DL,Q154,FALSE),0)</f>
        <v>406</v>
      </c>
      <c r="P154" s="17">
        <f>ROUND(VLOOKUP(O$139&amp;"_2",管理者用人口入力シート!CO:DL,Q154,FALSE),0)</f>
        <v>458</v>
      </c>
      <c r="Q154" s="2">
        <v>17</v>
      </c>
    </row>
    <row r="155" spans="7:17" x14ac:dyDescent="0.15">
      <c r="G155" s="2" t="s">
        <v>14</v>
      </c>
      <c r="H155" s="17">
        <f>ROUND(VLOOKUP(H$139&amp;"_1",管理者用人口入力シート!BH:CE,J155,FALSE),0)</f>
        <v>358</v>
      </c>
      <c r="I155" s="17">
        <f>ROUND(VLOOKUP(H$139&amp;"_2",管理者用人口入力シート!BH:CE,J155,FALSE),0)</f>
        <v>443</v>
      </c>
      <c r="J155" s="2">
        <v>18</v>
      </c>
      <c r="N155" s="2" t="s">
        <v>14</v>
      </c>
      <c r="O155" s="17">
        <f>ROUND(VLOOKUP(O$139&amp;"_1",管理者用人口入力シート!CO:DL,Q155,FALSE),0)</f>
        <v>358</v>
      </c>
      <c r="P155" s="17">
        <f>ROUND(VLOOKUP(O$139&amp;"_2",管理者用人口入力シート!CO:DL,Q155,FALSE),0)</f>
        <v>443</v>
      </c>
      <c r="Q155" s="2">
        <v>18</v>
      </c>
    </row>
    <row r="156" spans="7:17" x14ac:dyDescent="0.15">
      <c r="G156" s="2" t="s">
        <v>15</v>
      </c>
      <c r="H156" s="17">
        <f>ROUND(VLOOKUP(H$139&amp;"_1",管理者用人口入力シート!BH:CE,J156,FALSE),0)</f>
        <v>313</v>
      </c>
      <c r="I156" s="17">
        <f>ROUND(VLOOKUP(H$139&amp;"_2",管理者用人口入力シート!BH:CE,J156,FALSE),0)</f>
        <v>439</v>
      </c>
      <c r="J156" s="2">
        <v>19</v>
      </c>
      <c r="N156" s="2" t="s">
        <v>15</v>
      </c>
      <c r="O156" s="17">
        <f>ROUND(VLOOKUP(O$139&amp;"_1",管理者用人口入力シート!CO:DL,Q156,FALSE),0)</f>
        <v>313</v>
      </c>
      <c r="P156" s="17">
        <f>ROUND(VLOOKUP(O$139&amp;"_2",管理者用人口入力シート!CO:DL,Q156,FALSE),0)</f>
        <v>439</v>
      </c>
      <c r="Q156" s="2">
        <v>19</v>
      </c>
    </row>
    <row r="157" spans="7:17" x14ac:dyDescent="0.15">
      <c r="G157" s="2" t="s">
        <v>16</v>
      </c>
      <c r="H157" s="17">
        <f>ROUND(VLOOKUP(H$139&amp;"_1",管理者用人口入力シート!BH:CE,J157,FALSE),0)</f>
        <v>298</v>
      </c>
      <c r="I157" s="17">
        <f>ROUND(VLOOKUP(H$139&amp;"_2",管理者用人口入力シート!BH:CE,J157,FALSE),0)</f>
        <v>437</v>
      </c>
      <c r="J157" s="2">
        <v>20</v>
      </c>
      <c r="N157" s="2" t="s">
        <v>16</v>
      </c>
      <c r="O157" s="17">
        <f>ROUND(VLOOKUP(O$139&amp;"_1",管理者用人口入力シート!CO:DL,Q157,FALSE),0)</f>
        <v>298</v>
      </c>
      <c r="P157" s="17">
        <f>ROUND(VLOOKUP(O$139&amp;"_2",管理者用人口入力シート!CO:DL,Q157,FALSE),0)</f>
        <v>437</v>
      </c>
      <c r="Q157" s="2">
        <v>20</v>
      </c>
    </row>
    <row r="158" spans="7:17" x14ac:dyDescent="0.15">
      <c r="G158" s="2" t="s">
        <v>17</v>
      </c>
      <c r="H158" s="17">
        <f>ROUND(VLOOKUP(H$139&amp;"_1",管理者用人口入力シート!BH:CE,J158,FALSE),0)</f>
        <v>191</v>
      </c>
      <c r="I158" s="17">
        <f>ROUND(VLOOKUP(H$139&amp;"_2",管理者用人口入力シート!BH:CE,J158,FALSE),0)</f>
        <v>412</v>
      </c>
      <c r="J158" s="2">
        <v>21</v>
      </c>
      <c r="N158" s="2" t="s">
        <v>17</v>
      </c>
      <c r="O158" s="17">
        <f>ROUND(VLOOKUP(O$139&amp;"_1",管理者用人口入力シート!CO:DL,Q158,FALSE),0)</f>
        <v>191</v>
      </c>
      <c r="P158" s="17">
        <f>ROUND(VLOOKUP(O$139&amp;"_2",管理者用人口入力シート!CO:DL,Q158,FALSE),0)</f>
        <v>412</v>
      </c>
      <c r="Q158" s="2">
        <v>21</v>
      </c>
    </row>
    <row r="159" spans="7:17" x14ac:dyDescent="0.15">
      <c r="G159" s="2" t="s">
        <v>18</v>
      </c>
      <c r="H159" s="17">
        <f>ROUND(VLOOKUP(H$139&amp;"_1",管理者用人口入力シート!BH:CE,J159,FALSE),0)</f>
        <v>97</v>
      </c>
      <c r="I159" s="17">
        <f>ROUND(VLOOKUP(H$139&amp;"_2",管理者用人口入力シート!BH:CE,J159,FALSE),0)</f>
        <v>254</v>
      </c>
      <c r="J159" s="2">
        <v>22</v>
      </c>
      <c r="N159" s="2" t="s">
        <v>18</v>
      </c>
      <c r="O159" s="17">
        <f>ROUND(VLOOKUP(O$139&amp;"_1",管理者用人口入力シート!CO:DL,Q159,FALSE),0)</f>
        <v>97</v>
      </c>
      <c r="P159" s="17">
        <f>ROUND(VLOOKUP(O$139&amp;"_2",管理者用人口入力シート!CO:DL,Q159,FALSE),0)</f>
        <v>254</v>
      </c>
      <c r="Q159" s="2">
        <v>22</v>
      </c>
    </row>
    <row r="160" spans="7:17" x14ac:dyDescent="0.15">
      <c r="G160" s="2" t="s">
        <v>19</v>
      </c>
      <c r="H160" s="17">
        <f>ROUND(VLOOKUP(H$139&amp;"_1",管理者用人口入力シート!BH:CE,J160,FALSE),0)</f>
        <v>23</v>
      </c>
      <c r="I160" s="17">
        <f>ROUND(VLOOKUP(H$139&amp;"_2",管理者用人口入力シート!BH:CE,J160,FALSE),0)</f>
        <v>83</v>
      </c>
      <c r="J160" s="2">
        <v>23</v>
      </c>
      <c r="N160" s="2" t="s">
        <v>19</v>
      </c>
      <c r="O160" s="17">
        <f>ROUND(VLOOKUP(O$139&amp;"_1",管理者用人口入力シート!CO:DL,Q160,FALSE),0)</f>
        <v>23</v>
      </c>
      <c r="P160" s="17">
        <f>ROUND(VLOOKUP(O$139&amp;"_2",管理者用人口入力シート!CO:DL,Q160,FALSE),0)</f>
        <v>83</v>
      </c>
      <c r="Q160" s="2">
        <v>23</v>
      </c>
    </row>
    <row r="161" spans="7:17" x14ac:dyDescent="0.15">
      <c r="G161" s="2" t="s">
        <v>20</v>
      </c>
      <c r="H161" s="17">
        <f>ROUND(VLOOKUP(H$139&amp;"_1",管理者用人口入力シート!BH:CE,J161,FALSE),0)</f>
        <v>5</v>
      </c>
      <c r="I161" s="17">
        <f>ROUND(VLOOKUP(H$139&amp;"_2",管理者用人口入力シート!BH:CE,J161,FALSE),0)</f>
        <v>10</v>
      </c>
      <c r="J161" s="2">
        <v>24</v>
      </c>
      <c r="N161" s="2" t="s">
        <v>20</v>
      </c>
      <c r="O161" s="17">
        <f>ROUND(VLOOKUP(O$139&amp;"_1",管理者用人口入力シート!CO:DL,Q161,FALSE),0)</f>
        <v>5</v>
      </c>
      <c r="P161" s="17">
        <f>ROUND(VLOOKUP(O$139&amp;"_2",管理者用人口入力シート!CO:DL,Q161,FALSE),0)</f>
        <v>10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345</v>
      </c>
      <c r="I165" s="17">
        <f>ROUND(VLOOKUP(H$163&amp;"_2",管理者用人口入力シート!BH:CE,J165,FALSE),0)</f>
        <v>298</v>
      </c>
      <c r="J165" s="2">
        <v>4</v>
      </c>
      <c r="N165" s="2" t="s">
        <v>0</v>
      </c>
      <c r="O165" s="17">
        <f>ROUND(VLOOKUP(O$163&amp;"_1",管理者用人口入力シート!CO:DL,Q165,FALSE),0)</f>
        <v>349</v>
      </c>
      <c r="P165" s="17">
        <f>ROUND(VLOOKUP(O$163&amp;"_2",管理者用人口入力シート!CO:DL,Q165,FALSE),0)</f>
        <v>302</v>
      </c>
      <c r="Q165" s="2">
        <v>4</v>
      </c>
    </row>
    <row r="166" spans="7:17" x14ac:dyDescent="0.15">
      <c r="G166" s="2" t="s">
        <v>1</v>
      </c>
      <c r="H166" s="17">
        <f>ROUND(VLOOKUP(H$163&amp;"_1",管理者用人口入力シート!BH:CE,J166,FALSE),0)</f>
        <v>416</v>
      </c>
      <c r="I166" s="17">
        <f>ROUND(VLOOKUP(H$163&amp;"_2",管理者用人口入力シート!BH:CE,J166,FALSE),0)</f>
        <v>335</v>
      </c>
      <c r="J166" s="2">
        <v>5</v>
      </c>
      <c r="N166" s="2" t="s">
        <v>1</v>
      </c>
      <c r="O166" s="17">
        <f>ROUND(VLOOKUP(O$163&amp;"_1",管理者用人口入力シート!CO:DL,Q166,FALSE),0)</f>
        <v>419</v>
      </c>
      <c r="P166" s="17">
        <f>ROUND(VLOOKUP(O$163&amp;"_2",管理者用人口入力シート!CO:DL,Q166,FALSE),0)</f>
        <v>338</v>
      </c>
      <c r="Q166" s="2">
        <v>5</v>
      </c>
    </row>
    <row r="167" spans="7:17" x14ac:dyDescent="0.15">
      <c r="G167" s="2" t="s">
        <v>2</v>
      </c>
      <c r="H167" s="17">
        <f>ROUND(VLOOKUP(H$163&amp;"_1",管理者用人口入力シート!BH:CE,J167,FALSE),0)</f>
        <v>464</v>
      </c>
      <c r="I167" s="17">
        <f>ROUND(VLOOKUP(H$163&amp;"_2",管理者用人口入力シート!BH:CE,J167,FALSE),0)</f>
        <v>362</v>
      </c>
      <c r="J167" s="2">
        <v>6</v>
      </c>
      <c r="N167" s="2" t="s">
        <v>2</v>
      </c>
      <c r="O167" s="17">
        <f>ROUND(VLOOKUP(O$163&amp;"_1",管理者用人口入力シート!CO:DL,Q167,FALSE),0)</f>
        <v>469</v>
      </c>
      <c r="P167" s="17">
        <f>ROUND(VLOOKUP(O$163&amp;"_2",管理者用人口入力シート!CO:DL,Q167,FALSE),0)</f>
        <v>367</v>
      </c>
      <c r="Q167" s="2">
        <v>6</v>
      </c>
    </row>
    <row r="168" spans="7:17" x14ac:dyDescent="0.15">
      <c r="G168" s="2" t="s">
        <v>3</v>
      </c>
      <c r="H168" s="17">
        <f>ROUND(VLOOKUP(H$163&amp;"_1",管理者用人口入力シート!BH:CE,J168,FALSE),0)</f>
        <v>432</v>
      </c>
      <c r="I168" s="17">
        <f>ROUND(VLOOKUP(H$163&amp;"_2",管理者用人口入力シート!BH:CE,J168,FALSE),0)</f>
        <v>318</v>
      </c>
      <c r="J168" s="2">
        <v>7</v>
      </c>
      <c r="N168" s="2" t="s">
        <v>3</v>
      </c>
      <c r="O168" s="17">
        <f>ROUND(VLOOKUP(O$163&amp;"_1",管理者用人口入力シート!CO:DL,Q168,FALSE),0)</f>
        <v>436</v>
      </c>
      <c r="P168" s="17">
        <f>ROUND(VLOOKUP(O$163&amp;"_2",管理者用人口入力シート!CO:DL,Q168,FALSE),0)</f>
        <v>321</v>
      </c>
      <c r="Q168" s="2">
        <v>7</v>
      </c>
    </row>
    <row r="169" spans="7:17" x14ac:dyDescent="0.15">
      <c r="G169" s="2" t="s">
        <v>4</v>
      </c>
      <c r="H169" s="17">
        <f>ROUND(VLOOKUP(H$163&amp;"_1",管理者用人口入力シート!BH:CE,J169,FALSE),0)</f>
        <v>227</v>
      </c>
      <c r="I169" s="17">
        <f>ROUND(VLOOKUP(H$163&amp;"_2",管理者用人口入力シート!BH:CE,J169,FALSE),0)</f>
        <v>208</v>
      </c>
      <c r="J169" s="2">
        <v>8</v>
      </c>
      <c r="N169" s="2" t="s">
        <v>4</v>
      </c>
      <c r="O169" s="17">
        <f>ROUND(VLOOKUP(O$163&amp;"_1",管理者用人口入力シート!CO:DL,Q169,FALSE),0)</f>
        <v>228</v>
      </c>
      <c r="P169" s="17">
        <f>ROUND(VLOOKUP(O$163&amp;"_2",管理者用人口入力シート!CO:DL,Q169,FALSE),0)</f>
        <v>209</v>
      </c>
      <c r="Q169" s="2">
        <v>8</v>
      </c>
    </row>
    <row r="170" spans="7:17" x14ac:dyDescent="0.15">
      <c r="G170" s="2" t="s">
        <v>5</v>
      </c>
      <c r="H170" s="17">
        <f>ROUND(VLOOKUP(H$163&amp;"_1",管理者用人口入力シート!BH:CE,J170,FALSE),0)</f>
        <v>300</v>
      </c>
      <c r="I170" s="17">
        <f>ROUND(VLOOKUP(H$163&amp;"_2",管理者用人口入力シート!BH:CE,J170,FALSE),0)</f>
        <v>261</v>
      </c>
      <c r="J170" s="2">
        <v>9</v>
      </c>
      <c r="N170" s="2" t="s">
        <v>5</v>
      </c>
      <c r="O170" s="17">
        <f>ROUND(VLOOKUP(O$163&amp;"_1",管理者用人口入力シート!CO:DL,Q170,FALSE),0)</f>
        <v>302</v>
      </c>
      <c r="P170" s="17">
        <f>ROUND(VLOOKUP(O$163&amp;"_2",管理者用人口入力シート!CO:DL,Q170,FALSE),0)</f>
        <v>263</v>
      </c>
      <c r="Q170" s="2">
        <v>9</v>
      </c>
    </row>
    <row r="171" spans="7:17" x14ac:dyDescent="0.15">
      <c r="G171" s="2" t="s">
        <v>6</v>
      </c>
      <c r="H171" s="17">
        <f>ROUND(VLOOKUP(H$163&amp;"_1",管理者用人口入力シート!BH:CE,J171,FALSE),0)</f>
        <v>364</v>
      </c>
      <c r="I171" s="17">
        <f>ROUND(VLOOKUP(H$163&amp;"_2",管理者用人口入力シート!BH:CE,J171,FALSE),0)</f>
        <v>350</v>
      </c>
      <c r="J171" s="2">
        <v>10</v>
      </c>
      <c r="N171" s="2" t="s">
        <v>6</v>
      </c>
      <c r="O171" s="17">
        <f>ROUND(VLOOKUP(O$163&amp;"_1",管理者用人口入力シート!CO:DL,Q171,FALSE),0)</f>
        <v>367</v>
      </c>
      <c r="P171" s="17">
        <f>ROUND(VLOOKUP(O$163&amp;"_2",管理者用人口入力シート!CO:DL,Q171,FALSE),0)</f>
        <v>353</v>
      </c>
      <c r="Q171" s="2">
        <v>10</v>
      </c>
    </row>
    <row r="172" spans="7:17" x14ac:dyDescent="0.15">
      <c r="G172" s="2" t="s">
        <v>7</v>
      </c>
      <c r="H172" s="17">
        <f>ROUND(VLOOKUP(H$163&amp;"_1",管理者用人口入力シート!BH:CE,J172,FALSE),0)</f>
        <v>386</v>
      </c>
      <c r="I172" s="17">
        <f>ROUND(VLOOKUP(H$163&amp;"_2",管理者用人口入力シート!BH:CE,J172,FALSE),0)</f>
        <v>391</v>
      </c>
      <c r="J172" s="2">
        <v>11</v>
      </c>
      <c r="N172" s="2" t="s">
        <v>7</v>
      </c>
      <c r="O172" s="17">
        <f>ROUND(VLOOKUP(O$163&amp;"_1",管理者用人口入力シート!CO:DL,Q172,FALSE),0)</f>
        <v>389</v>
      </c>
      <c r="P172" s="17">
        <f>ROUND(VLOOKUP(O$163&amp;"_2",管理者用人口入力シート!CO:DL,Q172,FALSE),0)</f>
        <v>393</v>
      </c>
      <c r="Q172" s="2">
        <v>11</v>
      </c>
    </row>
    <row r="173" spans="7:17" x14ac:dyDescent="0.15">
      <c r="G173" s="2" t="s">
        <v>8</v>
      </c>
      <c r="H173" s="17">
        <f>ROUND(VLOOKUP(H$163&amp;"_1",管理者用人口入力シート!BH:CE,J173,FALSE),0)</f>
        <v>380</v>
      </c>
      <c r="I173" s="17">
        <f>ROUND(VLOOKUP(H$163&amp;"_2",管理者用人口入力シート!BH:CE,J173,FALSE),0)</f>
        <v>376</v>
      </c>
      <c r="J173" s="2">
        <v>12</v>
      </c>
      <c r="N173" s="2" t="s">
        <v>8</v>
      </c>
      <c r="O173" s="17">
        <f>ROUND(VLOOKUP(O$163&amp;"_1",管理者用人口入力シート!CO:DL,Q173,FALSE),0)</f>
        <v>382</v>
      </c>
      <c r="P173" s="17">
        <f>ROUND(VLOOKUP(O$163&amp;"_2",管理者用人口入力シート!CO:DL,Q173,FALSE),0)</f>
        <v>380</v>
      </c>
      <c r="Q173" s="2">
        <v>12</v>
      </c>
    </row>
    <row r="174" spans="7:17" x14ac:dyDescent="0.15">
      <c r="G174" s="2" t="s">
        <v>9</v>
      </c>
      <c r="H174" s="17">
        <f>ROUND(VLOOKUP(H$163&amp;"_1",管理者用人口入力シート!BH:CE,J174,FALSE),0)</f>
        <v>372</v>
      </c>
      <c r="I174" s="17">
        <f>ROUND(VLOOKUP(H$163&amp;"_2",管理者用人口入力シート!BH:CE,J174,FALSE),0)</f>
        <v>326</v>
      </c>
      <c r="J174" s="2">
        <v>13</v>
      </c>
      <c r="N174" s="2" t="s">
        <v>9</v>
      </c>
      <c r="O174" s="17">
        <f>ROUND(VLOOKUP(O$163&amp;"_1",管理者用人口入力シート!CO:DL,Q174,FALSE),0)</f>
        <v>375</v>
      </c>
      <c r="P174" s="17">
        <f>ROUND(VLOOKUP(O$163&amp;"_2",管理者用人口入力シート!CO:DL,Q174,FALSE),0)</f>
        <v>329</v>
      </c>
      <c r="Q174" s="2">
        <v>13</v>
      </c>
    </row>
    <row r="175" spans="7:17" x14ac:dyDescent="0.15">
      <c r="G175" s="2" t="s">
        <v>10</v>
      </c>
      <c r="H175" s="17">
        <f>ROUND(VLOOKUP(H$163&amp;"_1",管理者用人口入力シート!BH:CE,J175,FALSE),0)</f>
        <v>371</v>
      </c>
      <c r="I175" s="17">
        <f>ROUND(VLOOKUP(H$163&amp;"_2",管理者用人口入力シート!BH:CE,J175,FALSE),0)</f>
        <v>312</v>
      </c>
      <c r="J175" s="2">
        <v>14</v>
      </c>
      <c r="N175" s="2" t="s">
        <v>10</v>
      </c>
      <c r="O175" s="17">
        <f>ROUND(VLOOKUP(O$163&amp;"_1",管理者用人口入力シート!CO:DL,Q175,FALSE),0)</f>
        <v>371</v>
      </c>
      <c r="P175" s="17">
        <f>ROUND(VLOOKUP(O$163&amp;"_2",管理者用人口入力シート!CO:DL,Q175,FALSE),0)</f>
        <v>313</v>
      </c>
      <c r="Q175" s="2">
        <v>14</v>
      </c>
    </row>
    <row r="176" spans="7:17" x14ac:dyDescent="0.15">
      <c r="G176" s="2" t="s">
        <v>11</v>
      </c>
      <c r="H176" s="17">
        <f>ROUND(VLOOKUP(H$163&amp;"_1",管理者用人口入力シート!BH:CE,J176,FALSE),0)</f>
        <v>396</v>
      </c>
      <c r="I176" s="17">
        <f>ROUND(VLOOKUP(H$163&amp;"_2",管理者用人口入力シート!BH:CE,J176,FALSE),0)</f>
        <v>424</v>
      </c>
      <c r="J176" s="2">
        <v>15</v>
      </c>
      <c r="N176" s="2" t="s">
        <v>11</v>
      </c>
      <c r="O176" s="17">
        <f>ROUND(VLOOKUP(O$163&amp;"_1",管理者用人口入力シート!CO:DL,Q176,FALSE),0)</f>
        <v>396</v>
      </c>
      <c r="P176" s="17">
        <f>ROUND(VLOOKUP(O$163&amp;"_2",管理者用人口入力シート!CO:DL,Q176,FALSE),0)</f>
        <v>425</v>
      </c>
      <c r="Q176" s="2">
        <v>15</v>
      </c>
    </row>
    <row r="177" spans="7:17" x14ac:dyDescent="0.15">
      <c r="G177" s="2" t="s">
        <v>12</v>
      </c>
      <c r="H177" s="17">
        <f>ROUND(VLOOKUP(H$163&amp;"_1",管理者用人口入力シート!BH:CE,J177,FALSE),0)</f>
        <v>425</v>
      </c>
      <c r="I177" s="17">
        <f>ROUND(VLOOKUP(H$163&amp;"_2",管理者用人口入力シート!BH:CE,J177,FALSE),0)</f>
        <v>464</v>
      </c>
      <c r="J177" s="2">
        <v>16</v>
      </c>
      <c r="N177" s="2" t="s">
        <v>12</v>
      </c>
      <c r="O177" s="17">
        <f>ROUND(VLOOKUP(O$163&amp;"_1",管理者用人口入力シート!CO:DL,Q177,FALSE),0)</f>
        <v>425</v>
      </c>
      <c r="P177" s="17">
        <f>ROUND(VLOOKUP(O$163&amp;"_2",管理者用人口入力シート!CO:DL,Q177,FALSE),0)</f>
        <v>465</v>
      </c>
      <c r="Q177" s="2">
        <v>16</v>
      </c>
    </row>
    <row r="178" spans="7:17" x14ac:dyDescent="0.15">
      <c r="G178" s="2" t="s">
        <v>13</v>
      </c>
      <c r="H178" s="17">
        <f>ROUND(VLOOKUP(H$163&amp;"_1",管理者用人口入力シート!BH:CE,J178,FALSE),0)</f>
        <v>535</v>
      </c>
      <c r="I178" s="17">
        <f>ROUND(VLOOKUP(H$163&amp;"_2",管理者用人口入力シート!BH:CE,J178,FALSE),0)</f>
        <v>521</v>
      </c>
      <c r="J178" s="2">
        <v>17</v>
      </c>
      <c r="N178" s="2" t="s">
        <v>13</v>
      </c>
      <c r="O178" s="17">
        <f>ROUND(VLOOKUP(O$163&amp;"_1",管理者用人口入力シート!CO:DL,Q178,FALSE),0)</f>
        <v>535</v>
      </c>
      <c r="P178" s="17">
        <f>ROUND(VLOOKUP(O$163&amp;"_2",管理者用人口入力シート!CO:DL,Q178,FALSE),0)</f>
        <v>521</v>
      </c>
      <c r="Q178" s="2">
        <v>17</v>
      </c>
    </row>
    <row r="179" spans="7:17" x14ac:dyDescent="0.15">
      <c r="G179" s="2" t="s">
        <v>14</v>
      </c>
      <c r="H179" s="17">
        <f>ROUND(VLOOKUP(H$163&amp;"_1",管理者用人口入力シート!BH:CE,J179,FALSE),0)</f>
        <v>372</v>
      </c>
      <c r="I179" s="17">
        <f>ROUND(VLOOKUP(H$163&amp;"_2",管理者用人口入力シート!BH:CE,J179,FALSE),0)</f>
        <v>453</v>
      </c>
      <c r="J179" s="2">
        <v>18</v>
      </c>
      <c r="N179" s="2" t="s">
        <v>14</v>
      </c>
      <c r="O179" s="17">
        <f>ROUND(VLOOKUP(O$163&amp;"_1",管理者用人口入力シート!CO:DL,Q179,FALSE),0)</f>
        <v>372</v>
      </c>
      <c r="P179" s="17">
        <f>ROUND(VLOOKUP(O$163&amp;"_2",管理者用人口入力シート!CO:DL,Q179,FALSE),0)</f>
        <v>453</v>
      </c>
      <c r="Q179" s="2">
        <v>18</v>
      </c>
    </row>
    <row r="180" spans="7:17" x14ac:dyDescent="0.15">
      <c r="G180" s="2" t="s">
        <v>15</v>
      </c>
      <c r="H180" s="17">
        <f>ROUND(VLOOKUP(H$163&amp;"_1",管理者用人口入力シート!BH:CE,J180,FALSE),0)</f>
        <v>309</v>
      </c>
      <c r="I180" s="17">
        <f>ROUND(VLOOKUP(H$163&amp;"_2",管理者用人口入力シート!BH:CE,J180,FALSE),0)</f>
        <v>424</v>
      </c>
      <c r="J180" s="2">
        <v>19</v>
      </c>
      <c r="N180" s="2" t="s">
        <v>15</v>
      </c>
      <c r="O180" s="17">
        <f>ROUND(VLOOKUP(O$163&amp;"_1",管理者用人口入力シート!CO:DL,Q180,FALSE),0)</f>
        <v>309</v>
      </c>
      <c r="P180" s="17">
        <f>ROUND(VLOOKUP(O$163&amp;"_2",管理者用人口入力シート!CO:DL,Q180,FALSE),0)</f>
        <v>424</v>
      </c>
      <c r="Q180" s="2">
        <v>19</v>
      </c>
    </row>
    <row r="181" spans="7:17" x14ac:dyDescent="0.15">
      <c r="G181" s="2" t="s">
        <v>16</v>
      </c>
      <c r="H181" s="17">
        <f>ROUND(VLOOKUP(H$163&amp;"_1",管理者用人口入力シート!BH:CE,J181,FALSE),0)</f>
        <v>257</v>
      </c>
      <c r="I181" s="17">
        <f>ROUND(VLOOKUP(H$163&amp;"_2",管理者用人口入力シート!BH:CE,J181,FALSE),0)</f>
        <v>411</v>
      </c>
      <c r="J181" s="2">
        <v>20</v>
      </c>
      <c r="N181" s="2" t="s">
        <v>16</v>
      </c>
      <c r="O181" s="17">
        <f>ROUND(VLOOKUP(O$163&amp;"_1",管理者用人口入力シート!CO:DL,Q181,FALSE),0)</f>
        <v>257</v>
      </c>
      <c r="P181" s="17">
        <f>ROUND(VLOOKUP(O$163&amp;"_2",管理者用人口入力シート!CO:DL,Q181,FALSE),0)</f>
        <v>411</v>
      </c>
      <c r="Q181" s="2">
        <v>20</v>
      </c>
    </row>
    <row r="182" spans="7:17" x14ac:dyDescent="0.15">
      <c r="G182" s="2" t="s">
        <v>17</v>
      </c>
      <c r="H182" s="17">
        <f>ROUND(VLOOKUP(H$163&amp;"_1",管理者用人口入力シート!BH:CE,J182,FALSE),0)</f>
        <v>201</v>
      </c>
      <c r="I182" s="17">
        <f>ROUND(VLOOKUP(H$163&amp;"_2",管理者用人口入力シート!BH:CE,J182,FALSE),0)</f>
        <v>377</v>
      </c>
      <c r="J182" s="2">
        <v>21</v>
      </c>
      <c r="N182" s="2" t="s">
        <v>17</v>
      </c>
      <c r="O182" s="17">
        <f>ROUND(VLOOKUP(O$163&amp;"_1",管理者用人口入力シート!CO:DL,Q182,FALSE),0)</f>
        <v>201</v>
      </c>
      <c r="P182" s="17">
        <f>ROUND(VLOOKUP(O$163&amp;"_2",管理者用人口入力シート!CO:DL,Q182,FALSE),0)</f>
        <v>377</v>
      </c>
      <c r="Q182" s="2">
        <v>21</v>
      </c>
    </row>
    <row r="183" spans="7:17" x14ac:dyDescent="0.15">
      <c r="G183" s="2" t="s">
        <v>18</v>
      </c>
      <c r="H183" s="17">
        <f>ROUND(VLOOKUP(H$163&amp;"_1",管理者用人口入力シート!BH:CE,J183,FALSE),0)</f>
        <v>87</v>
      </c>
      <c r="I183" s="17">
        <f>ROUND(VLOOKUP(H$163&amp;"_2",管理者用人口入力シート!BH:CE,J183,FALSE),0)</f>
        <v>297</v>
      </c>
      <c r="J183" s="2">
        <v>22</v>
      </c>
      <c r="N183" s="2" t="s">
        <v>18</v>
      </c>
      <c r="O183" s="17">
        <f>ROUND(VLOOKUP(O$163&amp;"_1",管理者用人口入力シート!CO:DL,Q183,FALSE),0)</f>
        <v>87</v>
      </c>
      <c r="P183" s="17">
        <f>ROUND(VLOOKUP(O$163&amp;"_2",管理者用人口入力シート!CO:DL,Q183,FALSE),0)</f>
        <v>297</v>
      </c>
      <c r="Q183" s="2">
        <v>22</v>
      </c>
    </row>
    <row r="184" spans="7:17" x14ac:dyDescent="0.15">
      <c r="G184" s="2" t="s">
        <v>19</v>
      </c>
      <c r="H184" s="17">
        <f>ROUND(VLOOKUP(H$163&amp;"_1",管理者用人口入力シート!BH:CE,J184,FALSE),0)</f>
        <v>35</v>
      </c>
      <c r="I184" s="17">
        <f>ROUND(VLOOKUP(H$163&amp;"_2",管理者用人口入力シート!BH:CE,J184,FALSE),0)</f>
        <v>114</v>
      </c>
      <c r="J184" s="2">
        <v>23</v>
      </c>
      <c r="N184" s="2" t="s">
        <v>19</v>
      </c>
      <c r="O184" s="17">
        <f>ROUND(VLOOKUP(O$163&amp;"_1",管理者用人口入力シート!CO:DL,Q184,FALSE),0)</f>
        <v>35</v>
      </c>
      <c r="P184" s="17">
        <f>ROUND(VLOOKUP(O$163&amp;"_2",管理者用人口入力シート!CO:DL,Q184,FALSE),0)</f>
        <v>114</v>
      </c>
      <c r="Q184" s="2">
        <v>23</v>
      </c>
    </row>
    <row r="185" spans="7:17" x14ac:dyDescent="0.15">
      <c r="G185" s="2" t="s">
        <v>20</v>
      </c>
      <c r="H185" s="17">
        <f>ROUND(VLOOKUP(H$163&amp;"_1",管理者用人口入力シート!BH:CE,J185,FALSE),0)</f>
        <v>5</v>
      </c>
      <c r="I185" s="17">
        <f>ROUND(VLOOKUP(H$163&amp;"_2",管理者用人口入力シート!BH:CE,J185,FALSE),0)</f>
        <v>12</v>
      </c>
      <c r="J185" s="2">
        <v>24</v>
      </c>
      <c r="N185" s="2" t="s">
        <v>20</v>
      </c>
      <c r="O185" s="17">
        <f>ROUND(VLOOKUP(O$163&amp;"_1",管理者用人口入力シート!CO:DL,Q185,FALSE),0)</f>
        <v>5</v>
      </c>
      <c r="P185" s="17">
        <f>ROUND(VLOOKUP(O$163&amp;"_2",管理者用人口入力シート!CO:DL,Q185,FALSE),0)</f>
        <v>12</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316</v>
      </c>
      <c r="I189" s="17">
        <f>ROUND(VLOOKUP(H$187&amp;"_2",管理者用人口入力シート!BH:CE,J189,FALSE),0)</f>
        <v>274</v>
      </c>
      <c r="J189" s="2">
        <v>4</v>
      </c>
      <c r="N189" s="2" t="s">
        <v>0</v>
      </c>
      <c r="O189" s="17">
        <f>ROUND(VLOOKUP(O$187&amp;"_1",管理者用人口入力シート!CO:DL,Q189,FALSE),0)</f>
        <v>321</v>
      </c>
      <c r="P189" s="17">
        <f>ROUND(VLOOKUP(O$187&amp;"_2",管理者用人口入力シート!CO:DL,Q189,FALSE),0)</f>
        <v>277</v>
      </c>
      <c r="Q189" s="2">
        <v>4</v>
      </c>
    </row>
    <row r="190" spans="7:17" x14ac:dyDescent="0.15">
      <c r="G190" s="2" t="s">
        <v>1</v>
      </c>
      <c r="H190" s="17">
        <f>ROUND(VLOOKUP(H$187&amp;"_1",管理者用人口入力シート!BH:CE,J190,FALSE),0)</f>
        <v>399</v>
      </c>
      <c r="I190" s="17">
        <f>ROUND(VLOOKUP(H$187&amp;"_2",管理者用人口入力シート!BH:CE,J190,FALSE),0)</f>
        <v>322</v>
      </c>
      <c r="J190" s="2">
        <v>5</v>
      </c>
      <c r="N190" s="2" t="s">
        <v>1</v>
      </c>
      <c r="O190" s="17">
        <f>ROUND(VLOOKUP(O$187&amp;"_1",管理者用人口入力シート!CO:DL,Q190,FALSE),0)</f>
        <v>403</v>
      </c>
      <c r="P190" s="17">
        <f>ROUND(VLOOKUP(O$187&amp;"_2",管理者用人口入力シート!CO:DL,Q190,FALSE),0)</f>
        <v>325</v>
      </c>
      <c r="Q190" s="2">
        <v>5</v>
      </c>
    </row>
    <row r="191" spans="7:17" x14ac:dyDescent="0.15">
      <c r="G191" s="2" t="s">
        <v>2</v>
      </c>
      <c r="H191" s="17">
        <f>ROUND(VLOOKUP(H$187&amp;"_1",管理者用人口入力シート!BH:CE,J191,FALSE),0)</f>
        <v>471</v>
      </c>
      <c r="I191" s="17">
        <f>ROUND(VLOOKUP(H$187&amp;"_2",管理者用人口入力シート!BH:CE,J191,FALSE),0)</f>
        <v>368</v>
      </c>
      <c r="J191" s="2">
        <v>6</v>
      </c>
      <c r="N191" s="2" t="s">
        <v>2</v>
      </c>
      <c r="O191" s="17">
        <f>ROUND(VLOOKUP(O$187&amp;"_1",管理者用人口入力シート!CO:DL,Q191,FALSE),0)</f>
        <v>476</v>
      </c>
      <c r="P191" s="17">
        <f>ROUND(VLOOKUP(O$187&amp;"_2",管理者用人口入力シート!CO:DL,Q191,FALSE),0)</f>
        <v>372</v>
      </c>
      <c r="Q191" s="2">
        <v>6</v>
      </c>
    </row>
    <row r="192" spans="7:17" x14ac:dyDescent="0.15">
      <c r="G192" s="2" t="s">
        <v>3</v>
      </c>
      <c r="H192" s="17">
        <f>ROUND(VLOOKUP(H$187&amp;"_1",管理者用人口入力シート!BH:CE,J192,FALSE),0)</f>
        <v>454</v>
      </c>
      <c r="I192" s="17">
        <f>ROUND(VLOOKUP(H$187&amp;"_2",管理者用人口入力シート!BH:CE,J192,FALSE),0)</f>
        <v>334</v>
      </c>
      <c r="J192" s="2">
        <v>7</v>
      </c>
      <c r="N192" s="2" t="s">
        <v>3</v>
      </c>
      <c r="O192" s="17">
        <f>ROUND(VLOOKUP(O$187&amp;"_1",管理者用人口入力シート!CO:DL,Q192,FALSE),0)</f>
        <v>459</v>
      </c>
      <c r="P192" s="17">
        <f>ROUND(VLOOKUP(O$187&amp;"_2",管理者用人口入力シート!CO:DL,Q192,FALSE),0)</f>
        <v>337</v>
      </c>
      <c r="Q192" s="2">
        <v>7</v>
      </c>
    </row>
    <row r="193" spans="7:17" x14ac:dyDescent="0.15">
      <c r="G193" s="2" t="s">
        <v>4</v>
      </c>
      <c r="H193" s="17">
        <f>ROUND(VLOOKUP(H$187&amp;"_1",管理者用人口入力シート!BH:CE,J193,FALSE),0)</f>
        <v>216</v>
      </c>
      <c r="I193" s="17">
        <f>ROUND(VLOOKUP(H$187&amp;"_2",管理者用人口入力シート!BH:CE,J193,FALSE),0)</f>
        <v>198</v>
      </c>
      <c r="J193" s="2">
        <v>8</v>
      </c>
      <c r="N193" s="2" t="s">
        <v>4</v>
      </c>
      <c r="O193" s="17">
        <f>ROUND(VLOOKUP(O$187&amp;"_1",管理者用人口入力シート!CO:DL,Q193,FALSE),0)</f>
        <v>218</v>
      </c>
      <c r="P193" s="17">
        <f>ROUND(VLOOKUP(O$187&amp;"_2",管理者用人口入力シート!CO:DL,Q193,FALSE),0)</f>
        <v>200</v>
      </c>
      <c r="Q193" s="2">
        <v>8</v>
      </c>
    </row>
    <row r="194" spans="7:17" x14ac:dyDescent="0.15">
      <c r="G194" s="2" t="s">
        <v>5</v>
      </c>
      <c r="H194" s="17">
        <f>ROUND(VLOOKUP(H$187&amp;"_1",管理者用人口入力シート!BH:CE,J194,FALSE),0)</f>
        <v>274</v>
      </c>
      <c r="I194" s="17">
        <f>ROUND(VLOOKUP(H$187&amp;"_2",管理者用人口入力シート!BH:CE,J194,FALSE),0)</f>
        <v>239</v>
      </c>
      <c r="J194" s="2">
        <v>9</v>
      </c>
      <c r="N194" s="2" t="s">
        <v>5</v>
      </c>
      <c r="O194" s="17">
        <f>ROUND(VLOOKUP(O$187&amp;"_1",管理者用人口入力シート!CO:DL,Q194,FALSE),0)</f>
        <v>278</v>
      </c>
      <c r="P194" s="17">
        <f>ROUND(VLOOKUP(O$187&amp;"_2",管理者用人口入力シート!CO:DL,Q194,FALSE),0)</f>
        <v>242</v>
      </c>
      <c r="Q194" s="2">
        <v>9</v>
      </c>
    </row>
    <row r="195" spans="7:17" x14ac:dyDescent="0.15">
      <c r="G195" s="2" t="s">
        <v>6</v>
      </c>
      <c r="H195" s="17">
        <f>ROUND(VLOOKUP(H$187&amp;"_1",管理者用人口入力シート!BH:CE,J195,FALSE),0)</f>
        <v>342</v>
      </c>
      <c r="I195" s="17">
        <f>ROUND(VLOOKUP(H$187&amp;"_2",管理者用人口入力シート!BH:CE,J195,FALSE),0)</f>
        <v>295</v>
      </c>
      <c r="J195" s="2">
        <v>10</v>
      </c>
      <c r="N195" s="2" t="s">
        <v>6</v>
      </c>
      <c r="O195" s="17">
        <f>ROUND(VLOOKUP(O$187&amp;"_1",管理者用人口入力シート!CO:DL,Q195,FALSE),0)</f>
        <v>345</v>
      </c>
      <c r="P195" s="17">
        <f>ROUND(VLOOKUP(O$187&amp;"_2",管理者用人口入力シート!CO:DL,Q195,FALSE),0)</f>
        <v>298</v>
      </c>
      <c r="Q195" s="2">
        <v>10</v>
      </c>
    </row>
    <row r="196" spans="7:17" x14ac:dyDescent="0.15">
      <c r="G196" s="2" t="s">
        <v>7</v>
      </c>
      <c r="H196" s="17">
        <f>ROUND(VLOOKUP(H$187&amp;"_1",管理者用人口入力シート!BH:CE,J196,FALSE),0)</f>
        <v>415</v>
      </c>
      <c r="I196" s="17">
        <f>ROUND(VLOOKUP(H$187&amp;"_2",管理者用人口入力シート!BH:CE,J196,FALSE),0)</f>
        <v>377</v>
      </c>
      <c r="J196" s="2">
        <v>11</v>
      </c>
      <c r="N196" s="2" t="s">
        <v>7</v>
      </c>
      <c r="O196" s="17">
        <f>ROUND(VLOOKUP(O$187&amp;"_1",管理者用人口入力シート!CO:DL,Q196,FALSE),0)</f>
        <v>418</v>
      </c>
      <c r="P196" s="17">
        <f>ROUND(VLOOKUP(O$187&amp;"_2",管理者用人口入力シート!CO:DL,Q196,FALSE),0)</f>
        <v>381</v>
      </c>
      <c r="Q196" s="2">
        <v>11</v>
      </c>
    </row>
    <row r="197" spans="7:17" x14ac:dyDescent="0.15">
      <c r="G197" s="2" t="s">
        <v>8</v>
      </c>
      <c r="H197" s="17">
        <f>ROUND(VLOOKUP(H$187&amp;"_1",管理者用人口入力シート!BH:CE,J197,FALSE),0)</f>
        <v>412</v>
      </c>
      <c r="I197" s="17">
        <f>ROUND(VLOOKUP(H$187&amp;"_2",管理者用人口入力シート!BH:CE,J197,FALSE),0)</f>
        <v>407</v>
      </c>
      <c r="J197" s="2">
        <v>12</v>
      </c>
      <c r="N197" s="2" t="s">
        <v>8</v>
      </c>
      <c r="O197" s="17">
        <f>ROUND(VLOOKUP(O$187&amp;"_1",管理者用人口入力シート!CO:DL,Q197,FALSE),0)</f>
        <v>415</v>
      </c>
      <c r="P197" s="17">
        <f>ROUND(VLOOKUP(O$187&amp;"_2",管理者用人口入力シート!CO:DL,Q197,FALSE),0)</f>
        <v>410</v>
      </c>
      <c r="Q197" s="2">
        <v>12</v>
      </c>
    </row>
    <row r="198" spans="7:17" x14ac:dyDescent="0.15">
      <c r="G198" s="2" t="s">
        <v>9</v>
      </c>
      <c r="H198" s="17">
        <f>ROUND(VLOOKUP(H$187&amp;"_1",管理者用人口入力シート!BH:CE,J198,FALSE),0)</f>
        <v>388</v>
      </c>
      <c r="I198" s="17">
        <f>ROUND(VLOOKUP(H$187&amp;"_2",管理者用人口入力シート!BH:CE,J198,FALSE),0)</f>
        <v>371</v>
      </c>
      <c r="J198" s="2">
        <v>13</v>
      </c>
      <c r="N198" s="2" t="s">
        <v>9</v>
      </c>
      <c r="O198" s="17">
        <f>ROUND(VLOOKUP(O$187&amp;"_1",管理者用人口入力シート!CO:DL,Q198,FALSE),0)</f>
        <v>391</v>
      </c>
      <c r="P198" s="17">
        <f>ROUND(VLOOKUP(O$187&amp;"_2",管理者用人口入力シート!CO:DL,Q198,FALSE),0)</f>
        <v>375</v>
      </c>
      <c r="Q198" s="2">
        <v>13</v>
      </c>
    </row>
    <row r="199" spans="7:17" x14ac:dyDescent="0.15">
      <c r="G199" s="2" t="s">
        <v>10</v>
      </c>
      <c r="H199" s="17">
        <f>ROUND(VLOOKUP(H$187&amp;"_1",管理者用人口入力シート!BH:CE,J199,FALSE),0)</f>
        <v>367</v>
      </c>
      <c r="I199" s="17">
        <f>ROUND(VLOOKUP(H$187&amp;"_2",管理者用人口入力シート!BH:CE,J199,FALSE),0)</f>
        <v>314</v>
      </c>
      <c r="J199" s="2">
        <v>14</v>
      </c>
      <c r="N199" s="2" t="s">
        <v>10</v>
      </c>
      <c r="O199" s="17">
        <f>ROUND(VLOOKUP(O$187&amp;"_1",管理者用人口入力シート!CO:DL,Q199,FALSE),0)</f>
        <v>369</v>
      </c>
      <c r="P199" s="17">
        <f>ROUND(VLOOKUP(O$187&amp;"_2",管理者用人口入力シート!CO:DL,Q199,FALSE),0)</f>
        <v>318</v>
      </c>
      <c r="Q199" s="2">
        <v>14</v>
      </c>
    </row>
    <row r="200" spans="7:17" x14ac:dyDescent="0.15">
      <c r="G200" s="2" t="s">
        <v>11</v>
      </c>
      <c r="H200" s="17">
        <f>ROUND(VLOOKUP(H$187&amp;"_1",管理者用人口入力シート!BH:CE,J200,FALSE),0)</f>
        <v>360</v>
      </c>
      <c r="I200" s="17">
        <f>ROUND(VLOOKUP(H$187&amp;"_2",管理者用人口入力シート!BH:CE,J200,FALSE),0)</f>
        <v>309</v>
      </c>
      <c r="J200" s="2">
        <v>15</v>
      </c>
      <c r="N200" s="2" t="s">
        <v>11</v>
      </c>
      <c r="O200" s="17">
        <f>ROUND(VLOOKUP(O$187&amp;"_1",管理者用人口入力シート!CO:DL,Q200,FALSE),0)</f>
        <v>360</v>
      </c>
      <c r="P200" s="17">
        <f>ROUND(VLOOKUP(O$187&amp;"_2",管理者用人口入力シート!CO:DL,Q200,FALSE),0)</f>
        <v>310</v>
      </c>
      <c r="Q200" s="2">
        <v>15</v>
      </c>
    </row>
    <row r="201" spans="7:17" x14ac:dyDescent="0.15">
      <c r="G201" s="2" t="s">
        <v>12</v>
      </c>
      <c r="H201" s="17">
        <f>ROUND(VLOOKUP(H$187&amp;"_1",管理者用人口入力シート!BH:CE,J201,FALSE),0)</f>
        <v>395</v>
      </c>
      <c r="I201" s="17">
        <f>ROUND(VLOOKUP(H$187&amp;"_2",管理者用人口入力シート!BH:CE,J201,FALSE),0)</f>
        <v>426</v>
      </c>
      <c r="J201" s="2">
        <v>16</v>
      </c>
      <c r="N201" s="2" t="s">
        <v>12</v>
      </c>
      <c r="O201" s="17">
        <f>ROUND(VLOOKUP(O$187&amp;"_1",管理者用人口入力シート!CO:DL,Q201,FALSE),0)</f>
        <v>395</v>
      </c>
      <c r="P201" s="17">
        <f>ROUND(VLOOKUP(O$187&amp;"_2",管理者用人口入力シート!CO:DL,Q201,FALSE),0)</f>
        <v>427</v>
      </c>
      <c r="Q201" s="2">
        <v>16</v>
      </c>
    </row>
    <row r="202" spans="7:17" x14ac:dyDescent="0.15">
      <c r="G202" s="2" t="s">
        <v>13</v>
      </c>
      <c r="H202" s="17">
        <f>ROUND(VLOOKUP(H$187&amp;"_1",管理者用人口入力シート!BH:CE,J202,FALSE),0)</f>
        <v>424</v>
      </c>
      <c r="I202" s="17">
        <f>ROUND(VLOOKUP(H$187&amp;"_2",管理者用人口入力シート!BH:CE,J202,FALSE),0)</f>
        <v>464</v>
      </c>
      <c r="J202" s="2">
        <v>17</v>
      </c>
      <c r="N202" s="2" t="s">
        <v>13</v>
      </c>
      <c r="O202" s="17">
        <f>ROUND(VLOOKUP(O$187&amp;"_1",管理者用人口入力シート!CO:DL,Q202,FALSE),0)</f>
        <v>424</v>
      </c>
      <c r="P202" s="17">
        <f>ROUND(VLOOKUP(O$187&amp;"_2",管理者用人口入力シート!CO:DL,Q202,FALSE),0)</f>
        <v>465</v>
      </c>
      <c r="Q202" s="2">
        <v>17</v>
      </c>
    </row>
    <row r="203" spans="7:17" x14ac:dyDescent="0.15">
      <c r="G203" s="2" t="s">
        <v>14</v>
      </c>
      <c r="H203" s="17">
        <f>ROUND(VLOOKUP(H$187&amp;"_1",管理者用人口入力シート!BH:CE,J203,FALSE),0)</f>
        <v>490</v>
      </c>
      <c r="I203" s="17">
        <f>ROUND(VLOOKUP(H$187&amp;"_2",管理者用人口入力シート!BH:CE,J203,FALSE),0)</f>
        <v>516</v>
      </c>
      <c r="J203" s="2">
        <v>18</v>
      </c>
      <c r="N203" s="2" t="s">
        <v>14</v>
      </c>
      <c r="O203" s="17">
        <f>ROUND(VLOOKUP(O$187&amp;"_1",管理者用人口入力シート!CO:DL,Q203,FALSE),0)</f>
        <v>490</v>
      </c>
      <c r="P203" s="17">
        <f>ROUND(VLOOKUP(O$187&amp;"_2",管理者用人口入力シート!CO:DL,Q203,FALSE),0)</f>
        <v>516</v>
      </c>
      <c r="Q203" s="2">
        <v>18</v>
      </c>
    </row>
    <row r="204" spans="7:17" x14ac:dyDescent="0.15">
      <c r="G204" s="2" t="s">
        <v>15</v>
      </c>
      <c r="H204" s="17">
        <f>ROUND(VLOOKUP(H$187&amp;"_1",管理者用人口入力シート!BH:CE,J204,FALSE),0)</f>
        <v>321</v>
      </c>
      <c r="I204" s="17">
        <f>ROUND(VLOOKUP(H$187&amp;"_2",管理者用人口入力シート!BH:CE,J204,FALSE),0)</f>
        <v>434</v>
      </c>
      <c r="J204" s="2">
        <v>19</v>
      </c>
      <c r="N204" s="2" t="s">
        <v>15</v>
      </c>
      <c r="O204" s="17">
        <f>ROUND(VLOOKUP(O$187&amp;"_1",管理者用人口入力シート!CO:DL,Q204,FALSE),0)</f>
        <v>321</v>
      </c>
      <c r="P204" s="17">
        <f>ROUND(VLOOKUP(O$187&amp;"_2",管理者用人口入力シート!CO:DL,Q204,FALSE),0)</f>
        <v>434</v>
      </c>
      <c r="Q204" s="2">
        <v>19</v>
      </c>
    </row>
    <row r="205" spans="7:17" x14ac:dyDescent="0.15">
      <c r="G205" s="2" t="s">
        <v>16</v>
      </c>
      <c r="H205" s="17">
        <f>ROUND(VLOOKUP(H$187&amp;"_1",管理者用人口入力シート!BH:CE,J205,FALSE),0)</f>
        <v>253</v>
      </c>
      <c r="I205" s="17">
        <f>ROUND(VLOOKUP(H$187&amp;"_2",管理者用人口入力シート!BH:CE,J205,FALSE),0)</f>
        <v>397</v>
      </c>
      <c r="J205" s="2">
        <v>20</v>
      </c>
      <c r="N205" s="2" t="s">
        <v>16</v>
      </c>
      <c r="O205" s="17">
        <f>ROUND(VLOOKUP(O$187&amp;"_1",管理者用人口入力シート!CO:DL,Q205,FALSE),0)</f>
        <v>253</v>
      </c>
      <c r="P205" s="17">
        <f>ROUND(VLOOKUP(O$187&amp;"_2",管理者用人口入力シート!CO:DL,Q205,FALSE),0)</f>
        <v>397</v>
      </c>
      <c r="Q205" s="2">
        <v>20</v>
      </c>
    </row>
    <row r="206" spans="7:17" x14ac:dyDescent="0.15">
      <c r="G206" s="2" t="s">
        <v>17</v>
      </c>
      <c r="H206" s="17">
        <f>ROUND(VLOOKUP(H$187&amp;"_1",管理者用人口入力シート!BH:CE,J206,FALSE),0)</f>
        <v>173</v>
      </c>
      <c r="I206" s="17">
        <f>ROUND(VLOOKUP(H$187&amp;"_2",管理者用人口入力シート!BH:CE,J206,FALSE),0)</f>
        <v>354</v>
      </c>
      <c r="J206" s="2">
        <v>21</v>
      </c>
      <c r="N206" s="2" t="s">
        <v>17</v>
      </c>
      <c r="O206" s="17">
        <f>ROUND(VLOOKUP(O$187&amp;"_1",管理者用人口入力シート!CO:DL,Q206,FALSE),0)</f>
        <v>173</v>
      </c>
      <c r="P206" s="17">
        <f>ROUND(VLOOKUP(O$187&amp;"_2",管理者用人口入力シート!CO:DL,Q206,FALSE),0)</f>
        <v>354</v>
      </c>
      <c r="Q206" s="2">
        <v>21</v>
      </c>
    </row>
    <row r="207" spans="7:17" x14ac:dyDescent="0.15">
      <c r="G207" s="2" t="s">
        <v>18</v>
      </c>
      <c r="H207" s="17">
        <f>ROUND(VLOOKUP(H$187&amp;"_1",管理者用人口入力シート!BH:CE,J207,FALSE),0)</f>
        <v>92</v>
      </c>
      <c r="I207" s="17">
        <f>ROUND(VLOOKUP(H$187&amp;"_2",管理者用人口入力シート!BH:CE,J207,FALSE),0)</f>
        <v>271</v>
      </c>
      <c r="J207" s="2">
        <v>22</v>
      </c>
      <c r="N207" s="2" t="s">
        <v>18</v>
      </c>
      <c r="O207" s="17">
        <f>ROUND(VLOOKUP(O$187&amp;"_1",管理者用人口入力シート!CO:DL,Q207,FALSE),0)</f>
        <v>92</v>
      </c>
      <c r="P207" s="17">
        <f>ROUND(VLOOKUP(O$187&amp;"_2",管理者用人口入力シート!CO:DL,Q207,FALSE),0)</f>
        <v>271</v>
      </c>
      <c r="Q207" s="2">
        <v>22</v>
      </c>
    </row>
    <row r="208" spans="7:17" x14ac:dyDescent="0.15">
      <c r="G208" s="2" t="s">
        <v>19</v>
      </c>
      <c r="H208" s="17">
        <f>ROUND(VLOOKUP(H$187&amp;"_1",管理者用人口入力シート!BH:CE,J208,FALSE),0)</f>
        <v>32</v>
      </c>
      <c r="I208" s="17">
        <f>ROUND(VLOOKUP(H$187&amp;"_2",管理者用人口入力シート!BH:CE,J208,FALSE),0)</f>
        <v>133</v>
      </c>
      <c r="J208" s="2">
        <v>23</v>
      </c>
      <c r="N208" s="2" t="s">
        <v>19</v>
      </c>
      <c r="O208" s="17">
        <f>ROUND(VLOOKUP(O$187&amp;"_1",管理者用人口入力シート!CO:DL,Q208,FALSE),0)</f>
        <v>32</v>
      </c>
      <c r="P208" s="17">
        <f>ROUND(VLOOKUP(O$187&amp;"_2",管理者用人口入力シート!CO:DL,Q208,FALSE),0)</f>
        <v>133</v>
      </c>
      <c r="Q208" s="2">
        <v>23</v>
      </c>
    </row>
    <row r="209" spans="7:17" x14ac:dyDescent="0.15">
      <c r="G209" s="2" t="s">
        <v>20</v>
      </c>
      <c r="H209" s="17">
        <f>ROUND(VLOOKUP(H$187&amp;"_1",管理者用人口入力シート!BH:CE,J209,FALSE),0)</f>
        <v>8</v>
      </c>
      <c r="I209" s="17">
        <f>ROUND(VLOOKUP(H$187&amp;"_2",管理者用人口入力シート!BH:CE,J209,FALSE),0)</f>
        <v>16</v>
      </c>
      <c r="J209" s="2">
        <v>24</v>
      </c>
      <c r="N209" s="2" t="s">
        <v>20</v>
      </c>
      <c r="O209" s="17">
        <f>ROUND(VLOOKUP(O$187&amp;"_1",管理者用人口入力シート!CO:DL,Q209,FALSE),0)</f>
        <v>8</v>
      </c>
      <c r="P209" s="17">
        <f>ROUND(VLOOKUP(O$187&amp;"_2",管理者用人口入力シート!CO:DL,Q209,FALSE),0)</f>
        <v>16</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630</v>
      </c>
      <c r="P214" s="17">
        <f>O93+P93</f>
        <v>634</v>
      </c>
      <c r="Q214" s="2">
        <v>4</v>
      </c>
    </row>
    <row r="215" spans="7:17" x14ac:dyDescent="0.15">
      <c r="N215" s="2" t="s">
        <v>1</v>
      </c>
      <c r="O215" s="17">
        <f t="shared" ref="O215:O233" si="37">H94+I94</f>
        <v>740</v>
      </c>
      <c r="P215" s="17">
        <f t="shared" ref="P215:P233" si="38">O94+P94</f>
        <v>742</v>
      </c>
      <c r="Q215" s="2">
        <v>5</v>
      </c>
    </row>
    <row r="216" spans="7:17" x14ac:dyDescent="0.15">
      <c r="N216" s="2" t="s">
        <v>2</v>
      </c>
      <c r="O216" s="17">
        <f t="shared" si="37"/>
        <v>902</v>
      </c>
      <c r="P216" s="17">
        <f t="shared" si="38"/>
        <v>904</v>
      </c>
      <c r="Q216" s="2">
        <v>6</v>
      </c>
    </row>
    <row r="217" spans="7:17" x14ac:dyDescent="0.15">
      <c r="N217" s="2" t="s">
        <v>3</v>
      </c>
      <c r="O217" s="17">
        <f t="shared" si="37"/>
        <v>959</v>
      </c>
      <c r="P217" s="17">
        <f t="shared" si="38"/>
        <v>961</v>
      </c>
      <c r="Q217" s="2">
        <v>7</v>
      </c>
    </row>
    <row r="218" spans="7:17" x14ac:dyDescent="0.15">
      <c r="N218" s="2" t="s">
        <v>4</v>
      </c>
      <c r="O218" s="17">
        <f t="shared" si="37"/>
        <v>524</v>
      </c>
      <c r="P218" s="17">
        <f t="shared" si="38"/>
        <v>524</v>
      </c>
      <c r="Q218" s="2">
        <v>8</v>
      </c>
    </row>
    <row r="219" spans="7:17" x14ac:dyDescent="0.15">
      <c r="N219" s="2" t="s">
        <v>5</v>
      </c>
      <c r="O219" s="17">
        <f t="shared" si="37"/>
        <v>570</v>
      </c>
      <c r="P219" s="17">
        <f t="shared" si="38"/>
        <v>574</v>
      </c>
      <c r="Q219" s="2">
        <v>9</v>
      </c>
    </row>
    <row r="220" spans="7:17" x14ac:dyDescent="0.15">
      <c r="N220" s="2" t="s">
        <v>6</v>
      </c>
      <c r="O220" s="17">
        <f t="shared" si="37"/>
        <v>594</v>
      </c>
      <c r="P220" s="17">
        <f t="shared" si="38"/>
        <v>599</v>
      </c>
      <c r="Q220" s="2">
        <v>10</v>
      </c>
    </row>
    <row r="221" spans="7:17" x14ac:dyDescent="0.15">
      <c r="N221" s="2" t="s">
        <v>7</v>
      </c>
      <c r="O221" s="17">
        <f t="shared" si="37"/>
        <v>661</v>
      </c>
      <c r="P221" s="17">
        <f t="shared" si="38"/>
        <v>661</v>
      </c>
      <c r="Q221" s="2">
        <v>11</v>
      </c>
    </row>
    <row r="222" spans="7:17" x14ac:dyDescent="0.15">
      <c r="N222" s="2" t="s">
        <v>8</v>
      </c>
      <c r="O222" s="17">
        <f t="shared" si="37"/>
        <v>856</v>
      </c>
      <c r="P222" s="17">
        <f t="shared" si="38"/>
        <v>857</v>
      </c>
      <c r="Q222" s="2">
        <v>12</v>
      </c>
    </row>
    <row r="223" spans="7:17" x14ac:dyDescent="0.15">
      <c r="N223" s="2" t="s">
        <v>9</v>
      </c>
      <c r="O223" s="17">
        <f t="shared" si="37"/>
        <v>930</v>
      </c>
      <c r="P223" s="17">
        <f t="shared" si="38"/>
        <v>931</v>
      </c>
      <c r="Q223" s="2">
        <v>13</v>
      </c>
    </row>
    <row r="224" spans="7:17" x14ac:dyDescent="0.15">
      <c r="N224" s="2" t="s">
        <v>10</v>
      </c>
      <c r="O224" s="17">
        <f t="shared" si="37"/>
        <v>1078</v>
      </c>
      <c r="P224" s="17">
        <f t="shared" si="38"/>
        <v>1078</v>
      </c>
      <c r="Q224" s="2">
        <v>14</v>
      </c>
    </row>
    <row r="225" spans="14:17" x14ac:dyDescent="0.15">
      <c r="N225" s="2" t="s">
        <v>11</v>
      </c>
      <c r="O225" s="17">
        <f t="shared" si="37"/>
        <v>863</v>
      </c>
      <c r="P225" s="17">
        <f t="shared" si="38"/>
        <v>863</v>
      </c>
      <c r="Q225" s="2">
        <v>15</v>
      </c>
    </row>
    <row r="226" spans="14:17" x14ac:dyDescent="0.15">
      <c r="N226" s="2" t="s">
        <v>12</v>
      </c>
      <c r="O226" s="17">
        <f t="shared" si="37"/>
        <v>839</v>
      </c>
      <c r="P226" s="17">
        <f t="shared" si="38"/>
        <v>839</v>
      </c>
      <c r="Q226" s="2">
        <v>16</v>
      </c>
    </row>
    <row r="227" spans="14:17" x14ac:dyDescent="0.15">
      <c r="N227" s="2" t="s">
        <v>13</v>
      </c>
      <c r="O227" s="17">
        <f t="shared" si="37"/>
        <v>859</v>
      </c>
      <c r="P227" s="17">
        <f t="shared" si="38"/>
        <v>859</v>
      </c>
      <c r="Q227" s="2">
        <v>17</v>
      </c>
    </row>
    <row r="228" spans="14:17" x14ac:dyDescent="0.15">
      <c r="N228" s="2" t="s">
        <v>14</v>
      </c>
      <c r="O228" s="17">
        <f t="shared" si="37"/>
        <v>908</v>
      </c>
      <c r="P228" s="17">
        <f t="shared" si="38"/>
        <v>908</v>
      </c>
      <c r="Q228" s="2">
        <v>18</v>
      </c>
    </row>
    <row r="229" spans="14:17" x14ac:dyDescent="0.15">
      <c r="N229" s="2" t="s">
        <v>15</v>
      </c>
      <c r="O229" s="17">
        <f t="shared" si="37"/>
        <v>855</v>
      </c>
      <c r="P229" s="17">
        <f t="shared" si="38"/>
        <v>855</v>
      </c>
      <c r="Q229" s="2">
        <v>19</v>
      </c>
    </row>
    <row r="230" spans="14:17" x14ac:dyDescent="0.15">
      <c r="N230" s="2" t="s">
        <v>16</v>
      </c>
      <c r="O230" s="17">
        <f t="shared" si="37"/>
        <v>725</v>
      </c>
      <c r="P230" s="17">
        <f t="shared" si="38"/>
        <v>725</v>
      </c>
      <c r="Q230" s="2">
        <v>20</v>
      </c>
    </row>
    <row r="231" spans="14:17" x14ac:dyDescent="0.15">
      <c r="N231" s="2" t="s">
        <v>17</v>
      </c>
      <c r="O231" s="17">
        <f t="shared" si="37"/>
        <v>394</v>
      </c>
      <c r="P231" s="17">
        <f t="shared" si="38"/>
        <v>394</v>
      </c>
      <c r="Q231" s="2">
        <v>21</v>
      </c>
    </row>
    <row r="232" spans="14:17" x14ac:dyDescent="0.15">
      <c r="N232" s="2" t="s">
        <v>18</v>
      </c>
      <c r="O232" s="17">
        <f t="shared" si="37"/>
        <v>223</v>
      </c>
      <c r="P232" s="17">
        <f t="shared" si="38"/>
        <v>223</v>
      </c>
      <c r="Q232" s="2">
        <v>22</v>
      </c>
    </row>
    <row r="233" spans="14:17" x14ac:dyDescent="0.15">
      <c r="N233" s="2" t="s">
        <v>19</v>
      </c>
      <c r="O233" s="17">
        <f t="shared" si="37"/>
        <v>107</v>
      </c>
      <c r="P233" s="17">
        <f t="shared" si="38"/>
        <v>107</v>
      </c>
      <c r="Q233" s="2">
        <v>23</v>
      </c>
    </row>
    <row r="234" spans="14:17" x14ac:dyDescent="0.15">
      <c r="N234" s="2" t="s">
        <v>20</v>
      </c>
      <c r="O234" s="17">
        <f>H113+I113</f>
        <v>14</v>
      </c>
      <c r="P234" s="17">
        <f>O113+P113</f>
        <v>14</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670</v>
      </c>
      <c r="P238" s="17">
        <f>O141+P141</f>
        <v>677</v>
      </c>
      <c r="Q238" s="2">
        <v>4</v>
      </c>
    </row>
    <row r="239" spans="14:17" x14ac:dyDescent="0.15">
      <c r="N239" s="2" t="s">
        <v>1</v>
      </c>
      <c r="O239" s="17">
        <f t="shared" ref="O239:O257" si="39">H142+I142</f>
        <v>739</v>
      </c>
      <c r="P239" s="17">
        <f t="shared" ref="P239:P257" si="40">O142+P142</f>
        <v>746</v>
      </c>
      <c r="Q239" s="2">
        <v>5</v>
      </c>
    </row>
    <row r="240" spans="14:17" x14ac:dyDescent="0.15">
      <c r="N240" s="2" t="s">
        <v>2</v>
      </c>
      <c r="O240" s="17">
        <f t="shared" si="39"/>
        <v>787</v>
      </c>
      <c r="P240" s="17">
        <f t="shared" si="40"/>
        <v>795</v>
      </c>
      <c r="Q240" s="2">
        <v>6</v>
      </c>
    </row>
    <row r="241" spans="14:17" x14ac:dyDescent="0.15">
      <c r="N241" s="2" t="s">
        <v>3</v>
      </c>
      <c r="O241" s="17">
        <f t="shared" si="39"/>
        <v>788</v>
      </c>
      <c r="P241" s="17">
        <f t="shared" si="40"/>
        <v>792</v>
      </c>
      <c r="Q241" s="2">
        <v>7</v>
      </c>
    </row>
    <row r="242" spans="14:17" x14ac:dyDescent="0.15">
      <c r="N242" s="2" t="s">
        <v>4</v>
      </c>
      <c r="O242" s="17">
        <f t="shared" si="39"/>
        <v>474</v>
      </c>
      <c r="P242" s="17">
        <f t="shared" si="40"/>
        <v>475</v>
      </c>
      <c r="Q242" s="2">
        <v>8</v>
      </c>
    </row>
    <row r="243" spans="14:17" x14ac:dyDescent="0.15">
      <c r="N243" s="2" t="s">
        <v>5</v>
      </c>
      <c r="O243" s="17">
        <f t="shared" si="39"/>
        <v>628</v>
      </c>
      <c r="P243" s="17">
        <f t="shared" si="40"/>
        <v>633</v>
      </c>
      <c r="Q243" s="2">
        <v>9</v>
      </c>
    </row>
    <row r="244" spans="14:17" x14ac:dyDescent="0.15">
      <c r="N244" s="2" t="s">
        <v>6</v>
      </c>
      <c r="O244" s="17">
        <f t="shared" si="39"/>
        <v>702</v>
      </c>
      <c r="P244" s="17">
        <f t="shared" si="40"/>
        <v>706</v>
      </c>
      <c r="Q244" s="2">
        <v>10</v>
      </c>
    </row>
    <row r="245" spans="14:17" x14ac:dyDescent="0.15">
      <c r="N245" s="2" t="s">
        <v>7</v>
      </c>
      <c r="O245" s="17">
        <f t="shared" si="39"/>
        <v>717</v>
      </c>
      <c r="P245" s="17">
        <f t="shared" si="40"/>
        <v>723</v>
      </c>
      <c r="Q245" s="2">
        <v>11</v>
      </c>
    </row>
    <row r="246" spans="14:17" x14ac:dyDescent="0.15">
      <c r="N246" s="2" t="s">
        <v>8</v>
      </c>
      <c r="O246" s="17">
        <f t="shared" si="39"/>
        <v>694</v>
      </c>
      <c r="P246" s="17">
        <f t="shared" si="40"/>
        <v>701</v>
      </c>
      <c r="Q246" s="2">
        <v>12</v>
      </c>
    </row>
    <row r="247" spans="14:17" x14ac:dyDescent="0.15">
      <c r="N247" s="2" t="s">
        <v>9</v>
      </c>
      <c r="O247" s="17">
        <f t="shared" si="39"/>
        <v>701</v>
      </c>
      <c r="P247" s="17">
        <f t="shared" si="40"/>
        <v>702</v>
      </c>
      <c r="Q247" s="2">
        <v>13</v>
      </c>
    </row>
    <row r="248" spans="14:17" x14ac:dyDescent="0.15">
      <c r="N248" s="2" t="s">
        <v>10</v>
      </c>
      <c r="O248" s="17">
        <f t="shared" si="39"/>
        <v>837</v>
      </c>
      <c r="P248" s="17">
        <f t="shared" si="40"/>
        <v>838</v>
      </c>
      <c r="Q248" s="2">
        <v>14</v>
      </c>
    </row>
    <row r="249" spans="14:17" x14ac:dyDescent="0.15">
      <c r="N249" s="2" t="s">
        <v>11</v>
      </c>
      <c r="O249" s="17">
        <f t="shared" si="39"/>
        <v>887</v>
      </c>
      <c r="P249" s="17">
        <f t="shared" si="40"/>
        <v>888</v>
      </c>
      <c r="Q249" s="2">
        <v>15</v>
      </c>
    </row>
    <row r="250" spans="14:17" x14ac:dyDescent="0.15">
      <c r="N250" s="2" t="s">
        <v>12</v>
      </c>
      <c r="O250" s="17">
        <f t="shared" si="39"/>
        <v>1057</v>
      </c>
      <c r="P250" s="17">
        <f t="shared" si="40"/>
        <v>1057</v>
      </c>
      <c r="Q250" s="2">
        <v>16</v>
      </c>
    </row>
    <row r="251" spans="14:17" x14ac:dyDescent="0.15">
      <c r="N251" s="2" t="s">
        <v>13</v>
      </c>
      <c r="O251" s="17">
        <f t="shared" si="39"/>
        <v>864</v>
      </c>
      <c r="P251" s="17">
        <f t="shared" si="40"/>
        <v>864</v>
      </c>
      <c r="Q251" s="2">
        <v>17</v>
      </c>
    </row>
    <row r="252" spans="14:17" x14ac:dyDescent="0.15">
      <c r="N252" s="2" t="s">
        <v>14</v>
      </c>
      <c r="O252" s="17">
        <f t="shared" si="39"/>
        <v>801</v>
      </c>
      <c r="P252" s="17">
        <f t="shared" si="40"/>
        <v>801</v>
      </c>
      <c r="Q252" s="2">
        <v>18</v>
      </c>
    </row>
    <row r="253" spans="14:17" x14ac:dyDescent="0.15">
      <c r="N253" s="2" t="s">
        <v>15</v>
      </c>
      <c r="O253" s="17">
        <f t="shared" si="39"/>
        <v>752</v>
      </c>
      <c r="P253" s="17">
        <f t="shared" si="40"/>
        <v>752</v>
      </c>
      <c r="Q253" s="2">
        <v>19</v>
      </c>
    </row>
    <row r="254" spans="14:17" x14ac:dyDescent="0.15">
      <c r="N254" s="2" t="s">
        <v>16</v>
      </c>
      <c r="O254" s="17">
        <f t="shared" si="39"/>
        <v>735</v>
      </c>
      <c r="P254" s="17">
        <f t="shared" si="40"/>
        <v>735</v>
      </c>
      <c r="Q254" s="2">
        <v>20</v>
      </c>
    </row>
    <row r="255" spans="14:17" x14ac:dyDescent="0.15">
      <c r="N255" s="2" t="s">
        <v>17</v>
      </c>
      <c r="O255" s="17">
        <f t="shared" si="39"/>
        <v>603</v>
      </c>
      <c r="P255" s="17">
        <f t="shared" si="40"/>
        <v>603</v>
      </c>
      <c r="Q255" s="2">
        <v>21</v>
      </c>
    </row>
    <row r="256" spans="14:17" x14ac:dyDescent="0.15">
      <c r="N256" s="2" t="s">
        <v>18</v>
      </c>
      <c r="O256" s="17">
        <f t="shared" si="39"/>
        <v>351</v>
      </c>
      <c r="P256" s="17">
        <f t="shared" si="40"/>
        <v>351</v>
      </c>
      <c r="Q256" s="2">
        <v>22</v>
      </c>
    </row>
    <row r="257" spans="14:17" x14ac:dyDescent="0.15">
      <c r="N257" s="2" t="s">
        <v>19</v>
      </c>
      <c r="O257" s="17">
        <f t="shared" si="39"/>
        <v>106</v>
      </c>
      <c r="P257" s="17">
        <f t="shared" si="40"/>
        <v>106</v>
      </c>
      <c r="Q257" s="2">
        <v>23</v>
      </c>
    </row>
    <row r="258" spans="14:17" x14ac:dyDescent="0.15">
      <c r="N258" s="2" t="s">
        <v>20</v>
      </c>
      <c r="O258" s="17">
        <f>H161+I161</f>
        <v>15</v>
      </c>
      <c r="P258" s="17">
        <f>O161+P161</f>
        <v>15</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2019-03-15T09:54:45Z</cp:lastPrinted>
  <dcterms:created xsi:type="dcterms:W3CDTF">2018-08-17T00:57:13Z</dcterms:created>
  <dcterms:modified xsi:type="dcterms:W3CDTF">2023-03-06T08:49:06Z</dcterms:modified>
</cp:coreProperties>
</file>