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83HSc8XbjCL0kVuZLMJTqfF2RTiIT0druizyOZZFpogEg6bKfwIgdmXEkLwRJHWDNjWbIia+ifnLTGezQFR5Sg==" workbookSaltValue="xIg5ZlVi69+jPTOp40GiDQ=="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A2" i="19"/>
  <c r="B2" i="15"/>
  <c r="A15" i="25"/>
  <c r="BH16" i="17" l="1"/>
  <c r="BH19" i="17"/>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AX4" i="17"/>
  <c r="AT4" i="17"/>
  <c r="AP4" i="17"/>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BW3" i="17"/>
  <c r="BI13" i="17"/>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BB8" i="17" l="1"/>
  <c r="CA4" i="17" s="1"/>
  <c r="AP8" i="17"/>
  <c r="BO4" i="17" s="1"/>
  <c r="CV4" i="17" s="1"/>
  <c r="AV8" i="17"/>
  <c r="BU4" i="17" s="1"/>
  <c r="BU5" i="17" s="1"/>
  <c r="O14" i="18"/>
  <c r="AT8" i="17"/>
  <c r="BS4" i="17" s="1"/>
  <c r="AX8" i="17"/>
  <c r="BW4" i="17" s="1"/>
  <c r="O46" i="18"/>
  <c r="BD8" i="17"/>
  <c r="CC4" i="17" s="1"/>
  <c r="ER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O53" i="18"/>
  <c r="O43" i="18"/>
  <c r="O25" i="18"/>
  <c r="O64" i="18"/>
  <c r="O56" i="18"/>
  <c r="O20" i="18"/>
  <c r="A77" i="21" s="1"/>
  <c r="EP4" i="17"/>
  <c r="CY3" i="17"/>
  <c r="CZ6" i="17" s="1"/>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DB7" i="17" s="1"/>
  <c r="EI4" i="17"/>
  <c r="CW3" i="17"/>
  <c r="CX6" i="17" s="1"/>
  <c r="CU3" i="17"/>
  <c r="CV6" i="17" s="1"/>
  <c r="EC3" i="17"/>
  <c r="EC20" i="17" s="1"/>
  <c r="EQ3" i="17"/>
  <c r="EQ20" i="17" s="1"/>
  <c r="CZ4" i="17"/>
  <c r="DA7" i="17" s="1"/>
  <c r="EH4" i="17"/>
  <c r="EN3" i="17"/>
  <c r="EN20" i="17" s="1"/>
  <c r="EP3" i="17"/>
  <c r="EP20" i="17" s="1"/>
  <c r="CT3" i="17"/>
  <c r="CU6" i="17" s="1"/>
  <c r="EB3" i="17"/>
  <c r="DD4" i="17"/>
  <c r="EL4" i="17"/>
  <c r="DB3" i="17"/>
  <c r="EJ3" i="17"/>
  <c r="EJ20" i="17" s="1"/>
  <c r="CS3" i="17"/>
  <c r="CT6" i="17" s="1"/>
  <c r="EA3" i="17"/>
  <c r="EA20" i="17" s="1"/>
  <c r="O35" i="18"/>
  <c r="O17" i="18"/>
  <c r="CT4" i="17"/>
  <c r="BW5" i="17"/>
  <c r="CD6" i="17"/>
  <c r="BM5" i="17"/>
  <c r="CE6" i="17"/>
  <c r="CO10" i="17"/>
  <c r="CP11" i="17"/>
  <c r="CO11" i="17" s="1"/>
  <c r="BI5" i="17"/>
  <c r="BH5" i="17" s="1"/>
  <c r="BH4" i="17"/>
  <c r="BI14" i="17"/>
  <c r="BH14" i="17" s="1"/>
  <c r="BH13" i="17"/>
  <c r="CE5" i="17"/>
  <c r="BT5" i="17"/>
  <c r="BU6" i="17"/>
  <c r="BW6" i="17"/>
  <c r="BO6" i="17"/>
  <c r="BT7" i="17"/>
  <c r="CH3" i="17"/>
  <c r="BR6" i="17"/>
  <c r="BS6" i="17"/>
  <c r="BQ6" i="17"/>
  <c r="DI3" i="17"/>
  <c r="CC6" i="17"/>
  <c r="BM6" i="17"/>
  <c r="CG3" i="17"/>
  <c r="DH4" i="17"/>
  <c r="DI7" i="17" s="1"/>
  <c r="CM3" i="17"/>
  <c r="DG3" i="17"/>
  <c r="CA6" i="17"/>
  <c r="CJ3" i="17"/>
  <c r="DF3" i="17"/>
  <c r="BZ6" i="17"/>
  <c r="DE3" i="17"/>
  <c r="BY6" i="17"/>
  <c r="CI3" i="17"/>
  <c r="DH3" i="17"/>
  <c r="CB6" i="17"/>
  <c r="CA5" i="17"/>
  <c r="BN6" i="17"/>
  <c r="BO5" i="17"/>
  <c r="BS5" i="17"/>
  <c r="BV6" i="17"/>
  <c r="BU7" i="17"/>
  <c r="BX6" i="17"/>
  <c r="BP6" i="17"/>
  <c r="BT6" i="17"/>
  <c r="O42" i="18"/>
  <c r="O60" i="18"/>
  <c r="O52" i="18"/>
  <c r="O24" i="18"/>
  <c r="O34" i="18"/>
  <c r="O16" i="18"/>
  <c r="DB4" i="17" l="1"/>
  <c r="EJ4" i="17"/>
  <c r="ED4" i="17"/>
  <c r="ED5" i="17" s="1"/>
  <c r="EQ4" i="17"/>
  <c r="ER7" i="17" s="1"/>
  <c r="O75" i="18"/>
  <c r="BQ5" i="17"/>
  <c r="CC5" i="17"/>
  <c r="DJ4" i="17"/>
  <c r="P87" i="18" s="1"/>
  <c r="DG4" i="17"/>
  <c r="DG5" i="17" s="1"/>
  <c r="DK4" i="17"/>
  <c r="DL7" i="17" s="1"/>
  <c r="DL8" i="17" s="1"/>
  <c r="BR7" i="17"/>
  <c r="BR8" i="17" s="1"/>
  <c r="CD7" i="17"/>
  <c r="CD8" i="17" s="1"/>
  <c r="BR5" i="17"/>
  <c r="O71" i="18"/>
  <c r="O76" i="18"/>
  <c r="E74" i="15"/>
  <c r="CE7" i="17"/>
  <c r="CE8" i="17" s="1"/>
  <c r="ES4" i="17"/>
  <c r="ES21" i="17" s="1"/>
  <c r="CY4" i="17"/>
  <c r="CZ7" i="17" s="1"/>
  <c r="DA10" i="17" s="1"/>
  <c r="DK7" i="17"/>
  <c r="DL10" i="17" s="1"/>
  <c r="P137" i="18"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T6" i="17"/>
  <c r="ET23" i="17" s="1"/>
  <c r="ES20" i="17"/>
  <c r="EY20" i="17" s="1"/>
  <c r="EJ7" i="17"/>
  <c r="EI21" i="17"/>
  <c r="EI22" i="17" s="1"/>
  <c r="EK7" i="17"/>
  <c r="EJ21" i="17"/>
  <c r="EJ22" i="17" s="1"/>
  <c r="P42" i="18"/>
  <c r="C71" i="15"/>
  <c r="EM7" i="17"/>
  <c r="EM24" i="17" s="1"/>
  <c r="EL21" i="17"/>
  <c r="EL22" i="17" s="1"/>
  <c r="EB20" i="17"/>
  <c r="EW20" i="17" s="1"/>
  <c r="EW3" i="17"/>
  <c r="ES7" i="17"/>
  <c r="ER21" i="17"/>
  <c r="ER22" i="17" s="1"/>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BV10" i="17"/>
  <c r="BW13" i="17" s="1"/>
  <c r="I79" i="18"/>
  <c r="BU10" i="17"/>
  <c r="BV13" i="17" s="1"/>
  <c r="I152" i="18" s="1"/>
  <c r="I78" i="18"/>
  <c r="BT10" i="17"/>
  <c r="BU13" i="17" s="1"/>
  <c r="I151" i="18" s="1"/>
  <c r="I77" i="18"/>
  <c r="I75" i="18"/>
  <c r="I81" i="18"/>
  <c r="I82" i="18"/>
  <c r="DJ10" i="17"/>
  <c r="I86" i="18"/>
  <c r="I80" i="18"/>
  <c r="CE9" i="17"/>
  <c r="H137" i="18" s="1"/>
  <c r="H88" i="18"/>
  <c r="DL5" i="17"/>
  <c r="DA9" i="17"/>
  <c r="DO3" i="17"/>
  <c r="DC6" i="17"/>
  <c r="DD5" i="17"/>
  <c r="DC10" i="17"/>
  <c r="EQ6" i="17"/>
  <c r="EQ23" i="17" s="1"/>
  <c r="EP5" i="17"/>
  <c r="EC7" i="17"/>
  <c r="EL5" i="17"/>
  <c r="EM6" i="17"/>
  <c r="EM23" i="17" s="1"/>
  <c r="EQ5" i="17"/>
  <c r="ER6" i="17"/>
  <c r="ER23" i="17" s="1"/>
  <c r="ER5" i="17"/>
  <c r="ES6" i="17"/>
  <c r="ES23" i="17" s="1"/>
  <c r="EP6" i="17"/>
  <c r="EP23" i="17" s="1"/>
  <c r="EY3" i="17"/>
  <c r="EO6" i="17"/>
  <c r="EO23" i="17" s="1"/>
  <c r="ED6" i="17"/>
  <c r="EL6" i="17"/>
  <c r="EL23" i="17" s="1"/>
  <c r="EH5" i="17"/>
  <c r="EI6" i="17"/>
  <c r="EI23" i="17" s="1"/>
  <c r="EJ5" i="17"/>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T3" i="17"/>
  <c r="BU9" i="17"/>
  <c r="H127" i="18" s="1"/>
  <c r="BT8" i="17"/>
  <c r="BO9" i="17"/>
  <c r="H121" i="18" s="1"/>
  <c r="BZ9" i="17"/>
  <c r="H132" i="18" s="1"/>
  <c r="CJ5" i="17"/>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H7" i="17"/>
  <c r="P85" i="18" s="1"/>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BU8" i="17"/>
  <c r="EQ21" i="17" l="1"/>
  <c r="EQ22" i="17" s="1"/>
  <c r="ED21" i="17"/>
  <c r="CM5" i="17"/>
  <c r="DJ5" i="17"/>
  <c r="CD10" i="17"/>
  <c r="CE13" i="17" s="1"/>
  <c r="I113" i="18" s="1"/>
  <c r="O234" i="18" s="1"/>
  <c r="P84" i="18"/>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X21" i="17"/>
  <c r="EY21" i="17"/>
  <c r="ES22" i="17"/>
  <c r="EY23" i="17"/>
  <c r="ES10" i="17"/>
  <c r="ER24" i="17"/>
  <c r="ER25" i="17" s="1"/>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L11" i="17"/>
  <c r="DD9" i="17"/>
  <c r="O80" i="18"/>
  <c r="BY16" i="17"/>
  <c r="I106" i="18"/>
  <c r="P112" i="18"/>
  <c r="BV16" i="17"/>
  <c r="I103" i="18"/>
  <c r="BU16" i="17"/>
  <c r="I102" i="18"/>
  <c r="O84" i="18"/>
  <c r="I112" i="18"/>
  <c r="CA16" i="17"/>
  <c r="I108" i="18"/>
  <c r="BW16" i="17"/>
  <c r="I104" i="18"/>
  <c r="DC8" i="17"/>
  <c r="DI10"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O8" i="17"/>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DQ7" i="17"/>
  <c r="BW14" i="17"/>
  <c r="DP6" i="17"/>
  <c r="BP11" i="17"/>
  <c r="BQ12" i="17"/>
  <c r="H147" i="18" s="1"/>
  <c r="CZ8" i="17"/>
  <c r="DI9" i="17"/>
  <c r="O134" i="18" s="1"/>
  <c r="DH8" i="17"/>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DP7" i="17"/>
  <c r="BU11" i="17"/>
  <c r="BV12" i="17"/>
  <c r="H152" i="18" s="1"/>
  <c r="O249" i="18" s="1"/>
  <c r="O247" i="18" l="1"/>
  <c r="I161" i="18"/>
  <c r="DE13" i="17"/>
  <c r="DF16" i="17" s="1"/>
  <c r="DG19" i="17" s="1"/>
  <c r="P204" i="18" s="1"/>
  <c r="CE14" i="17"/>
  <c r="CD11" i="17"/>
  <c r="I136" i="18"/>
  <c r="BS11" i="17"/>
  <c r="I125" i="18"/>
  <c r="DQ5" i="17"/>
  <c r="O257" i="18"/>
  <c r="I135" i="18"/>
  <c r="DP5" i="17"/>
  <c r="ET8" i="17"/>
  <c r="EY8" i="17" s="1"/>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J13" i="17"/>
  <c r="DK16" i="17" s="1"/>
  <c r="P134"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EW22" i="17"/>
  <c r="EX5" i="17"/>
  <c r="O246" i="18"/>
  <c r="O250" i="18"/>
  <c r="O258"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V19" i="17"/>
  <c r="I200" i="18" s="1"/>
  <c r="I175"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DP8" i="17"/>
  <c r="P179" i="18" l="1"/>
  <c r="DB16" i="17"/>
  <c r="DC19" i="17" s="1"/>
  <c r="P200" i="18" s="1"/>
  <c r="P249" i="18"/>
  <c r="P250" i="18"/>
  <c r="P226" i="18"/>
  <c r="P154" i="18"/>
  <c r="I45" i="18"/>
  <c r="P45" i="18" s="1"/>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P175" i="18"/>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I205" i="18"/>
  <c r="CC18" i="17"/>
  <c r="H182" i="18"/>
  <c r="CD17" i="17"/>
  <c r="H184" i="18"/>
  <c r="BW17" i="17"/>
  <c r="H177" i="18"/>
  <c r="H173" i="18"/>
  <c r="BR17" i="17"/>
  <c r="H172" i="18"/>
  <c r="I9" i="18"/>
  <c r="P9" i="18" s="1"/>
  <c r="H94" i="18"/>
  <c r="O215" i="18" s="1"/>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DC20" i="17" l="1"/>
  <c r="DB17" i="17"/>
  <c r="CJ19" i="17"/>
  <c r="H142" i="18"/>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O239"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DN8" i="17"/>
  <c r="Q18" i="18" s="1"/>
  <c r="P18" i="18"/>
  <c r="DN9" i="17"/>
  <c r="DW8" i="17" l="1"/>
  <c r="CF12" i="17"/>
  <c r="DW7" i="17"/>
  <c r="DW9" i="17" s="1"/>
  <c r="DW10" i="17"/>
  <c r="DW16" i="17" s="1"/>
  <c r="EY14" i="17"/>
  <c r="CK12" i="17"/>
  <c r="CL8" i="17"/>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CL12" i="17"/>
  <c r="DO13" i="17"/>
  <c r="DR9" i="17"/>
  <c r="DS9" i="17"/>
  <c r="CU14" i="17"/>
  <c r="CH14" i="17"/>
  <c r="I28" i="18" s="1"/>
  <c r="CK13" i="17" l="1"/>
  <c r="DW17" i="17"/>
  <c r="DX1" i="17" s="1"/>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6" i="17" l="1"/>
  <c r="EF9" i="17" s="1"/>
  <c r="EF3" i="17"/>
  <c r="EE4" i="17"/>
  <c r="EF4" i="17"/>
  <c r="EF21" i="17" s="1"/>
  <c r="EE3" i="17"/>
  <c r="EE13" i="17"/>
  <c r="EE10" i="17"/>
  <c r="EE7" i="17"/>
  <c r="EF10" i="17" s="1"/>
  <c r="EG3" i="17"/>
  <c r="C37" i="21"/>
  <c r="EG4" i="17"/>
  <c r="EE9" i="17"/>
  <c r="DX18" i="17"/>
  <c r="EE12" i="17"/>
  <c r="EF7" i="17"/>
  <c r="EG7"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CH20" i="17" l="1"/>
  <c r="EG12" i="17"/>
  <c r="EF26" i="17"/>
  <c r="EF11" i="17"/>
  <c r="EE26" i="17"/>
  <c r="EE11" i="17"/>
  <c r="EG21" i="17"/>
  <c r="EH7" i="17"/>
  <c r="EF12" i="17"/>
  <c r="EE24" i="17"/>
  <c r="FB7" i="17"/>
  <c r="EH6" i="17"/>
  <c r="EG5" i="17"/>
  <c r="EG20" i="17"/>
  <c r="EG13" i="17"/>
  <c r="EG30" i="17" s="1"/>
  <c r="EF27" i="17"/>
  <c r="EF28" i="17" s="1"/>
  <c r="EF13" i="17"/>
  <c r="EF30" i="17" s="1"/>
  <c r="EE27" i="17"/>
  <c r="EE30" i="17"/>
  <c r="EH10" i="17"/>
  <c r="EG24" i="17"/>
  <c r="EF6" i="17"/>
  <c r="EF8" i="17" s="1"/>
  <c r="EE5" i="17"/>
  <c r="EE20" i="17"/>
  <c r="FB3" i="17"/>
  <c r="EU3" i="17"/>
  <c r="EE23" i="17"/>
  <c r="EE8" i="17"/>
  <c r="EG10" i="17"/>
  <c r="EF24" i="17"/>
  <c r="EE21" i="17"/>
  <c r="EU4" i="17"/>
  <c r="FB4" i="17"/>
  <c r="D38" i="21"/>
  <c r="C39" i="21"/>
  <c r="D39" i="21"/>
  <c r="C38" i="21"/>
  <c r="D37" i="21"/>
  <c r="EE29" i="17"/>
  <c r="EE14" i="17"/>
  <c r="EG6" i="17"/>
  <c r="EG8" i="17" s="1"/>
  <c r="EF5" i="17"/>
  <c r="EF20" i="17"/>
  <c r="EF22" i="17" s="1"/>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EE28" i="17" l="1"/>
  <c r="FB13" i="17"/>
  <c r="DZ13" i="17" s="1"/>
  <c r="DZ30" i="17" s="1"/>
  <c r="FB12" i="17"/>
  <c r="EE31" i="17"/>
  <c r="FB21" i="17"/>
  <c r="EU21" i="17"/>
  <c r="DZ7" i="17"/>
  <c r="DZ6" i="17"/>
  <c r="FB10" i="17"/>
  <c r="EH13" i="17"/>
  <c r="EH30" i="17" s="1"/>
  <c r="EG27" i="17"/>
  <c r="EF14" i="17"/>
  <c r="EF29" i="17"/>
  <c r="EF31" i="17" s="1"/>
  <c r="FB24" i="17"/>
  <c r="EI10" i="17"/>
  <c r="EH24" i="17"/>
  <c r="EH23" i="17"/>
  <c r="EI9" i="17"/>
  <c r="EH8" i="17"/>
  <c r="FB8" i="17"/>
  <c r="EF23" i="17"/>
  <c r="EF25" i="17" s="1"/>
  <c r="EG9" i="17"/>
  <c r="FB6" i="17"/>
  <c r="FA4" i="17"/>
  <c r="EZ4" i="17"/>
  <c r="EG23" i="17"/>
  <c r="EG25" i="17" s="1"/>
  <c r="EH9" i="17"/>
  <c r="EE25" i="17"/>
  <c r="EZ3" i="17"/>
  <c r="FA3" i="17"/>
  <c r="FB30" i="17"/>
  <c r="EH27" i="17"/>
  <c r="EI13" i="17"/>
  <c r="EI30" i="17" s="1"/>
  <c r="EE22" i="17"/>
  <c r="FB20" i="17"/>
  <c r="EU20" i="17"/>
  <c r="EG22" i="17"/>
  <c r="EU5" i="17"/>
  <c r="FB5" i="17"/>
  <c r="EG29" i="17"/>
  <c r="EG14" i="17"/>
  <c r="D11" i="19"/>
  <c r="CK18" i="17"/>
  <c r="DS20" i="17"/>
  <c r="DS18" i="17"/>
  <c r="CK19" i="17"/>
  <c r="CL19" i="17"/>
  <c r="CF20" i="17"/>
  <c r="DZ12" i="17" l="1"/>
  <c r="FB22" i="17"/>
  <c r="EU22" i="17"/>
  <c r="FB27" i="17"/>
  <c r="FB14" i="17"/>
  <c r="DZ10" i="17"/>
  <c r="DZ9" i="17"/>
  <c r="FB29" i="17"/>
  <c r="EG31" i="17"/>
  <c r="FB31" i="17" s="1"/>
  <c r="EI11" i="17"/>
  <c r="EJ12" i="17"/>
  <c r="EI26" i="17"/>
  <c r="DZ23" i="17"/>
  <c r="DZ8" i="17"/>
  <c r="EU8" i="17" s="1"/>
  <c r="EU6" i="17"/>
  <c r="EA9" i="17"/>
  <c r="EU7" i="17"/>
  <c r="EA10" i="17"/>
  <c r="DZ24" i="17"/>
  <c r="EU24" i="17" s="1"/>
  <c r="EG26" i="17"/>
  <c r="FB26" i="17" s="1"/>
  <c r="EH12" i="17"/>
  <c r="EG11" i="17"/>
  <c r="FB11" i="17" s="1"/>
  <c r="FB9" i="17"/>
  <c r="EZ5" i="17"/>
  <c r="FA5" i="17"/>
  <c r="FB25" i="17"/>
  <c r="EH25" i="17"/>
  <c r="EH26" i="17"/>
  <c r="EH28" i="17" s="1"/>
  <c r="EI12" i="17"/>
  <c r="EH11" i="17"/>
  <c r="EJ13" i="17"/>
  <c r="EJ30" i="17" s="1"/>
  <c r="EI27" i="17"/>
  <c r="FA21" i="17"/>
  <c r="EZ21" i="17"/>
  <c r="FA20" i="17"/>
  <c r="EZ20" i="17"/>
  <c r="FB23" i="17"/>
  <c r="DZ29" i="17"/>
  <c r="DZ31" i="17" s="1"/>
  <c r="DZ14" i="17"/>
  <c r="CK20" i="17"/>
  <c r="CL20" i="17"/>
  <c r="EA12" i="17" l="1"/>
  <c r="DZ26" i="17"/>
  <c r="DZ11" i="17"/>
  <c r="FA7" i="17"/>
  <c r="EZ7" i="17"/>
  <c r="EA13" i="17"/>
  <c r="DZ27" i="17"/>
  <c r="EU10" i="17"/>
  <c r="EH29" i="17"/>
  <c r="EH31" i="17" s="1"/>
  <c r="EH14" i="17"/>
  <c r="EZ6" i="17"/>
  <c r="FA6" i="17"/>
  <c r="EA27" i="17"/>
  <c r="EV27" i="17" s="1"/>
  <c r="EB13" i="17"/>
  <c r="EV10" i="17"/>
  <c r="EU9" i="17"/>
  <c r="EA11" i="17"/>
  <c r="EV11" i="17" s="1"/>
  <c r="EV9" i="17"/>
  <c r="EA26" i="17"/>
  <c r="EB12" i="17"/>
  <c r="FA8" i="17"/>
  <c r="EZ8" i="17"/>
  <c r="EI29" i="17"/>
  <c r="EI31" i="17" s="1"/>
  <c r="EI14" i="17"/>
  <c r="DZ25" i="17"/>
  <c r="EU25" i="17" s="1"/>
  <c r="EU23" i="17"/>
  <c r="EG28" i="17"/>
  <c r="FB28" i="17" s="1"/>
  <c r="EI28" i="17"/>
  <c r="EJ29" i="17"/>
  <c r="EJ31" i="17" s="1"/>
  <c r="EJ14" i="17"/>
  <c r="FA22" i="17"/>
  <c r="H36" i="21"/>
  <c r="EZ22" i="17"/>
  <c r="EZ24" i="17"/>
  <c r="FA24" i="17"/>
  <c r="EU27" i="17" l="1"/>
  <c r="FA27" i="17" s="1"/>
  <c r="EZ10" i="17"/>
  <c r="FA10" i="17"/>
  <c r="EB29" i="17"/>
  <c r="EW12" i="17"/>
  <c r="EB14" i="17"/>
  <c r="EW14" i="17" s="1"/>
  <c r="EA30" i="17"/>
  <c r="EU13" i="17"/>
  <c r="EU26" i="17"/>
  <c r="EV26" i="17"/>
  <c r="EA28" i="17"/>
  <c r="EV28" i="17" s="1"/>
  <c r="EZ9" i="17"/>
  <c r="FA9" i="17"/>
  <c r="EU11" i="17"/>
  <c r="FA23" i="17"/>
  <c r="EZ23" i="17"/>
  <c r="EV13" i="17"/>
  <c r="EB30" i="17"/>
  <c r="EW30" i="17" s="1"/>
  <c r="EW13" i="17"/>
  <c r="DZ28" i="17"/>
  <c r="H37" i="21"/>
  <c r="FA25" i="17"/>
  <c r="EZ25" i="17"/>
  <c r="EA29" i="17"/>
  <c r="EA14" i="17"/>
  <c r="EU12" i="17"/>
  <c r="EV12" i="17"/>
  <c r="EZ27" i="17" l="1"/>
  <c r="FA13" i="17"/>
  <c r="EZ13" i="17"/>
  <c r="EU28" i="17"/>
  <c r="EB31" i="17"/>
  <c r="EW31" i="17" s="1"/>
  <c r="EW29" i="17"/>
  <c r="EU30" i="17"/>
  <c r="EV30" i="17"/>
  <c r="FA11" i="17"/>
  <c r="EZ11" i="17"/>
  <c r="EZ12" i="17"/>
  <c r="FA12" i="17"/>
  <c r="EV14" i="17"/>
  <c r="EU14" i="17"/>
  <c r="EZ26" i="17"/>
  <c r="FA26" i="17"/>
  <c r="EA31" i="17"/>
  <c r="EV29" i="17"/>
  <c r="EU29" i="17"/>
  <c r="FA29" i="17" l="1"/>
  <c r="EZ29" i="17"/>
  <c r="EZ30" i="17"/>
  <c r="FA30" i="17"/>
  <c r="EU31" i="17"/>
  <c r="EV31" i="17"/>
  <c r="FA28" i="17"/>
  <c r="EZ28" i="17"/>
  <c r="H38" i="21"/>
  <c r="FA14" i="17"/>
  <c r="EZ14" i="17"/>
  <c r="H39" i="21" l="1"/>
  <c r="EZ31" i="17"/>
  <c r="FA31" i="17"/>
</calcChain>
</file>

<file path=xl/sharedStrings.xml><?xml version="1.0" encoding="utf-8"?>
<sst xmlns="http://schemas.openxmlformats.org/spreadsheetml/2006/main" count="1384" uniqueCount="462">
  <si>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</si>
  <si>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</si>
  <si>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</si>
  <si>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</si>
  <si>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</si>
  <si>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</si>
  <si>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</si>
  <si>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</si>
  <si>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</si>
  <si>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</si>
  <si>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</si>
  <si>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</si>
  <si>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</si>
  <si>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</si>
  <si>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</si>
  <si>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</si>
  <si>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</si>
  <si>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</si>
  <si>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</si>
  <si>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</si>
  <si>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</si>
  <si>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</si>
  <si>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</si>
  <si>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</si>
  <si>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</si>
  <si>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</si>
  <si>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</si>
  <si>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</si>
  <si>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</si>
  <si>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</si>
  <si>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</si>
  <si>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</si>
  <si>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</si>
  <si>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</si>
  <si>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</si>
  <si>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</si>
  <si>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</si>
  <si>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</si>
  <si>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</si>
  <si>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</si>
  <si>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</si>
  <si>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</si>
  <si>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</si>
  <si>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</si>
  <si>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</si>
  <si>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</si>
  <si>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</si>
  <si>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</si>
  <si>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</si>
  <si>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</si>
  <si>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</si>
  <si>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</si>
  <si>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</si>
  <si>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</si>
  <si>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</si>
  <si>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</si>
  <si>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</si>
  <si>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</si>
  <si>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</si>
  <si>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</si>
  <si>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</si>
  <si>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</si>
  <si>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</si>
  <si>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</si>
  <si>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</si>
  <si>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</si>
  <si>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</si>
  <si>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</si>
  <si>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</si>
  <si>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</si>
  <si>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</si>
  <si>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</si>
  <si>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</si>
  <si>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</si>
  <si>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</si>
  <si>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</si>
  <si>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</si>
  <si>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</si>
  <si>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</si>
  <si>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</si>
  <si>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</si>
  <si>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</si>
  <si>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</si>
  <si>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</si>
  <si>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</si>
  <si>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</si>
  <si>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</si>
  <si>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</si>
  <si>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</si>
  <si>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</si>
  <si>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</si>
  <si>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</si>
  <si>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</si>
  <si>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</si>
  <si>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</si>
  <si>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</si>
  <si>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</si>
  <si>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</si>
  <si>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</si>
  <si>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</si>
  <si>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</si>
  <si>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</si>
  <si>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</si>
  <si>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</si>
  <si>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</si>
  <si>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</si>
  <si>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</si>
  <si>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</si>
  <si>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</si>
  <si>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</si>
  <si>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</si>
  <si>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</si>
  <si>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</si>
  <si>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</si>
  <si>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</si>
  <si>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</si>
  <si>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</si>
  <si>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</si>
  <si>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</si>
  <si>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</si>
  <si>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</si>
  <si>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</si>
  <si>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</si>
  <si>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</si>
  <si>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</si>
  <si>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</si>
  <si>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</si>
  <si>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</si>
  <si>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</si>
  <si>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</si>
  <si>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</si>
  <si>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</si>
  <si>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</si>
  <si>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</si>
  <si>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</si>
  <si>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</si>
  <si>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</si>
  <si>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</si>
  <si>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</si>
  <si>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</si>
  <si>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</si>
  <si>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</si>
  <si>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</si>
  <si>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</si>
  <si>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</si>
  <si>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</si>
  <si>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</si>
  <si>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</si>
  <si>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</si>
  <si>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</si>
  <si>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</si>
  <si>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</si>
  <si>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</si>
  <si>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</si>
  <si>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</si>
  <si>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</si>
  <si>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</si>
  <si>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</si>
  <si>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</si>
  <si>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</si>
  <si>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</si>
  <si>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</si>
  <si>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</si>
  <si>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</si>
  <si>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</si>
  <si>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</si>
  <si>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</si>
  <si>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</si>
  <si>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</si>
  <si>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</si>
  <si>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</si>
  <si>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</si>
  <si>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</si>
  <si>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</si>
  <si>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</si>
  <si>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</si>
  <si>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</si>
  <si>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</si>
  <si>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</si>
  <si>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</si>
  <si>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</si>
  <si>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</si>
  <si>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</si>
  <si>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</si>
  <si>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</si>
  <si>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</si>
  <si>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</si>
  <si>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</si>
  <si>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</si>
  <si>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</si>
  <si>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</si>
  <si>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</si>
  <si>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</si>
  <si>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</si>
  <si>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</si>
  <si>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</si>
  <si>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</si>
  <si>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</si>
  <si>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</si>
  <si>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</si>
  <si>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</si>
  <si>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</si>
  <si>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</si>
  <si>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</si>
  <si>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</si>
  <si>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</si>
  <si>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</si>
  <si>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</si>
  <si>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</si>
  <si>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</si>
  <si>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</si>
  <si>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</si>
  <si>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</si>
  <si>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</si>
  <si>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</si>
  <si>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</si>
  <si>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</si>
  <si>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</si>
  <si>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</si>
  <si>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</si>
  <si>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</si>
  <si>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</si>
  <si>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</si>
  <si>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</si>
  <si>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</si>
  <si>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</si>
  <si>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</si>
  <si>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</si>
  <si>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</si>
  <si>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</si>
  <si>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</si>
  <si>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</si>
  <si>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</si>
  <si>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</si>
  <si>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</si>
  <si>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</si>
  <si>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</si>
  <si>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</si>
  <si>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</si>
  <si>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</si>
  <si>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</si>
  <si>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</si>
  <si>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</si>
  <si>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</si>
  <si>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</si>
  <si>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</si>
  <si>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</si>
  <si>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</si>
  <si>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</si>
  <si>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</si>
  <si>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</si>
  <si>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</si>
  <si>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</si>
  <si>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</si>
  <si>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</si>
  <si>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</si>
  <si>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</si>
  <si>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</si>
  <si>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</si>
  <si>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</si>
  <si>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</si>
  <si>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</si>
  <si>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</si>
  <si>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</si>
  <si>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</si>
  <si>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</si>
  <si>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</si>
  <si>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</si>
  <si>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</si>
  <si>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</si>
  <si>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</si>
  <si>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</si>
  <si>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</si>
  <si>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</si>
  <si>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</si>
  <si>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</si>
  <si>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</si>
  <si>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</si>
  <si>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</si>
  <si>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</si>
  <si>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</si>
  <si>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</si>
  <si>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</si>
  <si>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</si>
  <si>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</si>
  <si>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</si>
  <si>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</si>
  <si>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</si>
  <si>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</si>
  <si>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</si>
  <si>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</si>
  <si>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</si>
  <si>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</si>
  <si>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</si>
  <si>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</si>
  <si>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</si>
  <si>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</si>
  <si>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</si>
  <si>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</si>
  <si>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</si>
  <si>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</si>
  <si>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</si>
  <si>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</si>
  <si>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</si>
  <si>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</si>
  <si>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</si>
  <si>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</si>
  <si>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</si>
  <si>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</si>
  <si>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</si>
  <si>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</si>
  <si>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</si>
  <si>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</si>
  <si>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</si>
  <si>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</si>
  <si>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</si>
  <si>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</si>
  <si>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</si>
  <si>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</si>
  <si>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</si>
  <si>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</si>
  <si>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</si>
  <si>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</si>
  <si>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</si>
  <si>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</si>
  <si>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</si>
  <si>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</si>
  <si>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</si>
  <si>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</si>
  <si>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</si>
  <si>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</si>
  <si>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</si>
  <si>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</si>
  <si>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</si>
  <si>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</si>
  <si>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</si>
  <si>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</si>
  <si>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</si>
  <si>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</si>
  <si>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</si>
  <si>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</si>
  <si>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</si>
  <si>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</si>
  <si>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</si>
  <si>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</si>
  <si>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</si>
  <si>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</si>
  <si>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</si>
  <si>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</si>
  <si>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</si>
  <si>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</si>
  <si>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</si>
  <si>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</si>
  <si>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</si>
  <si>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</si>
  <si>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</si>
  <si>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</si>
  <si>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</si>
  <si>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</si>
  <si>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</si>
  <si>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</si>
  <si>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</si>
  <si>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</si>
  <si>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</si>
  <si>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</si>
  <si>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</si>
  <si>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</si>
  <si>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</si>
  <si>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</si>
  <si>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</si>
  <si>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</si>
  <si>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</si>
  <si>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</si>
  <si>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</si>
  <si>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</si>
  <si>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</si>
  <si>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</si>
  <si>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</si>
  <si>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</si>
  <si>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</si>
  <si>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</si>
  <si>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</si>
  <si>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</si>
  <si>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</si>
  <si>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</si>
  <si>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</si>
  <si>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</si>
  <si>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</si>
  <si>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</si>
  <si>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</si>
  <si>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</si>
  <si>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</si>
  <si>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</si>
  <si>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</si>
  <si>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</si>
  <si>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</si>
  <si>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</si>
  <si>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</si>
  <si>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</si>
  <si>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</si>
  <si>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</si>
  <si>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</si>
  <si>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</si>
  <si>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</si>
  <si>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</si>
  <si>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</si>
  <si>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</si>
  <si>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</si>
  <si>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</si>
  <si>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</si>
  <si>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</si>
  <si>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</si>
  <si>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</si>
  <si>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</si>
  <si>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</si>
  <si>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</si>
  <si>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</si>
  <si>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</si>
  <si>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</si>
  <si>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</si>
  <si>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</si>
  <si>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</si>
  <si>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</si>
  <si>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</si>
  <si>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</si>
  <si>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</si>
  <si>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45202_1</t>
  </si>
  <si>
    <t>都城市</t>
    <rPh sb="0" eb="2">
      <t>ミヤコノジョウ</t>
    </rPh>
    <rPh sb="2" eb="3">
      <t>シ</t>
    </rPh>
    <phoneticPr fontId="1"/>
  </si>
  <si>
    <t>姫城地区</t>
  </si>
  <si>
    <t>45202_2</t>
  </si>
  <si>
    <t>妻ケ丘地区</t>
  </si>
  <si>
    <t>45202_3</t>
  </si>
  <si>
    <t>小松原地区</t>
  </si>
  <si>
    <t>45202_4</t>
  </si>
  <si>
    <t>祝吉地区</t>
  </si>
  <si>
    <t>45202_5</t>
  </si>
  <si>
    <t>五十市地区</t>
  </si>
  <si>
    <t>45202_6</t>
  </si>
  <si>
    <t>横市地区</t>
  </si>
  <si>
    <t>45202_7</t>
  </si>
  <si>
    <t>沖水地区</t>
  </si>
  <si>
    <t>45202_8</t>
  </si>
  <si>
    <t>志和池地区</t>
  </si>
  <si>
    <t>45202_9</t>
  </si>
  <si>
    <t>庄内地区</t>
  </si>
  <si>
    <t>45202_10</t>
  </si>
  <si>
    <t>西岳地区</t>
  </si>
  <si>
    <t>45202_11</t>
  </si>
  <si>
    <t>中郷地区</t>
  </si>
  <si>
    <t>45202_12</t>
  </si>
  <si>
    <t>山之口地区</t>
  </si>
  <si>
    <t>45202_13</t>
  </si>
  <si>
    <t>高城地区</t>
  </si>
  <si>
    <t>45202_14</t>
  </si>
  <si>
    <t>山田地区</t>
  </si>
  <si>
    <t>45202_15</t>
  </si>
  <si>
    <t>高崎地区</t>
  </si>
  <si>
    <t>45202_4</t>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</si>
  <si>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</si>
  <si>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</si>
  <si>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※将来予測シート①の最後で挙げた問題をもとに考えてみてください。</t>
    <rPh sb="10" eb="12">
      <t>サイゴ</t>
    </rPh>
    <rPh sb="13" eb="14">
      <t>ア</t>
    </rPh>
    <rPh sb="16" eb="18">
      <t>モンダイ</t>
    </rPh>
    <rPh sb="22" eb="23">
      <t>カンガ</t>
    </rPh>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</si>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</sst>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2">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187" fontId="10" fillId="5" borderId="0" xfId="0" applyNumberFormat="1" applyFont="1" applyFill="1" applyAlignment="1">
      <alignment horizontal="center" vertical="center"/>
    </xf>
    <xf numFmtId="177" fontId="10" fillId="5" borderId="0" xfId="0" applyNumberFormat="1"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38" fontId="10" fillId="5" borderId="0" xfId="1" applyFont="1" applyFill="1" applyBorder="1" applyAlignment="1">
      <alignment horizontal="center" vertical="center"/>
    </xf>
    <xf numFmtId="179" fontId="10" fillId="5" borderId="0" xfId="1" applyNumberFormat="1" applyFont="1" applyFill="1" applyBorder="1" applyAlignment="1">
      <alignment horizontal="center" vertical="center"/>
    </xf>
    <xf numFmtId="0" fontId="10" fillId="5" borderId="0" xfId="0" applyFont="1" applyFill="1" applyAlignment="1">
      <alignment horizontal="center" vertical="center"/>
    </xf>
    <xf numFmtId="38" fontId="10" fillId="5" borderId="0" xfId="0" applyNumberFormat="1" applyFont="1" applyFill="1" applyAlignment="1">
      <alignment horizontal="center" vertical="center"/>
    </xf>
    <xf numFmtId="0" fontId="7" fillId="5" borderId="0" xfId="0" applyFont="1" applyFill="1" applyAlignment="1">
      <alignment horizontal="center" vertical="center"/>
    </xf>
    <xf numFmtId="187" fontId="38"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78" fontId="10" fillId="5" borderId="0" xfId="2" applyNumberFormat="1" applyFont="1" applyFill="1" applyAlignment="1">
      <alignment horizontal="center" vertical="center"/>
    </xf>
    <xf numFmtId="38" fontId="10" fillId="5" borderId="0" xfId="1" applyFont="1" applyFill="1" applyAlignment="1">
      <alignment horizontal="center" vertical="center"/>
    </xf>
    <xf numFmtId="0" fontId="18" fillId="5" borderId="0" xfId="0" applyFont="1" applyFill="1" applyAlignment="1">
      <alignment horizontal="right" vertical="center"/>
    </xf>
    <xf numFmtId="0" fontId="3" fillId="10" borderId="1" xfId="0"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11" borderId="1" xfId="0" applyFont="1" applyFill="1" applyBorder="1" applyAlignment="1">
      <alignment horizontal="center" vertical="center"/>
    </xf>
    <xf numFmtId="0" fontId="0" fillId="2" borderId="1" xfId="0" applyFill="1" applyBorder="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1117</c:v>
                </c:pt>
                <c:pt idx="1">
                  <c:v>1159</c:v>
                </c:pt>
                <c:pt idx="2">
                  <c:v>1183</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132020952"/>
        <c:axId val="132022520"/>
      </c:barChart>
      <c:catAx>
        <c:axId val="1320209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32022520"/>
        <c:crosses val="autoZero"/>
        <c:auto val="1"/>
        <c:lblAlgn val="ctr"/>
        <c:lblOffset val="100"/>
        <c:noMultiLvlLbl val="0"/>
      </c:catAx>
      <c:valAx>
        <c:axId val="13202252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320209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560</c:v>
                </c:pt>
                <c:pt idx="1">
                  <c:v>556</c:v>
                </c:pt>
                <c:pt idx="2">
                  <c:v>610</c:v>
                </c:pt>
                <c:pt idx="3">
                  <c:v>585</c:v>
                </c:pt>
                <c:pt idx="4">
                  <c:v>495</c:v>
                </c:pt>
                <c:pt idx="5">
                  <c:v>450</c:v>
                </c:pt>
                <c:pt idx="6">
                  <c:v>448</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403624856"/>
        <c:axId val="403631128"/>
      </c:barChart>
      <c:catAx>
        <c:axId val="4036248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3631128"/>
        <c:crosses val="autoZero"/>
        <c:auto val="1"/>
        <c:lblAlgn val="ctr"/>
        <c:lblOffset val="100"/>
        <c:noMultiLvlLbl val="0"/>
      </c:catAx>
      <c:valAx>
        <c:axId val="40363112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362485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0.2</c:v>
                </c:pt>
                <c:pt idx="1">
                  <c:v>0.22</c:v>
                </c:pt>
                <c:pt idx="2">
                  <c:v>0.24</c:v>
                </c:pt>
                <c:pt idx="3">
                  <c:v>0.26</c:v>
                </c:pt>
                <c:pt idx="4">
                  <c:v>0.27</c:v>
                </c:pt>
                <c:pt idx="5">
                  <c:v>0.27</c:v>
                </c:pt>
                <c:pt idx="6">
                  <c:v>0.28999999999999998</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03626424"/>
        <c:axId val="403624072"/>
      </c:barChart>
      <c:catAx>
        <c:axId val="4036264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3624072"/>
        <c:crosses val="autoZero"/>
        <c:auto val="1"/>
        <c:lblAlgn val="ctr"/>
        <c:lblOffset val="100"/>
        <c:noMultiLvlLbl val="0"/>
      </c:catAx>
      <c:valAx>
        <c:axId val="40362407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362642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0.11</c:v>
                </c:pt>
                <c:pt idx="1">
                  <c:v>0.11</c:v>
                </c:pt>
                <c:pt idx="2">
                  <c:v>0.12</c:v>
                </c:pt>
                <c:pt idx="3">
                  <c:v>0.13</c:v>
                </c:pt>
                <c:pt idx="4">
                  <c:v>0.14000000000000001</c:v>
                </c:pt>
                <c:pt idx="5">
                  <c:v>0.15</c:v>
                </c:pt>
                <c:pt idx="6">
                  <c:v>0.16</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03626816"/>
        <c:axId val="403624464"/>
      </c:barChart>
      <c:catAx>
        <c:axId val="4036268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3624464"/>
        <c:crosses val="autoZero"/>
        <c:auto val="1"/>
        <c:lblAlgn val="ctr"/>
        <c:lblOffset val="100"/>
        <c:noMultiLvlLbl val="0"/>
      </c:catAx>
      <c:valAx>
        <c:axId val="40362446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362681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5337650444054718"/>
          <c:y val="1.822553638701869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20"/>
              <c:layout>
                <c:manualLayout>
                  <c:x val="-6.2890144296611546E-3"/>
                  <c:y val="-3.2961185800888587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E47-453C-9115-E2F069B6089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399</c:v>
                </c:pt>
                <c:pt idx="1">
                  <c:v>366</c:v>
                </c:pt>
                <c:pt idx="2">
                  <c:v>371</c:v>
                </c:pt>
                <c:pt idx="3">
                  <c:v>417</c:v>
                </c:pt>
                <c:pt idx="4">
                  <c:v>524</c:v>
                </c:pt>
                <c:pt idx="5">
                  <c:v>448</c:v>
                </c:pt>
                <c:pt idx="6">
                  <c:v>410</c:v>
                </c:pt>
                <c:pt idx="7">
                  <c:v>513</c:v>
                </c:pt>
                <c:pt idx="8">
                  <c:v>530</c:v>
                </c:pt>
                <c:pt idx="9">
                  <c:v>599</c:v>
                </c:pt>
                <c:pt idx="10">
                  <c:v>608</c:v>
                </c:pt>
                <c:pt idx="11">
                  <c:v>674</c:v>
                </c:pt>
                <c:pt idx="12">
                  <c:v>529</c:v>
                </c:pt>
                <c:pt idx="13">
                  <c:v>534</c:v>
                </c:pt>
                <c:pt idx="14">
                  <c:v>538</c:v>
                </c:pt>
                <c:pt idx="15">
                  <c:v>433</c:v>
                </c:pt>
                <c:pt idx="16">
                  <c:v>363</c:v>
                </c:pt>
                <c:pt idx="17">
                  <c:v>159</c:v>
                </c:pt>
                <c:pt idx="18">
                  <c:v>72</c:v>
                </c:pt>
                <c:pt idx="19">
                  <c:v>7</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03629560"/>
        <c:axId val="403627992"/>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397</c:v>
                </c:pt>
                <c:pt idx="1">
                  <c:v>372</c:v>
                </c:pt>
                <c:pt idx="2">
                  <c:v>384</c:v>
                </c:pt>
                <c:pt idx="3">
                  <c:v>547</c:v>
                </c:pt>
                <c:pt idx="4">
                  <c:v>592</c:v>
                </c:pt>
                <c:pt idx="5">
                  <c:v>563</c:v>
                </c:pt>
                <c:pt idx="6">
                  <c:v>523</c:v>
                </c:pt>
                <c:pt idx="7">
                  <c:v>512</c:v>
                </c:pt>
                <c:pt idx="8">
                  <c:v>573</c:v>
                </c:pt>
                <c:pt idx="9">
                  <c:v>602</c:v>
                </c:pt>
                <c:pt idx="10">
                  <c:v>657</c:v>
                </c:pt>
                <c:pt idx="11">
                  <c:v>706</c:v>
                </c:pt>
                <c:pt idx="12">
                  <c:v>609</c:v>
                </c:pt>
                <c:pt idx="13">
                  <c:v>600</c:v>
                </c:pt>
                <c:pt idx="14">
                  <c:v>570</c:v>
                </c:pt>
                <c:pt idx="15">
                  <c:v>546</c:v>
                </c:pt>
                <c:pt idx="16">
                  <c:v>511</c:v>
                </c:pt>
                <c:pt idx="17">
                  <c:v>322</c:v>
                </c:pt>
                <c:pt idx="18">
                  <c:v>150</c:v>
                </c:pt>
                <c:pt idx="19">
                  <c:v>61</c:v>
                </c:pt>
                <c:pt idx="20">
                  <c:v>14</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03630736"/>
        <c:axId val="403630344"/>
      </c:barChart>
      <c:catAx>
        <c:axId val="40362956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3627992"/>
        <c:crosses val="autoZero"/>
        <c:auto val="1"/>
        <c:lblAlgn val="ctr"/>
        <c:lblOffset val="100"/>
        <c:noMultiLvlLbl val="0"/>
      </c:catAx>
      <c:valAx>
        <c:axId val="403627992"/>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3629560"/>
        <c:crosses val="autoZero"/>
        <c:crossBetween val="between"/>
        <c:majorUnit val="500"/>
      </c:valAx>
      <c:valAx>
        <c:axId val="403630344"/>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3630736"/>
        <c:crosses val="max"/>
        <c:crossBetween val="between"/>
        <c:majorUnit val="500"/>
      </c:valAx>
      <c:catAx>
        <c:axId val="403630736"/>
        <c:scaling>
          <c:orientation val="minMax"/>
        </c:scaling>
        <c:delete val="1"/>
        <c:axPos val="l"/>
        <c:numFmt formatCode="General" sourceLinked="1"/>
        <c:majorTickMark val="out"/>
        <c:minorTickMark val="none"/>
        <c:tickLblPos val="nextTo"/>
        <c:crossAx val="40363034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20"/>
              <c:layout>
                <c:manualLayout>
                  <c:x val="-5.1833572335313639E-3"/>
                  <c:y val="-3.298622340081495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4297-4D1C-B68A-C463FC82826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398</c:v>
                </c:pt>
                <c:pt idx="1">
                  <c:v>381</c:v>
                </c:pt>
                <c:pt idx="2">
                  <c:v>362</c:v>
                </c:pt>
                <c:pt idx="3">
                  <c:v>355</c:v>
                </c:pt>
                <c:pt idx="4">
                  <c:v>361</c:v>
                </c:pt>
                <c:pt idx="5">
                  <c:v>410</c:v>
                </c:pt>
                <c:pt idx="6">
                  <c:v>525</c:v>
                </c:pt>
                <c:pt idx="7">
                  <c:v>443</c:v>
                </c:pt>
                <c:pt idx="8">
                  <c:v>400</c:v>
                </c:pt>
                <c:pt idx="9">
                  <c:v>511</c:v>
                </c:pt>
                <c:pt idx="10">
                  <c:v>521</c:v>
                </c:pt>
                <c:pt idx="11">
                  <c:v>568</c:v>
                </c:pt>
                <c:pt idx="12">
                  <c:v>582</c:v>
                </c:pt>
                <c:pt idx="13">
                  <c:v>641</c:v>
                </c:pt>
                <c:pt idx="14">
                  <c:v>464</c:v>
                </c:pt>
                <c:pt idx="15">
                  <c:v>414</c:v>
                </c:pt>
                <c:pt idx="16">
                  <c:v>356</c:v>
                </c:pt>
                <c:pt idx="17">
                  <c:v>205</c:v>
                </c:pt>
                <c:pt idx="18">
                  <c:v>95</c:v>
                </c:pt>
                <c:pt idx="19">
                  <c:v>7</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61515064"/>
        <c:axId val="461508792"/>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397</c:v>
                </c:pt>
                <c:pt idx="1">
                  <c:v>387</c:v>
                </c:pt>
                <c:pt idx="2">
                  <c:v>375</c:v>
                </c:pt>
                <c:pt idx="3">
                  <c:v>412</c:v>
                </c:pt>
                <c:pt idx="4">
                  <c:v>445</c:v>
                </c:pt>
                <c:pt idx="5">
                  <c:v>621</c:v>
                </c:pt>
                <c:pt idx="6">
                  <c:v>600</c:v>
                </c:pt>
                <c:pt idx="7">
                  <c:v>519</c:v>
                </c:pt>
                <c:pt idx="8">
                  <c:v>517</c:v>
                </c:pt>
                <c:pt idx="9">
                  <c:v>518</c:v>
                </c:pt>
                <c:pt idx="10">
                  <c:v>574</c:v>
                </c:pt>
                <c:pt idx="11">
                  <c:v>580</c:v>
                </c:pt>
                <c:pt idx="12">
                  <c:v>646</c:v>
                </c:pt>
                <c:pt idx="13">
                  <c:v>708</c:v>
                </c:pt>
                <c:pt idx="14">
                  <c:v>562</c:v>
                </c:pt>
                <c:pt idx="15">
                  <c:v>531</c:v>
                </c:pt>
                <c:pt idx="16">
                  <c:v>481</c:v>
                </c:pt>
                <c:pt idx="17">
                  <c:v>367</c:v>
                </c:pt>
                <c:pt idx="18">
                  <c:v>204</c:v>
                </c:pt>
                <c:pt idx="19">
                  <c:v>57</c:v>
                </c:pt>
                <c:pt idx="20">
                  <c:v>12</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61515456"/>
        <c:axId val="461509184"/>
      </c:barChart>
      <c:catAx>
        <c:axId val="46151506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508792"/>
        <c:crosses val="autoZero"/>
        <c:auto val="1"/>
        <c:lblAlgn val="ctr"/>
        <c:lblOffset val="100"/>
        <c:noMultiLvlLbl val="0"/>
      </c:catAx>
      <c:valAx>
        <c:axId val="461508792"/>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515064"/>
        <c:crosses val="autoZero"/>
        <c:crossBetween val="between"/>
        <c:majorUnit val="500"/>
      </c:valAx>
      <c:valAx>
        <c:axId val="461509184"/>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515456"/>
        <c:crosses val="max"/>
        <c:crossBetween val="between"/>
        <c:majorUnit val="500"/>
      </c:valAx>
      <c:catAx>
        <c:axId val="461515456"/>
        <c:scaling>
          <c:orientation val="minMax"/>
        </c:scaling>
        <c:delete val="1"/>
        <c:axPos val="l"/>
        <c:numFmt formatCode="General" sourceLinked="1"/>
        <c:majorTickMark val="out"/>
        <c:minorTickMark val="none"/>
        <c:tickLblPos val="nextTo"/>
        <c:crossAx val="46150918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19097</c:v>
                </c:pt>
                <c:pt idx="1">
                  <c:v>18840</c:v>
                </c:pt>
                <c:pt idx="2">
                  <c:v>18946</c:v>
                </c:pt>
                <c:pt idx="3">
                  <c:v>18639</c:v>
                </c:pt>
                <c:pt idx="4">
                  <c:v>18305</c:v>
                </c:pt>
                <c:pt idx="5">
                  <c:v>17958</c:v>
                </c:pt>
                <c:pt idx="6">
                  <c:v>17512</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76CB-46FB-AEAE-7718A7B15405}"/>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76CB-46FB-AEAE-7718A7B15405}"/>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76CB-46FB-AEAE-7718A7B15405}"/>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76CB-46FB-AEAE-7718A7B1540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18648</c:v>
                </c:pt>
                <c:pt idx="4" formatCode="#,##0_);[Red]\(#,##0\)">
                  <c:v>18325</c:v>
                </c:pt>
                <c:pt idx="5" formatCode="#,##0_);[Red]\(#,##0\)">
                  <c:v>17990</c:v>
                </c:pt>
                <c:pt idx="6" formatCode="#,##0_);[Red]\(#,##0\)">
                  <c:v>17553</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61510360"/>
        <c:axId val="461516240"/>
      </c:barChart>
      <c:catAx>
        <c:axId val="4615103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516240"/>
        <c:crosses val="autoZero"/>
        <c:auto val="1"/>
        <c:lblAlgn val="ctr"/>
        <c:lblOffset val="100"/>
        <c:noMultiLvlLbl val="0"/>
      </c:catAx>
      <c:valAx>
        <c:axId val="46151624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510360"/>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1117</c:v>
                </c:pt>
                <c:pt idx="1">
                  <c:v>1159</c:v>
                </c:pt>
                <c:pt idx="2">
                  <c:v>1183</c:v>
                </c:pt>
                <c:pt idx="3">
                  <c:v>1007</c:v>
                </c:pt>
                <c:pt idx="4">
                  <c:v>896</c:v>
                </c:pt>
                <c:pt idx="5">
                  <c:v>885</c:v>
                </c:pt>
                <c:pt idx="6">
                  <c:v>902</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4223661041448319E-2"/>
                  <c:y val="-5.091291308989524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1008</c:v>
                </c:pt>
                <c:pt idx="4">
                  <c:v>898</c:v>
                </c:pt>
                <c:pt idx="5">
                  <c:v>889</c:v>
                </c:pt>
                <c:pt idx="6">
                  <c:v>908</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61510752"/>
        <c:axId val="461513888"/>
      </c:barChart>
      <c:catAx>
        <c:axId val="4615107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513888"/>
        <c:crosses val="autoZero"/>
        <c:auto val="1"/>
        <c:lblAlgn val="ctr"/>
        <c:lblOffset val="100"/>
        <c:noMultiLvlLbl val="0"/>
      </c:catAx>
      <c:valAx>
        <c:axId val="4615138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510752"/>
        <c:crosses val="autoZero"/>
        <c:crossBetween val="between"/>
      </c:valAx>
      <c:spPr>
        <a:noFill/>
        <a:ln>
          <a:noFill/>
        </a:ln>
        <a:effectLst/>
      </c:spPr>
    </c:plotArea>
    <c:legend>
      <c:legendPos val="t"/>
      <c:layout>
        <c:manualLayout>
          <c:xMode val="edge"/>
          <c:yMode val="edge"/>
          <c:x val="5.7385836743297169E-2"/>
          <c:y val="0.10654252804081556"/>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0.2</c:v>
                </c:pt>
                <c:pt idx="1">
                  <c:v>0.22</c:v>
                </c:pt>
                <c:pt idx="2">
                  <c:v>0.24</c:v>
                </c:pt>
                <c:pt idx="3">
                  <c:v>0.26</c:v>
                </c:pt>
                <c:pt idx="4">
                  <c:v>0.27</c:v>
                </c:pt>
                <c:pt idx="5">
                  <c:v>0.27</c:v>
                </c:pt>
                <c:pt idx="6">
                  <c:v>0.28999999999999998</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1F06-462E-BA8D-2E8F763ECA0F}"/>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1F06-462E-BA8D-2E8F763ECA0F}"/>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1F06-462E-BA8D-2E8F763ECA0F}"/>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1F06-462E-BA8D-2E8F763ECA0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0.26</c:v>
                </c:pt>
                <c:pt idx="4" formatCode="0%">
                  <c:v>0.27</c:v>
                </c:pt>
                <c:pt idx="5" formatCode="0%">
                  <c:v>0.27</c:v>
                </c:pt>
                <c:pt idx="6" formatCode="0%">
                  <c:v>0.28999999999999998</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61511536"/>
        <c:axId val="461515848"/>
      </c:barChart>
      <c:catAx>
        <c:axId val="4615115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515848"/>
        <c:crosses val="autoZero"/>
        <c:auto val="1"/>
        <c:lblAlgn val="ctr"/>
        <c:lblOffset val="100"/>
        <c:noMultiLvlLbl val="0"/>
      </c:catAx>
      <c:valAx>
        <c:axId val="46151584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511536"/>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0.11</c:v>
                </c:pt>
                <c:pt idx="1">
                  <c:v>0.11</c:v>
                </c:pt>
                <c:pt idx="2">
                  <c:v>0.12</c:v>
                </c:pt>
                <c:pt idx="3">
                  <c:v>0.13</c:v>
                </c:pt>
                <c:pt idx="4">
                  <c:v>0.14000000000000001</c:v>
                </c:pt>
                <c:pt idx="5">
                  <c:v>0.15</c:v>
                </c:pt>
                <c:pt idx="6">
                  <c:v>0.16</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BAAC-4B52-8EDA-4DD974EF2D17}"/>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BAAC-4B52-8EDA-4DD974EF2D17}"/>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BAAC-4B52-8EDA-4DD974EF2D17}"/>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BAAC-4B52-8EDA-4DD974EF2D1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0.13</c:v>
                </c:pt>
                <c:pt idx="4" formatCode="0%">
                  <c:v>0.14000000000000001</c:v>
                </c:pt>
                <c:pt idx="5" formatCode="0%">
                  <c:v>0.15</c:v>
                </c:pt>
                <c:pt idx="6" formatCode="0%">
                  <c:v>0.16</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61513496"/>
        <c:axId val="461512320"/>
      </c:barChart>
      <c:catAx>
        <c:axId val="4615134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512320"/>
        <c:crosses val="autoZero"/>
        <c:auto val="1"/>
        <c:lblAlgn val="ctr"/>
        <c:lblOffset val="100"/>
        <c:noMultiLvlLbl val="0"/>
      </c:catAx>
      <c:valAx>
        <c:axId val="46151232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513496"/>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560</c:v>
                </c:pt>
                <c:pt idx="1">
                  <c:v>556</c:v>
                </c:pt>
                <c:pt idx="2">
                  <c:v>610</c:v>
                </c:pt>
                <c:pt idx="3">
                  <c:v>585</c:v>
                </c:pt>
                <c:pt idx="4">
                  <c:v>495</c:v>
                </c:pt>
                <c:pt idx="5">
                  <c:v>450</c:v>
                </c:pt>
                <c:pt idx="6">
                  <c:v>448</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4.10288002212637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586</c:v>
                </c:pt>
                <c:pt idx="4">
                  <c:v>496</c:v>
                </c:pt>
                <c:pt idx="5">
                  <c:v>452</c:v>
                </c:pt>
                <c:pt idx="6">
                  <c:v>451</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61514280"/>
        <c:axId val="461514672"/>
      </c:barChart>
      <c:catAx>
        <c:axId val="4615142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514672"/>
        <c:crosses val="autoZero"/>
        <c:auto val="1"/>
        <c:lblAlgn val="ctr"/>
        <c:lblOffset val="100"/>
        <c:noMultiLvlLbl val="0"/>
      </c:catAx>
      <c:valAx>
        <c:axId val="46151467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514280"/>
        <c:crosses val="autoZero"/>
        <c:crossBetween val="between"/>
      </c:valAx>
      <c:spPr>
        <a:noFill/>
        <a:ln>
          <a:noFill/>
        </a:ln>
        <a:effectLst/>
      </c:spPr>
    </c:plotArea>
    <c:legend>
      <c:legendPos val="t"/>
      <c:layout>
        <c:manualLayout>
          <c:xMode val="edge"/>
          <c:yMode val="edge"/>
          <c:x val="0.1067062707832858"/>
          <c:y val="0.10855752803091595"/>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560</c:v>
                </c:pt>
                <c:pt idx="1">
                  <c:v>556</c:v>
                </c:pt>
                <c:pt idx="2">
                  <c:v>610</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132021736"/>
        <c:axId val="132020560"/>
      </c:barChart>
      <c:catAx>
        <c:axId val="1320217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32020560"/>
        <c:crosses val="autoZero"/>
        <c:auto val="1"/>
        <c:lblAlgn val="ctr"/>
        <c:lblOffset val="100"/>
        <c:noMultiLvlLbl val="0"/>
      </c:catAx>
      <c:valAx>
        <c:axId val="13202056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320217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20"/>
              <c:layout>
                <c:manualLayout>
                  <c:x val="-4.1347534145701155E-4"/>
                  <c:y val="-1.2709136789074717E-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597A-4FE2-BA31-AF1F91589BB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401</c:v>
                </c:pt>
                <c:pt idx="1">
                  <c:v>367</c:v>
                </c:pt>
                <c:pt idx="2">
                  <c:v>372</c:v>
                </c:pt>
                <c:pt idx="3">
                  <c:v>418</c:v>
                </c:pt>
                <c:pt idx="4">
                  <c:v>524</c:v>
                </c:pt>
                <c:pt idx="5">
                  <c:v>450</c:v>
                </c:pt>
                <c:pt idx="6">
                  <c:v>412</c:v>
                </c:pt>
                <c:pt idx="7">
                  <c:v>513</c:v>
                </c:pt>
                <c:pt idx="8">
                  <c:v>530</c:v>
                </c:pt>
                <c:pt idx="9">
                  <c:v>599</c:v>
                </c:pt>
                <c:pt idx="10">
                  <c:v>608</c:v>
                </c:pt>
                <c:pt idx="11">
                  <c:v>674</c:v>
                </c:pt>
                <c:pt idx="12">
                  <c:v>529</c:v>
                </c:pt>
                <c:pt idx="13">
                  <c:v>534</c:v>
                </c:pt>
                <c:pt idx="14">
                  <c:v>538</c:v>
                </c:pt>
                <c:pt idx="15">
                  <c:v>433</c:v>
                </c:pt>
                <c:pt idx="16">
                  <c:v>363</c:v>
                </c:pt>
                <c:pt idx="17">
                  <c:v>159</c:v>
                </c:pt>
                <c:pt idx="18">
                  <c:v>72</c:v>
                </c:pt>
                <c:pt idx="19">
                  <c:v>7</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61968264"/>
        <c:axId val="461967480"/>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399</c:v>
                </c:pt>
                <c:pt idx="1">
                  <c:v>373</c:v>
                </c:pt>
                <c:pt idx="2">
                  <c:v>385</c:v>
                </c:pt>
                <c:pt idx="3">
                  <c:v>548</c:v>
                </c:pt>
                <c:pt idx="4">
                  <c:v>592</c:v>
                </c:pt>
                <c:pt idx="5">
                  <c:v>565</c:v>
                </c:pt>
                <c:pt idx="6">
                  <c:v>525</c:v>
                </c:pt>
                <c:pt idx="7">
                  <c:v>512</c:v>
                </c:pt>
                <c:pt idx="8">
                  <c:v>574</c:v>
                </c:pt>
                <c:pt idx="9">
                  <c:v>603</c:v>
                </c:pt>
                <c:pt idx="10">
                  <c:v>657</c:v>
                </c:pt>
                <c:pt idx="11">
                  <c:v>706</c:v>
                </c:pt>
                <c:pt idx="12">
                  <c:v>609</c:v>
                </c:pt>
                <c:pt idx="13">
                  <c:v>600</c:v>
                </c:pt>
                <c:pt idx="14">
                  <c:v>570</c:v>
                </c:pt>
                <c:pt idx="15">
                  <c:v>546</c:v>
                </c:pt>
                <c:pt idx="16">
                  <c:v>511</c:v>
                </c:pt>
                <c:pt idx="17">
                  <c:v>322</c:v>
                </c:pt>
                <c:pt idx="18">
                  <c:v>150</c:v>
                </c:pt>
                <c:pt idx="19">
                  <c:v>61</c:v>
                </c:pt>
                <c:pt idx="20">
                  <c:v>14</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61969832"/>
        <c:axId val="461964344"/>
      </c:barChart>
      <c:catAx>
        <c:axId val="46196826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967480"/>
        <c:crosses val="autoZero"/>
        <c:auto val="1"/>
        <c:lblAlgn val="ctr"/>
        <c:lblOffset val="100"/>
        <c:noMultiLvlLbl val="0"/>
      </c:catAx>
      <c:valAx>
        <c:axId val="461967480"/>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968264"/>
        <c:crosses val="autoZero"/>
        <c:crossBetween val="between"/>
        <c:majorUnit val="500"/>
      </c:valAx>
      <c:valAx>
        <c:axId val="461964344"/>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969832"/>
        <c:crosses val="max"/>
        <c:crossBetween val="between"/>
        <c:majorUnit val="500"/>
      </c:valAx>
      <c:catAx>
        <c:axId val="461969832"/>
        <c:scaling>
          <c:orientation val="minMax"/>
        </c:scaling>
        <c:delete val="1"/>
        <c:axPos val="l"/>
        <c:numFmt formatCode="General" sourceLinked="1"/>
        <c:majorTickMark val="out"/>
        <c:minorTickMark val="none"/>
        <c:tickLblPos val="nextTo"/>
        <c:crossAx val="46196434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20"/>
              <c:layout>
                <c:manualLayout>
                  <c:x val="-2.655634537231583E-3"/>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3E67-4DAC-80F0-830C474B7C0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401</c:v>
                </c:pt>
                <c:pt idx="1">
                  <c:v>383</c:v>
                </c:pt>
                <c:pt idx="2">
                  <c:v>364</c:v>
                </c:pt>
                <c:pt idx="3">
                  <c:v>356</c:v>
                </c:pt>
                <c:pt idx="4">
                  <c:v>362</c:v>
                </c:pt>
                <c:pt idx="5">
                  <c:v>413</c:v>
                </c:pt>
                <c:pt idx="6">
                  <c:v>527</c:v>
                </c:pt>
                <c:pt idx="7">
                  <c:v>445</c:v>
                </c:pt>
                <c:pt idx="8">
                  <c:v>402</c:v>
                </c:pt>
                <c:pt idx="9">
                  <c:v>511</c:v>
                </c:pt>
                <c:pt idx="10">
                  <c:v>521</c:v>
                </c:pt>
                <c:pt idx="11">
                  <c:v>568</c:v>
                </c:pt>
                <c:pt idx="12">
                  <c:v>582</c:v>
                </c:pt>
                <c:pt idx="13">
                  <c:v>641</c:v>
                </c:pt>
                <c:pt idx="14">
                  <c:v>464</c:v>
                </c:pt>
                <c:pt idx="15">
                  <c:v>414</c:v>
                </c:pt>
                <c:pt idx="16">
                  <c:v>356</c:v>
                </c:pt>
                <c:pt idx="17">
                  <c:v>205</c:v>
                </c:pt>
                <c:pt idx="18">
                  <c:v>95</c:v>
                </c:pt>
                <c:pt idx="19">
                  <c:v>7</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1966304"/>
        <c:axId val="461965128"/>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399</c:v>
                </c:pt>
                <c:pt idx="1">
                  <c:v>389</c:v>
                </c:pt>
                <c:pt idx="2">
                  <c:v>377</c:v>
                </c:pt>
                <c:pt idx="3">
                  <c:v>414</c:v>
                </c:pt>
                <c:pt idx="4">
                  <c:v>447</c:v>
                </c:pt>
                <c:pt idx="5">
                  <c:v>624</c:v>
                </c:pt>
                <c:pt idx="6">
                  <c:v>602</c:v>
                </c:pt>
                <c:pt idx="7">
                  <c:v>521</c:v>
                </c:pt>
                <c:pt idx="8">
                  <c:v>520</c:v>
                </c:pt>
                <c:pt idx="9">
                  <c:v>519</c:v>
                </c:pt>
                <c:pt idx="10">
                  <c:v>575</c:v>
                </c:pt>
                <c:pt idx="11">
                  <c:v>581</c:v>
                </c:pt>
                <c:pt idx="12">
                  <c:v>646</c:v>
                </c:pt>
                <c:pt idx="13">
                  <c:v>708</c:v>
                </c:pt>
                <c:pt idx="14">
                  <c:v>562</c:v>
                </c:pt>
                <c:pt idx="15">
                  <c:v>531</c:v>
                </c:pt>
                <c:pt idx="16">
                  <c:v>481</c:v>
                </c:pt>
                <c:pt idx="17">
                  <c:v>367</c:v>
                </c:pt>
                <c:pt idx="18">
                  <c:v>204</c:v>
                </c:pt>
                <c:pt idx="19">
                  <c:v>57</c:v>
                </c:pt>
                <c:pt idx="20">
                  <c:v>12</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1967872"/>
        <c:axId val="461968656"/>
      </c:barChart>
      <c:catAx>
        <c:axId val="46196630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965128"/>
        <c:crosses val="autoZero"/>
        <c:auto val="1"/>
        <c:lblAlgn val="ctr"/>
        <c:lblOffset val="100"/>
        <c:noMultiLvlLbl val="0"/>
      </c:catAx>
      <c:valAx>
        <c:axId val="461965128"/>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966304"/>
        <c:crosses val="autoZero"/>
        <c:crossBetween val="between"/>
        <c:majorUnit val="500"/>
      </c:valAx>
      <c:valAx>
        <c:axId val="461968656"/>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967872"/>
        <c:crosses val="max"/>
        <c:crossBetween val="between"/>
        <c:majorUnit val="500"/>
      </c:valAx>
      <c:catAx>
        <c:axId val="461967872"/>
        <c:scaling>
          <c:orientation val="minMax"/>
        </c:scaling>
        <c:delete val="1"/>
        <c:axPos val="l"/>
        <c:numFmt formatCode="General" sourceLinked="1"/>
        <c:majorTickMark val="out"/>
        <c:minorTickMark val="none"/>
        <c:tickLblPos val="nextTo"/>
        <c:crossAx val="46196865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796</c:v>
                </c:pt>
                <c:pt idx="1">
                  <c:v>738</c:v>
                </c:pt>
                <c:pt idx="2">
                  <c:v>755</c:v>
                </c:pt>
                <c:pt idx="3">
                  <c:v>964</c:v>
                </c:pt>
                <c:pt idx="4">
                  <c:v>1116</c:v>
                </c:pt>
                <c:pt idx="5">
                  <c:v>1011</c:v>
                </c:pt>
                <c:pt idx="6">
                  <c:v>933</c:v>
                </c:pt>
                <c:pt idx="7">
                  <c:v>1025</c:v>
                </c:pt>
                <c:pt idx="8">
                  <c:v>1103</c:v>
                </c:pt>
                <c:pt idx="9">
                  <c:v>1201</c:v>
                </c:pt>
                <c:pt idx="10">
                  <c:v>1265</c:v>
                </c:pt>
                <c:pt idx="11">
                  <c:v>1380</c:v>
                </c:pt>
                <c:pt idx="12">
                  <c:v>1138</c:v>
                </c:pt>
                <c:pt idx="13">
                  <c:v>1134</c:v>
                </c:pt>
                <c:pt idx="14">
                  <c:v>1108</c:v>
                </c:pt>
                <c:pt idx="15">
                  <c:v>979</c:v>
                </c:pt>
                <c:pt idx="16">
                  <c:v>874</c:v>
                </c:pt>
                <c:pt idx="17">
                  <c:v>481</c:v>
                </c:pt>
                <c:pt idx="18">
                  <c:v>222</c:v>
                </c:pt>
                <c:pt idx="19">
                  <c:v>68</c:v>
                </c:pt>
                <c:pt idx="20">
                  <c:v>14</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1971008"/>
        <c:axId val="461963560"/>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800</c:v>
                </c:pt>
                <c:pt idx="1">
                  <c:v>740</c:v>
                </c:pt>
                <c:pt idx="2">
                  <c:v>757</c:v>
                </c:pt>
                <c:pt idx="3">
                  <c:v>966</c:v>
                </c:pt>
                <c:pt idx="4">
                  <c:v>1116</c:v>
                </c:pt>
                <c:pt idx="5">
                  <c:v>1015</c:v>
                </c:pt>
                <c:pt idx="6">
                  <c:v>937</c:v>
                </c:pt>
                <c:pt idx="7">
                  <c:v>1025</c:v>
                </c:pt>
                <c:pt idx="8">
                  <c:v>1104</c:v>
                </c:pt>
                <c:pt idx="9">
                  <c:v>1202</c:v>
                </c:pt>
                <c:pt idx="10">
                  <c:v>1265</c:v>
                </c:pt>
                <c:pt idx="11">
                  <c:v>1380</c:v>
                </c:pt>
                <c:pt idx="12">
                  <c:v>1138</c:v>
                </c:pt>
                <c:pt idx="13">
                  <c:v>1134</c:v>
                </c:pt>
                <c:pt idx="14">
                  <c:v>1108</c:v>
                </c:pt>
                <c:pt idx="15">
                  <c:v>979</c:v>
                </c:pt>
                <c:pt idx="16">
                  <c:v>874</c:v>
                </c:pt>
                <c:pt idx="17">
                  <c:v>481</c:v>
                </c:pt>
                <c:pt idx="18">
                  <c:v>222</c:v>
                </c:pt>
                <c:pt idx="19">
                  <c:v>68</c:v>
                </c:pt>
                <c:pt idx="20">
                  <c:v>14</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1963952"/>
        <c:axId val="461969440"/>
      </c:barChart>
      <c:catAx>
        <c:axId val="46197100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963560"/>
        <c:crosses val="autoZero"/>
        <c:auto val="1"/>
        <c:lblAlgn val="ctr"/>
        <c:lblOffset val="100"/>
        <c:noMultiLvlLbl val="0"/>
      </c:catAx>
      <c:valAx>
        <c:axId val="461963560"/>
        <c:scaling>
          <c:orientation val="maxMin"/>
          <c:max val="2000"/>
          <c:min val="-30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971008"/>
        <c:crosses val="autoZero"/>
        <c:crossBetween val="between"/>
        <c:majorUnit val="1000"/>
      </c:valAx>
      <c:valAx>
        <c:axId val="461969440"/>
        <c:scaling>
          <c:orientation val="minMax"/>
          <c:max val="2000"/>
          <c:min val="-30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963952"/>
        <c:crosses val="max"/>
        <c:crossBetween val="between"/>
        <c:majorUnit val="1000"/>
      </c:valAx>
      <c:catAx>
        <c:axId val="461963952"/>
        <c:scaling>
          <c:orientation val="minMax"/>
        </c:scaling>
        <c:delete val="1"/>
        <c:axPos val="l"/>
        <c:numFmt formatCode="General" sourceLinked="1"/>
        <c:majorTickMark val="out"/>
        <c:minorTickMark val="none"/>
        <c:tickLblPos val="nextTo"/>
        <c:crossAx val="461969440"/>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795</c:v>
                </c:pt>
                <c:pt idx="1">
                  <c:v>768</c:v>
                </c:pt>
                <c:pt idx="2">
                  <c:v>737</c:v>
                </c:pt>
                <c:pt idx="3">
                  <c:v>767</c:v>
                </c:pt>
                <c:pt idx="4">
                  <c:v>806</c:v>
                </c:pt>
                <c:pt idx="5">
                  <c:v>1031</c:v>
                </c:pt>
                <c:pt idx="6">
                  <c:v>1125</c:v>
                </c:pt>
                <c:pt idx="7">
                  <c:v>962</c:v>
                </c:pt>
                <c:pt idx="8">
                  <c:v>917</c:v>
                </c:pt>
                <c:pt idx="9">
                  <c:v>1029</c:v>
                </c:pt>
                <c:pt idx="10">
                  <c:v>1095</c:v>
                </c:pt>
                <c:pt idx="11">
                  <c:v>1148</c:v>
                </c:pt>
                <c:pt idx="12">
                  <c:v>1228</c:v>
                </c:pt>
                <c:pt idx="13">
                  <c:v>1349</c:v>
                </c:pt>
                <c:pt idx="14">
                  <c:v>1026</c:v>
                </c:pt>
                <c:pt idx="15">
                  <c:v>945</c:v>
                </c:pt>
                <c:pt idx="16">
                  <c:v>837</c:v>
                </c:pt>
                <c:pt idx="17">
                  <c:v>572</c:v>
                </c:pt>
                <c:pt idx="18">
                  <c:v>299</c:v>
                </c:pt>
                <c:pt idx="19">
                  <c:v>64</c:v>
                </c:pt>
                <c:pt idx="20">
                  <c:v>12</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1970224"/>
        <c:axId val="461965912"/>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800</c:v>
                </c:pt>
                <c:pt idx="1">
                  <c:v>772</c:v>
                </c:pt>
                <c:pt idx="2">
                  <c:v>741</c:v>
                </c:pt>
                <c:pt idx="3">
                  <c:v>770</c:v>
                </c:pt>
                <c:pt idx="4">
                  <c:v>809</c:v>
                </c:pt>
                <c:pt idx="5">
                  <c:v>1037</c:v>
                </c:pt>
                <c:pt idx="6">
                  <c:v>1129</c:v>
                </c:pt>
                <c:pt idx="7">
                  <c:v>966</c:v>
                </c:pt>
                <c:pt idx="8">
                  <c:v>922</c:v>
                </c:pt>
                <c:pt idx="9">
                  <c:v>1030</c:v>
                </c:pt>
                <c:pt idx="10">
                  <c:v>1096</c:v>
                </c:pt>
                <c:pt idx="11">
                  <c:v>1149</c:v>
                </c:pt>
                <c:pt idx="12">
                  <c:v>1228</c:v>
                </c:pt>
                <c:pt idx="13">
                  <c:v>1349</c:v>
                </c:pt>
                <c:pt idx="14">
                  <c:v>1026</c:v>
                </c:pt>
                <c:pt idx="15">
                  <c:v>945</c:v>
                </c:pt>
                <c:pt idx="16">
                  <c:v>837</c:v>
                </c:pt>
                <c:pt idx="17">
                  <c:v>572</c:v>
                </c:pt>
                <c:pt idx="18">
                  <c:v>299</c:v>
                </c:pt>
                <c:pt idx="19">
                  <c:v>64</c:v>
                </c:pt>
                <c:pt idx="20">
                  <c:v>12</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1967088"/>
        <c:axId val="461966696"/>
      </c:barChart>
      <c:catAx>
        <c:axId val="46197022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965912"/>
        <c:crosses val="autoZero"/>
        <c:auto val="1"/>
        <c:lblAlgn val="ctr"/>
        <c:lblOffset val="100"/>
        <c:noMultiLvlLbl val="0"/>
      </c:catAx>
      <c:valAx>
        <c:axId val="461965912"/>
        <c:scaling>
          <c:orientation val="maxMin"/>
          <c:max val="2000"/>
          <c:min val="-30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970224"/>
        <c:crosses val="autoZero"/>
        <c:crossBetween val="between"/>
        <c:majorUnit val="1000"/>
      </c:valAx>
      <c:valAx>
        <c:axId val="461966696"/>
        <c:scaling>
          <c:orientation val="minMax"/>
          <c:max val="2000"/>
          <c:min val="-30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967088"/>
        <c:crosses val="max"/>
        <c:crossBetween val="between"/>
        <c:majorUnit val="1000"/>
      </c:valAx>
      <c:catAx>
        <c:axId val="461967088"/>
        <c:scaling>
          <c:orientation val="minMax"/>
        </c:scaling>
        <c:delete val="1"/>
        <c:axPos val="l"/>
        <c:numFmt formatCode="General" sourceLinked="1"/>
        <c:majorTickMark val="out"/>
        <c:minorTickMark val="none"/>
        <c:tickLblPos val="nextTo"/>
        <c:crossAx val="461966696"/>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都城市平均</c:v>
                </c:pt>
                <c:pt idx="2">
                  <c:v>祝吉地区</c:v>
                </c:pt>
              </c:strCache>
            </c:strRef>
          </c:cat>
          <c:val>
            <c:numRef>
              <c:f>管理者用地域特徴シート!$H$3:$H$5</c:f>
              <c:numCache>
                <c:formatCode>0.0%</c:formatCode>
                <c:ptCount val="3"/>
                <c:pt idx="0">
                  <c:v>0.46108733927332846</c:v>
                </c:pt>
                <c:pt idx="1">
                  <c:v>0.45304826418289584</c:v>
                </c:pt>
                <c:pt idx="2">
                  <c:v>0.32374494148528932</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398682744"/>
        <c:axId val="398680392"/>
      </c:barChart>
      <c:catAx>
        <c:axId val="39868274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80392"/>
        <c:crosses val="autoZero"/>
        <c:auto val="1"/>
        <c:lblAlgn val="ctr"/>
        <c:lblOffset val="100"/>
        <c:noMultiLvlLbl val="0"/>
      </c:catAx>
      <c:valAx>
        <c:axId val="39868039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8274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都城市平均</c:v>
                </c:pt>
                <c:pt idx="2">
                  <c:v>祝吉地区</c:v>
                </c:pt>
              </c:strCache>
            </c:strRef>
          </c:cat>
          <c:val>
            <c:numRef>
              <c:f>管理者用地域特徴シート!$J$3:$J$5</c:f>
              <c:numCache>
                <c:formatCode>0.0%</c:formatCode>
                <c:ptCount val="3"/>
                <c:pt idx="0">
                  <c:v>0.15075281438403673</c:v>
                </c:pt>
                <c:pt idx="1">
                  <c:v>0.1614451030200395</c:v>
                </c:pt>
                <c:pt idx="2">
                  <c:v>0.1142950891392322</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398684312"/>
        <c:axId val="398680784"/>
      </c:barChart>
      <c:catAx>
        <c:axId val="39868431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80784"/>
        <c:crosses val="autoZero"/>
        <c:auto val="1"/>
        <c:lblAlgn val="ctr"/>
        <c:lblOffset val="100"/>
        <c:noMultiLvlLbl val="0"/>
      </c:catAx>
      <c:valAx>
        <c:axId val="39868078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8431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都城市平均</c:v>
                </c:pt>
                <c:pt idx="2">
                  <c:v>祝吉地区</c:v>
                </c:pt>
              </c:strCache>
            </c:strRef>
          </c:cat>
          <c:val>
            <c:numRef>
              <c:f>管理者用地域特徴シート!$P$3:$P$5</c:f>
              <c:numCache>
                <c:formatCode>0.0%</c:formatCode>
                <c:ptCount val="3"/>
                <c:pt idx="0">
                  <c:v>0.34758352842621743</c:v>
                </c:pt>
                <c:pt idx="1">
                  <c:v>0.35933142430278886</c:v>
                </c:pt>
                <c:pt idx="2">
                  <c:v>0.41912501978996253</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398684704"/>
        <c:axId val="398681176"/>
      </c:barChart>
      <c:catAx>
        <c:axId val="39868470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81176"/>
        <c:crosses val="autoZero"/>
        <c:auto val="1"/>
        <c:lblAlgn val="ctr"/>
        <c:lblOffset val="100"/>
        <c:noMultiLvlLbl val="0"/>
      </c:catAx>
      <c:valAx>
        <c:axId val="39868117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847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都城市平均</c:v>
                </c:pt>
                <c:pt idx="2">
                  <c:v>祝吉地区</c:v>
                </c:pt>
              </c:strCache>
            </c:strRef>
          </c:cat>
          <c:val>
            <c:numRef>
              <c:f>管理者用地域特徴シート!$AO$3:$AO$5</c:f>
              <c:numCache>
                <c:formatCode>0.0%</c:formatCode>
                <c:ptCount val="3"/>
                <c:pt idx="0">
                  <c:v>0.5259093009439566</c:v>
                </c:pt>
                <c:pt idx="1">
                  <c:v>0.53180387374868843</c:v>
                </c:pt>
                <c:pt idx="2">
                  <c:v>0.52945797329143751</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398681568"/>
        <c:axId val="398678040"/>
      </c:barChart>
      <c:catAx>
        <c:axId val="39868156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78040"/>
        <c:crosses val="autoZero"/>
        <c:auto val="1"/>
        <c:lblAlgn val="ctr"/>
        <c:lblOffset val="100"/>
        <c:noMultiLvlLbl val="0"/>
      </c:catAx>
      <c:valAx>
        <c:axId val="39867804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8156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祝吉地区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2.9514648010494096E-2</c:v>
                </c:pt>
                <c:pt idx="1">
                  <c:v>3.2794053344993443E-4</c:v>
                </c:pt>
                <c:pt idx="2">
                  <c:v>1.0931351114997814E-4</c:v>
                </c:pt>
                <c:pt idx="3">
                  <c:v>6.8648885002186272E-2</c:v>
                </c:pt>
                <c:pt idx="4">
                  <c:v>0.14626147791867075</c:v>
                </c:pt>
                <c:pt idx="5">
                  <c:v>5.9029296020988191E-3</c:v>
                </c:pt>
                <c:pt idx="6">
                  <c:v>1.060341058154788E-2</c:v>
                </c:pt>
                <c:pt idx="7">
                  <c:v>4.9519020550940096E-2</c:v>
                </c:pt>
                <c:pt idx="8">
                  <c:v>0.17741582859641453</c:v>
                </c:pt>
                <c:pt idx="9">
                  <c:v>1.65063401836467E-2</c:v>
                </c:pt>
                <c:pt idx="10">
                  <c:v>1.3008307826847398E-2</c:v>
                </c:pt>
                <c:pt idx="11">
                  <c:v>2.4814167031045036E-2</c:v>
                </c:pt>
                <c:pt idx="12">
                  <c:v>5.4328815041539136E-2</c:v>
                </c:pt>
                <c:pt idx="13">
                  <c:v>3.4652383034543072E-2</c:v>
                </c:pt>
                <c:pt idx="14">
                  <c:v>6.8648885002186272E-2</c:v>
                </c:pt>
                <c:pt idx="15">
                  <c:v>0.17468299081766506</c:v>
                </c:pt>
                <c:pt idx="16">
                  <c:v>1.4429383471797114E-2</c:v>
                </c:pt>
                <c:pt idx="17">
                  <c:v>5.3563620463489288E-2</c:v>
                </c:pt>
                <c:pt idx="18">
                  <c:v>4.5255793616090952E-2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都城市平均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8.4017267107226609E-2</c:v>
                </c:pt>
                <c:pt idx="1">
                  <c:v>1.7320400767426987E-4</c:v>
                </c:pt>
                <c:pt idx="2">
                  <c:v>3.1976124493711362E-4</c:v>
                </c:pt>
                <c:pt idx="3">
                  <c:v>8.3484331698998077E-2</c:v>
                </c:pt>
                <c:pt idx="4">
                  <c:v>0.14970155617139203</c:v>
                </c:pt>
                <c:pt idx="5">
                  <c:v>3.5706672351311021E-3</c:v>
                </c:pt>
                <c:pt idx="6">
                  <c:v>7.9673843530164139E-3</c:v>
                </c:pt>
                <c:pt idx="7">
                  <c:v>4.6125559582178642E-2</c:v>
                </c:pt>
                <c:pt idx="8">
                  <c:v>0.15623001492219143</c:v>
                </c:pt>
                <c:pt idx="9">
                  <c:v>1.5801534853975698E-2</c:v>
                </c:pt>
                <c:pt idx="10">
                  <c:v>1.0525474312513324E-2</c:v>
                </c:pt>
                <c:pt idx="11">
                  <c:v>2.1170859091878064E-2</c:v>
                </c:pt>
                <c:pt idx="12">
                  <c:v>4.442016627584737E-2</c:v>
                </c:pt>
                <c:pt idx="13">
                  <c:v>3.5080473246642506E-2</c:v>
                </c:pt>
                <c:pt idx="14">
                  <c:v>4.851044553400128E-2</c:v>
                </c:pt>
                <c:pt idx="15">
                  <c:v>0.16800788744404177</c:v>
                </c:pt>
                <c:pt idx="16">
                  <c:v>1.1991046685141761E-2</c:v>
                </c:pt>
                <c:pt idx="17">
                  <c:v>5.0655510552121086E-2</c:v>
                </c:pt>
                <c:pt idx="18">
                  <c:v>4.3287678533361754E-2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398682352"/>
        <c:axId val="398683920"/>
      </c:barChart>
      <c:catAx>
        <c:axId val="3986823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83920"/>
        <c:crosses val="autoZero"/>
        <c:auto val="1"/>
        <c:lblAlgn val="ctr"/>
        <c:lblOffset val="100"/>
        <c:noMultiLvlLbl val="0"/>
      </c:catAx>
      <c:valAx>
        <c:axId val="398683920"/>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82352"/>
        <c:crosses val="autoZero"/>
        <c:crossBetween val="between"/>
      </c:valAx>
      <c:spPr>
        <a:noFill/>
        <a:ln>
          <a:noFill/>
        </a:ln>
        <a:effectLst/>
      </c:spPr>
    </c:plotArea>
    <c:legend>
      <c:legendPos val="b"/>
      <c:layout>
        <c:manualLayout>
          <c:xMode val="edge"/>
          <c:yMode val="edge"/>
          <c:x val="0.56271294961369267"/>
          <c:y val="7.6310511750843371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都城市平均</c:v>
                </c:pt>
                <c:pt idx="2">
                  <c:v>祝吉地区</c:v>
                </c:pt>
              </c:strCache>
            </c:strRef>
          </c:cat>
          <c:val>
            <c:numRef>
              <c:f>管理者用地域特徴シート!$CK$3:$CK$5</c:f>
              <c:numCache>
                <c:formatCode>0.0%</c:formatCode>
                <c:ptCount val="3"/>
                <c:pt idx="0">
                  <c:v>0.82747216160708559</c:v>
                </c:pt>
                <c:pt idx="1">
                  <c:v>0.87388083564272012</c:v>
                </c:pt>
                <c:pt idx="2">
                  <c:v>0.8712286838653257</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398679216"/>
        <c:axId val="398683528"/>
      </c:barChart>
      <c:catAx>
        <c:axId val="39867921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83528"/>
        <c:crosses val="autoZero"/>
        <c:auto val="1"/>
        <c:lblAlgn val="ctr"/>
        <c:lblOffset val="100"/>
        <c:noMultiLvlLbl val="0"/>
      </c:catAx>
      <c:valAx>
        <c:axId val="39868352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7921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0.2</c:v>
                </c:pt>
                <c:pt idx="1">
                  <c:v>0.22</c:v>
                </c:pt>
                <c:pt idx="2">
                  <c:v>0.24</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9696184"/>
        <c:axId val="399699712"/>
      </c:barChart>
      <c:catAx>
        <c:axId val="3996961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699712"/>
        <c:crosses val="autoZero"/>
        <c:auto val="1"/>
        <c:lblAlgn val="ctr"/>
        <c:lblOffset val="100"/>
        <c:noMultiLvlLbl val="0"/>
      </c:catAx>
      <c:valAx>
        <c:axId val="39969971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69618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0.11</c:v>
                </c:pt>
                <c:pt idx="1">
                  <c:v>0.11</c:v>
                </c:pt>
                <c:pt idx="2">
                  <c:v>0.12</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9694224"/>
        <c:axId val="399697360"/>
      </c:barChart>
      <c:catAx>
        <c:axId val="3996942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697360"/>
        <c:crosses val="autoZero"/>
        <c:auto val="1"/>
        <c:lblAlgn val="ctr"/>
        <c:lblOffset val="100"/>
        <c:noMultiLvlLbl val="0"/>
      </c:catAx>
      <c:valAx>
        <c:axId val="39969736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69422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20"/>
              <c:layout>
                <c:manualLayout>
                  <c:x val="-3.6993072631499528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EACE-4C42-AED9-C140B1AD707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613</c:v>
                </c:pt>
                <c:pt idx="1">
                  <c:v>489</c:v>
                </c:pt>
                <c:pt idx="2">
                  <c:v>455</c:v>
                </c:pt>
                <c:pt idx="3">
                  <c:v>532</c:v>
                </c:pt>
                <c:pt idx="4">
                  <c:v>472</c:v>
                </c:pt>
                <c:pt idx="5">
                  <c:v>618</c:v>
                </c:pt>
                <c:pt idx="6">
                  <c:v>648</c:v>
                </c:pt>
                <c:pt idx="7">
                  <c:v>668</c:v>
                </c:pt>
                <c:pt idx="8">
                  <c:v>591</c:v>
                </c:pt>
                <c:pt idx="9">
                  <c:v>588</c:v>
                </c:pt>
                <c:pt idx="10">
                  <c:v>634</c:v>
                </c:pt>
                <c:pt idx="11">
                  <c:v>595</c:v>
                </c:pt>
                <c:pt idx="12">
                  <c:v>640</c:v>
                </c:pt>
                <c:pt idx="13">
                  <c:v>433</c:v>
                </c:pt>
                <c:pt idx="14">
                  <c:v>410</c:v>
                </c:pt>
                <c:pt idx="15">
                  <c:v>317</c:v>
                </c:pt>
                <c:pt idx="16">
                  <c:v>262</c:v>
                </c:pt>
                <c:pt idx="17">
                  <c:v>101</c:v>
                </c:pt>
                <c:pt idx="18">
                  <c:v>40</c:v>
                </c:pt>
                <c:pt idx="19">
                  <c:v>5</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9694616"/>
        <c:axId val="399695400"/>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528</c:v>
                </c:pt>
                <c:pt idx="1">
                  <c:v>477</c:v>
                </c:pt>
                <c:pt idx="2">
                  <c:v>441</c:v>
                </c:pt>
                <c:pt idx="3">
                  <c:v>475</c:v>
                </c:pt>
                <c:pt idx="4">
                  <c:v>584</c:v>
                </c:pt>
                <c:pt idx="5">
                  <c:v>652</c:v>
                </c:pt>
                <c:pt idx="6">
                  <c:v>645</c:v>
                </c:pt>
                <c:pt idx="7">
                  <c:v>746</c:v>
                </c:pt>
                <c:pt idx="8">
                  <c:v>616</c:v>
                </c:pt>
                <c:pt idx="9">
                  <c:v>616</c:v>
                </c:pt>
                <c:pt idx="10">
                  <c:v>630</c:v>
                </c:pt>
                <c:pt idx="11">
                  <c:v>623</c:v>
                </c:pt>
                <c:pt idx="12">
                  <c:v>629</c:v>
                </c:pt>
                <c:pt idx="13">
                  <c:v>529</c:v>
                </c:pt>
                <c:pt idx="14">
                  <c:v>459</c:v>
                </c:pt>
                <c:pt idx="15">
                  <c:v>496</c:v>
                </c:pt>
                <c:pt idx="16">
                  <c:v>402</c:v>
                </c:pt>
                <c:pt idx="17">
                  <c:v>287</c:v>
                </c:pt>
                <c:pt idx="18">
                  <c:v>112</c:v>
                </c:pt>
                <c:pt idx="19">
                  <c:v>27</c:v>
                </c:pt>
                <c:pt idx="20">
                  <c:v>12</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9698536"/>
        <c:axId val="399697752"/>
      </c:barChart>
      <c:catAx>
        <c:axId val="39969461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695400"/>
        <c:crosses val="autoZero"/>
        <c:auto val="1"/>
        <c:lblAlgn val="ctr"/>
        <c:lblOffset val="100"/>
        <c:noMultiLvlLbl val="0"/>
      </c:catAx>
      <c:valAx>
        <c:axId val="399695400"/>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694616"/>
        <c:crosses val="autoZero"/>
        <c:crossBetween val="between"/>
        <c:majorUnit val="500"/>
      </c:valAx>
      <c:valAx>
        <c:axId val="399697752"/>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698536"/>
        <c:crosses val="max"/>
        <c:crossBetween val="between"/>
        <c:majorUnit val="500"/>
      </c:valAx>
      <c:catAx>
        <c:axId val="399698536"/>
        <c:scaling>
          <c:orientation val="minMax"/>
        </c:scaling>
        <c:delete val="1"/>
        <c:axPos val="l"/>
        <c:numFmt formatCode="General" sourceLinked="1"/>
        <c:majorTickMark val="out"/>
        <c:minorTickMark val="none"/>
        <c:tickLblPos val="nextTo"/>
        <c:crossAx val="39969775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9111</c:v>
                </c:pt>
                <c:pt idx="1">
                  <c:v>8909</c:v>
                </c:pt>
                <c:pt idx="2">
                  <c:v>8919</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9986</c:v>
                </c:pt>
                <c:pt idx="1">
                  <c:v>9931</c:v>
                </c:pt>
                <c:pt idx="2">
                  <c:v>10027</c:v>
                </c:pt>
              </c:numCache>
            </c:numRef>
          </c:val>
          <c:extLst xmlns:c16r2="http://schemas.microsoft.com/office/drawing/2015/06/chart">
            <c:ext xmlns:c16="http://schemas.microsoft.com/office/drawing/2014/chart" uri="{C3380CC4-5D6E-409C-BE32-E72D297353CC}">
              <c16:uniqueId val="{00000000-3D1E-48E6-9E1C-9A407A04F382}"/>
            </c:ext>
          </c:extLst>
        </c:ser>
        <c:dLbls>
          <c:showLegendKey val="0"/>
          <c:showVal val="0"/>
          <c:showCatName val="0"/>
          <c:showSerName val="0"/>
          <c:showPercent val="0"/>
          <c:showBubbleSize val="0"/>
        </c:dLbls>
        <c:gapWidth val="219"/>
        <c:overlap val="100"/>
        <c:axId val="399698928"/>
        <c:axId val="399696968"/>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8.2404589743101206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3D1E-48E6-9E1C-9A407A04F382}"/>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19097</c:v>
                </c:pt>
                <c:pt idx="1">
                  <c:v>18840</c:v>
                </c:pt>
                <c:pt idx="2">
                  <c:v>18946</c:v>
                </c:pt>
              </c:numCache>
            </c:numRef>
          </c:val>
          <c:smooth val="0"/>
          <c:extLst xmlns:c16r2="http://schemas.microsoft.com/office/drawing/2015/06/chart">
            <c:ext xmlns:c16="http://schemas.microsoft.com/office/drawing/2014/chart" uri="{C3380CC4-5D6E-409C-BE32-E72D297353CC}">
              <c16:uniqueId val="{00000002-3D1E-48E6-9E1C-9A407A04F382}"/>
            </c:ext>
          </c:extLst>
        </c:ser>
        <c:dLbls>
          <c:showLegendKey val="0"/>
          <c:showVal val="0"/>
          <c:showCatName val="0"/>
          <c:showSerName val="0"/>
          <c:showPercent val="0"/>
          <c:showBubbleSize val="0"/>
        </c:dLbls>
        <c:marker val="1"/>
        <c:smooth val="0"/>
        <c:axId val="399698928"/>
        <c:axId val="399696968"/>
      </c:lineChart>
      <c:catAx>
        <c:axId val="3996989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696968"/>
        <c:crosses val="autoZero"/>
        <c:auto val="1"/>
        <c:lblAlgn val="ctr"/>
        <c:lblOffset val="100"/>
        <c:noMultiLvlLbl val="0"/>
      </c:catAx>
      <c:valAx>
        <c:axId val="39969696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698928"/>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20"/>
              <c:layout>
                <c:manualLayout>
                  <c:x val="-1.1355565205592791E-3"/>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BE88-4539-AB37-03268CF839E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409</c:v>
                </c:pt>
                <c:pt idx="1">
                  <c:v>430</c:v>
                </c:pt>
                <c:pt idx="2">
                  <c:v>537</c:v>
                </c:pt>
                <c:pt idx="3">
                  <c:v>456</c:v>
                </c:pt>
                <c:pt idx="4">
                  <c:v>409</c:v>
                </c:pt>
                <c:pt idx="5">
                  <c:v>518</c:v>
                </c:pt>
                <c:pt idx="6">
                  <c:v>544</c:v>
                </c:pt>
                <c:pt idx="7">
                  <c:v>601</c:v>
                </c:pt>
                <c:pt idx="8">
                  <c:v>618</c:v>
                </c:pt>
                <c:pt idx="9">
                  <c:v>712</c:v>
                </c:pt>
                <c:pt idx="10">
                  <c:v>553</c:v>
                </c:pt>
                <c:pt idx="11">
                  <c:v>561</c:v>
                </c:pt>
                <c:pt idx="12">
                  <c:v>614</c:v>
                </c:pt>
                <c:pt idx="13">
                  <c:v>558</c:v>
                </c:pt>
                <c:pt idx="14">
                  <c:v>548</c:v>
                </c:pt>
                <c:pt idx="15">
                  <c:v>336</c:v>
                </c:pt>
                <c:pt idx="16">
                  <c:v>277</c:v>
                </c:pt>
                <c:pt idx="17">
                  <c:v>155</c:v>
                </c:pt>
                <c:pt idx="18">
                  <c:v>79</c:v>
                </c:pt>
                <c:pt idx="19">
                  <c:v>4</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9699320"/>
        <c:axId val="399692656"/>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407</c:v>
                </c:pt>
                <c:pt idx="1">
                  <c:v>494</c:v>
                </c:pt>
                <c:pt idx="2">
                  <c:v>511</c:v>
                </c:pt>
                <c:pt idx="3">
                  <c:v>496</c:v>
                </c:pt>
                <c:pt idx="4">
                  <c:v>516</c:v>
                </c:pt>
                <c:pt idx="5">
                  <c:v>555</c:v>
                </c:pt>
                <c:pt idx="6">
                  <c:v>579</c:v>
                </c:pt>
                <c:pt idx="7">
                  <c:v>595</c:v>
                </c:pt>
                <c:pt idx="8">
                  <c:v>656</c:v>
                </c:pt>
                <c:pt idx="9">
                  <c:v>733</c:v>
                </c:pt>
                <c:pt idx="10">
                  <c:v>620</c:v>
                </c:pt>
                <c:pt idx="11">
                  <c:v>598</c:v>
                </c:pt>
                <c:pt idx="12">
                  <c:v>618</c:v>
                </c:pt>
                <c:pt idx="13">
                  <c:v>617</c:v>
                </c:pt>
                <c:pt idx="14">
                  <c:v>606</c:v>
                </c:pt>
                <c:pt idx="15">
                  <c:v>478</c:v>
                </c:pt>
                <c:pt idx="16">
                  <c:v>376</c:v>
                </c:pt>
                <c:pt idx="17">
                  <c:v>344</c:v>
                </c:pt>
                <c:pt idx="18">
                  <c:v>178</c:v>
                </c:pt>
                <c:pt idx="19">
                  <c:v>43</c:v>
                </c:pt>
                <c:pt idx="20">
                  <c:v>7</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9693440"/>
        <c:axId val="399693048"/>
      </c:barChart>
      <c:catAx>
        <c:axId val="39969932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692656"/>
        <c:crosses val="autoZero"/>
        <c:auto val="1"/>
        <c:lblAlgn val="ctr"/>
        <c:lblOffset val="100"/>
        <c:noMultiLvlLbl val="0"/>
      </c:catAx>
      <c:valAx>
        <c:axId val="399692656"/>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699320"/>
        <c:crosses val="autoZero"/>
        <c:crossBetween val="between"/>
        <c:majorUnit val="500"/>
      </c:valAx>
      <c:valAx>
        <c:axId val="399693048"/>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693440"/>
        <c:crosses val="max"/>
        <c:crossBetween val="between"/>
        <c:majorUnit val="500"/>
      </c:valAx>
      <c:catAx>
        <c:axId val="399693440"/>
        <c:scaling>
          <c:orientation val="minMax"/>
        </c:scaling>
        <c:delete val="1"/>
        <c:axPos val="l"/>
        <c:numFmt formatCode="General" sourceLinked="1"/>
        <c:majorTickMark val="out"/>
        <c:minorTickMark val="none"/>
        <c:tickLblPos val="nextTo"/>
        <c:crossAx val="39969304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449C-45B8-AE0C-5410FE72C3A6}"/>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449C-45B8-AE0C-5410FE72C3A6}"/>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449C-45B8-AE0C-5410FE72C3A6}"/>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449C-45B8-AE0C-5410FE72C3A6}"/>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449C-45B8-AE0C-5410FE72C3A6}"/>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9111</c:v>
                </c:pt>
                <c:pt idx="1">
                  <c:v>8909</c:v>
                </c:pt>
                <c:pt idx="2">
                  <c:v>8919</c:v>
                </c:pt>
                <c:pt idx="3">
                  <c:v>8716</c:v>
                </c:pt>
                <c:pt idx="4">
                  <c:v>8494</c:v>
                </c:pt>
                <c:pt idx="5">
                  <c:v>8265</c:v>
                </c:pt>
                <c:pt idx="6">
                  <c:v>7999</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449C-45B8-AE0C-5410FE72C3A6}"/>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449C-45B8-AE0C-5410FE72C3A6}"/>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449C-45B8-AE0C-5410FE72C3A6}"/>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9986</c:v>
                </c:pt>
                <c:pt idx="1">
                  <c:v>9931</c:v>
                </c:pt>
                <c:pt idx="2">
                  <c:v>10027</c:v>
                </c:pt>
                <c:pt idx="3">
                  <c:v>9923</c:v>
                </c:pt>
                <c:pt idx="4">
                  <c:v>9811</c:v>
                </c:pt>
                <c:pt idx="5">
                  <c:v>9693</c:v>
                </c:pt>
                <c:pt idx="6">
                  <c:v>9513</c:v>
                </c:pt>
              </c:numCache>
            </c:numRef>
          </c:val>
          <c:extLst xmlns:c16r2="http://schemas.microsoft.com/office/drawing/2015/06/chart">
            <c:ext xmlns:c16="http://schemas.microsoft.com/office/drawing/2014/chart" uri="{C3380CC4-5D6E-409C-BE32-E72D297353CC}">
              <c16:uniqueId val="{00000010-449C-45B8-AE0C-5410FE72C3A6}"/>
            </c:ext>
          </c:extLst>
        </c:ser>
        <c:dLbls>
          <c:showLegendKey val="0"/>
          <c:showVal val="0"/>
          <c:showCatName val="0"/>
          <c:showSerName val="0"/>
          <c:showPercent val="0"/>
          <c:showBubbleSize val="0"/>
        </c:dLbls>
        <c:gapWidth val="219"/>
        <c:overlap val="100"/>
        <c:axId val="403628384"/>
        <c:axId val="403628776"/>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19097</c:v>
                </c:pt>
                <c:pt idx="1">
                  <c:v>18840</c:v>
                </c:pt>
                <c:pt idx="2">
                  <c:v>18946</c:v>
                </c:pt>
                <c:pt idx="3">
                  <c:v>18639</c:v>
                </c:pt>
                <c:pt idx="4">
                  <c:v>18305</c:v>
                </c:pt>
                <c:pt idx="5">
                  <c:v>17958</c:v>
                </c:pt>
                <c:pt idx="6">
                  <c:v>17512</c:v>
                </c:pt>
              </c:numCache>
            </c:numRef>
          </c:val>
          <c:smooth val="0"/>
          <c:extLst xmlns:c16r2="http://schemas.microsoft.com/office/drawing/2015/06/chart">
            <c:ext xmlns:c16="http://schemas.microsoft.com/office/drawing/2014/chart" uri="{C3380CC4-5D6E-409C-BE32-E72D297353CC}">
              <c16:uniqueId val="{00000011-449C-45B8-AE0C-5410FE72C3A6}"/>
            </c:ext>
          </c:extLst>
        </c:ser>
        <c:dLbls>
          <c:showLegendKey val="0"/>
          <c:showVal val="0"/>
          <c:showCatName val="0"/>
          <c:showSerName val="0"/>
          <c:showPercent val="0"/>
          <c:showBubbleSize val="0"/>
        </c:dLbls>
        <c:marker val="1"/>
        <c:smooth val="0"/>
        <c:axId val="403628384"/>
        <c:axId val="403628776"/>
      </c:lineChart>
      <c:catAx>
        <c:axId val="4036283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3628776"/>
        <c:crosses val="autoZero"/>
        <c:auto val="1"/>
        <c:lblAlgn val="ctr"/>
        <c:lblOffset val="100"/>
        <c:noMultiLvlLbl val="0"/>
      </c:catAx>
      <c:valAx>
        <c:axId val="40362877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3628384"/>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1117</c:v>
                </c:pt>
                <c:pt idx="1">
                  <c:v>1159</c:v>
                </c:pt>
                <c:pt idx="2">
                  <c:v>1183</c:v>
                </c:pt>
                <c:pt idx="3">
                  <c:v>1007</c:v>
                </c:pt>
                <c:pt idx="4">
                  <c:v>896</c:v>
                </c:pt>
                <c:pt idx="5">
                  <c:v>885</c:v>
                </c:pt>
                <c:pt idx="6">
                  <c:v>902</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403631520"/>
        <c:axId val="403629168"/>
      </c:barChart>
      <c:catAx>
        <c:axId val="4036315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3629168"/>
        <c:crosses val="autoZero"/>
        <c:auto val="1"/>
        <c:lblAlgn val="ctr"/>
        <c:lblOffset val="100"/>
        <c:noMultiLvlLbl val="0"/>
      </c:catAx>
      <c:valAx>
        <c:axId val="40362916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363152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4" t="s">
        <v>322</v>
      </c>
      <c r="B8" s="244"/>
      <c r="C8" s="244"/>
      <c r="D8" s="244"/>
      <c r="E8" s="244"/>
      <c r="F8" s="244"/>
      <c r="G8" s="244"/>
      <c r="H8" s="244"/>
      <c r="I8" s="244"/>
      <c r="J8" s="244"/>
    </row>
    <row r="9" spans="1:10" x14ac:dyDescent="0.15">
      <c r="A9" s="247" t="s">
        <v>357</v>
      </c>
      <c r="B9" s="247"/>
      <c r="C9" s="247"/>
      <c r="D9" s="247"/>
      <c r="E9" s="247"/>
      <c r="F9" s="247"/>
      <c r="G9" s="247"/>
      <c r="H9" s="247"/>
      <c r="I9" s="247"/>
      <c r="J9" s="247"/>
    </row>
    <row r="10" spans="1:10" x14ac:dyDescent="0.15">
      <c r="A10" s="247"/>
      <c r="B10" s="247"/>
      <c r="C10" s="247"/>
      <c r="D10" s="247"/>
      <c r="E10" s="247"/>
      <c r="F10" s="247"/>
      <c r="G10" s="247"/>
      <c r="H10" s="247"/>
      <c r="I10" s="247"/>
      <c r="J10" s="247"/>
    </row>
    <row r="11" spans="1:10" x14ac:dyDescent="0.15">
      <c r="A11" s="247"/>
      <c r="B11" s="247"/>
      <c r="C11" s="247"/>
      <c r="D11" s="247"/>
      <c r="E11" s="247"/>
      <c r="F11" s="247"/>
      <c r="G11" s="247"/>
      <c r="H11" s="247"/>
      <c r="I11" s="247"/>
      <c r="J11" s="247"/>
    </row>
    <row r="12" spans="1:10" x14ac:dyDescent="0.15">
      <c r="A12" s="247"/>
      <c r="B12" s="247"/>
      <c r="C12" s="247"/>
      <c r="D12" s="247"/>
      <c r="E12" s="247"/>
      <c r="F12" s="247"/>
      <c r="G12" s="247"/>
      <c r="H12" s="247"/>
      <c r="I12" s="247"/>
      <c r="J12" s="247"/>
    </row>
    <row r="15" spans="1:10" ht="18.75" customHeight="1" x14ac:dyDescent="0.15">
      <c r="A15" s="245" t="str">
        <f>管理者入力シート!B4</f>
        <v>祝吉地区</v>
      </c>
      <c r="B15" s="245"/>
      <c r="C15" s="245"/>
      <c r="D15" s="245"/>
      <c r="E15" s="245"/>
      <c r="F15" s="245"/>
      <c r="G15" s="245"/>
      <c r="H15" s="245"/>
      <c r="I15" s="245"/>
      <c r="J15" s="245"/>
    </row>
    <row r="16" spans="1:10" ht="18.75" customHeight="1" x14ac:dyDescent="0.15">
      <c r="A16" s="245"/>
      <c r="B16" s="245"/>
      <c r="C16" s="245"/>
      <c r="D16" s="245"/>
      <c r="E16" s="245"/>
      <c r="F16" s="245"/>
      <c r="G16" s="245"/>
      <c r="H16" s="245"/>
      <c r="I16" s="245"/>
      <c r="J16" s="245"/>
    </row>
    <row r="19" spans="1:10" ht="18.75" customHeight="1" x14ac:dyDescent="0.15">
      <c r="A19" s="246" t="s">
        <v>358</v>
      </c>
      <c r="B19" s="246"/>
      <c r="C19" s="246"/>
      <c r="D19" s="246"/>
      <c r="E19" s="246"/>
      <c r="F19" s="246"/>
      <c r="G19" s="246"/>
      <c r="H19" s="246"/>
      <c r="I19" s="246"/>
      <c r="J19" s="246"/>
    </row>
    <row r="20" spans="1:10" x14ac:dyDescent="0.15">
      <c r="A20" s="246"/>
      <c r="B20" s="246"/>
      <c r="C20" s="246"/>
      <c r="D20" s="246"/>
      <c r="E20" s="246"/>
      <c r="F20" s="246"/>
      <c r="G20" s="246"/>
      <c r="H20" s="246"/>
      <c r="I20" s="246"/>
      <c r="J20" s="246"/>
    </row>
    <row r="21" spans="1:10" x14ac:dyDescent="0.15">
      <c r="A21" s="246"/>
      <c r="B21" s="246"/>
      <c r="C21" s="246"/>
      <c r="D21" s="246"/>
      <c r="E21" s="246"/>
      <c r="F21" s="246"/>
      <c r="G21" s="246"/>
      <c r="H21" s="246"/>
      <c r="I21" s="246"/>
      <c r="J21" s="246"/>
    </row>
    <row r="22" spans="1:10" x14ac:dyDescent="0.15">
      <c r="A22" s="246"/>
      <c r="B22" s="246"/>
      <c r="C22" s="246"/>
      <c r="D22" s="246"/>
      <c r="E22" s="246"/>
      <c r="F22" s="246"/>
      <c r="G22" s="246"/>
      <c r="H22" s="246"/>
      <c r="I22" s="246"/>
      <c r="J22" s="246"/>
    </row>
    <row r="23" spans="1:10" x14ac:dyDescent="0.15">
      <c r="A23" s="246"/>
      <c r="B23" s="246"/>
      <c r="C23" s="246"/>
      <c r="D23" s="246"/>
      <c r="E23" s="246"/>
      <c r="F23" s="246"/>
      <c r="G23" s="246"/>
      <c r="H23" s="246"/>
      <c r="I23" s="246"/>
      <c r="J23" s="246"/>
    </row>
    <row r="24" spans="1:10" x14ac:dyDescent="0.15">
      <c r="A24" s="246"/>
      <c r="B24" s="246"/>
      <c r="C24" s="246"/>
      <c r="D24" s="246"/>
      <c r="E24" s="246"/>
      <c r="F24" s="246"/>
      <c r="G24" s="246"/>
      <c r="H24" s="246"/>
      <c r="I24" s="246"/>
      <c r="J24" s="246"/>
    </row>
    <row r="25" spans="1:10" x14ac:dyDescent="0.15">
      <c r="A25" s="246"/>
      <c r="B25" s="246"/>
      <c r="C25" s="246"/>
      <c r="D25" s="246"/>
      <c r="E25" s="246"/>
      <c r="F25" s="246"/>
      <c r="G25" s="246"/>
      <c r="H25" s="246"/>
      <c r="I25" s="246"/>
      <c r="J25" s="246"/>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21"/>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3" t="s">
        <v>127</v>
      </c>
      <c r="B1" s="324" t="s">
        <v>128</v>
      </c>
      <c r="C1" s="326" t="s">
        <v>129</v>
      </c>
      <c r="D1" s="328" t="s">
        <v>130</v>
      </c>
      <c r="E1" s="328"/>
      <c r="F1" s="328"/>
      <c r="G1" s="328"/>
      <c r="H1" s="328"/>
      <c r="I1" s="328"/>
      <c r="J1" s="328"/>
      <c r="K1" s="305" t="s">
        <v>131</v>
      </c>
      <c r="L1" s="305"/>
      <c r="M1" s="305"/>
      <c r="N1" s="305"/>
      <c r="O1" s="305"/>
      <c r="P1" s="305"/>
      <c r="Q1" s="305"/>
      <c r="R1" s="329" t="s">
        <v>132</v>
      </c>
      <c r="S1" s="330"/>
      <c r="T1" s="330"/>
      <c r="U1" s="330"/>
      <c r="V1" s="330"/>
      <c r="W1" s="330"/>
      <c r="X1" s="330"/>
      <c r="Y1" s="330"/>
      <c r="Z1" s="330"/>
      <c r="AA1" s="330"/>
      <c r="AB1" s="330"/>
      <c r="AC1" s="330"/>
      <c r="AD1" s="330"/>
      <c r="AE1" s="330"/>
      <c r="AF1" s="330"/>
      <c r="AG1" s="330"/>
      <c r="AH1" s="330"/>
      <c r="AI1" s="330"/>
      <c r="AJ1" s="330"/>
      <c r="AK1" s="330"/>
      <c r="AL1" s="330"/>
      <c r="AM1" s="330"/>
      <c r="AN1" s="330"/>
      <c r="AO1" s="331"/>
      <c r="AP1" s="317" t="s">
        <v>133</v>
      </c>
      <c r="AQ1" s="318"/>
      <c r="AR1" s="318"/>
      <c r="AS1" s="318"/>
      <c r="AT1" s="318"/>
      <c r="AU1" s="318"/>
      <c r="AV1" s="318"/>
      <c r="AW1" s="318"/>
      <c r="AX1" s="318"/>
      <c r="AY1" s="318"/>
      <c r="AZ1" s="318"/>
      <c r="BA1" s="318"/>
      <c r="BB1" s="318"/>
      <c r="BC1" s="318"/>
      <c r="BD1" s="318"/>
      <c r="BE1" s="318"/>
      <c r="BF1" s="318"/>
      <c r="BG1" s="318"/>
      <c r="BH1" s="318"/>
      <c r="BI1" s="318"/>
      <c r="BJ1" s="318"/>
      <c r="BK1" s="318"/>
      <c r="BL1" s="318"/>
      <c r="BM1" s="318"/>
      <c r="BN1" s="318"/>
      <c r="BO1" s="318"/>
      <c r="BP1" s="318"/>
      <c r="BQ1" s="318"/>
      <c r="BR1" s="318"/>
      <c r="BS1" s="318"/>
      <c r="BT1" s="318"/>
      <c r="BU1" s="318"/>
      <c r="BV1" s="318"/>
      <c r="BW1" s="318"/>
      <c r="BX1" s="318"/>
      <c r="BY1" s="318"/>
      <c r="BZ1" s="318"/>
      <c r="CA1" s="318"/>
      <c r="CB1" s="319"/>
      <c r="CC1" s="320" t="s">
        <v>134</v>
      </c>
      <c r="CD1" s="321"/>
      <c r="CE1" s="321"/>
      <c r="CF1" s="321"/>
      <c r="CG1" s="321"/>
      <c r="CH1" s="321"/>
      <c r="CI1" s="321"/>
      <c r="CJ1" s="321"/>
      <c r="CK1" s="321"/>
      <c r="CL1" s="321"/>
      <c r="CM1" s="321"/>
      <c r="CN1" s="321"/>
      <c r="CO1" s="321"/>
      <c r="CP1" s="322"/>
    </row>
    <row r="2" spans="1:94" s="80" customFormat="1" ht="60" x14ac:dyDescent="0.15">
      <c r="A2" s="324"/>
      <c r="B2" s="325"/>
      <c r="C2" s="327"/>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都城市平均</v>
      </c>
      <c r="C4" s="88" t="str">
        <f>B4</f>
        <v>都城市平均</v>
      </c>
      <c r="D4" s="185">
        <f>SUM(D7:D70)</f>
        <v>70860</v>
      </c>
      <c r="E4" s="186">
        <f>SUM(E7:E70)</f>
        <v>32103</v>
      </c>
      <c r="F4" s="186">
        <f>SUM(F7:F70)</f>
        <v>11269</v>
      </c>
      <c r="G4" s="187">
        <f>SUM(G7:G70)</f>
        <v>11440</v>
      </c>
      <c r="H4" s="148">
        <f>E4/D4</f>
        <v>0.45304826418289584</v>
      </c>
      <c r="I4" s="149">
        <f>F4/D4</f>
        <v>0.15903189387524697</v>
      </c>
      <c r="J4" s="150">
        <f>G4/D4</f>
        <v>0.1614451030200395</v>
      </c>
      <c r="K4" s="185">
        <f>SUM(K7:K70)</f>
        <v>160640</v>
      </c>
      <c r="L4" s="186">
        <f>SUM(L7:L70)</f>
        <v>16084</v>
      </c>
      <c r="M4" s="186">
        <f>SUM(M7:M70)</f>
        <v>57723</v>
      </c>
      <c r="N4" s="187">
        <f>SUM(N7:N70)</f>
        <v>77000</v>
      </c>
      <c r="O4" s="148">
        <f>L4/K4</f>
        <v>0.10012450199203188</v>
      </c>
      <c r="P4" s="149">
        <f>M4/K4</f>
        <v>0.35933142430278886</v>
      </c>
      <c r="Q4" s="150">
        <f>N4/K4</f>
        <v>0.47933266932270918</v>
      </c>
      <c r="R4" s="185">
        <f>SUM(R7:R70)</f>
        <v>160640</v>
      </c>
      <c r="S4" s="145">
        <f>SUM(S7:S70)</f>
        <v>21161</v>
      </c>
      <c r="T4" s="145">
        <f>SUM(T7:T70)</f>
        <v>5259</v>
      </c>
      <c r="U4" s="144">
        <f>SUM(U7:U70)</f>
        <v>7825</v>
      </c>
      <c r="V4" s="144">
        <f>SUM(V7:V70)</f>
        <v>1018</v>
      </c>
      <c r="W4" s="146">
        <f>S4+T4+U4+V4</f>
        <v>35263</v>
      </c>
      <c r="X4" s="143">
        <f>SUM(X7:X70)</f>
        <v>75308</v>
      </c>
      <c r="Y4" s="144">
        <f>SUM(Y7:Y70)</f>
        <v>9437</v>
      </c>
      <c r="Z4" s="144">
        <f>SUM(Z7:Z70)</f>
        <v>2581</v>
      </c>
      <c r="AA4" s="144">
        <f>SUM(AA7:AA70)</f>
        <v>4183</v>
      </c>
      <c r="AB4" s="144">
        <f>SUM(AB7:AB70)</f>
        <v>309</v>
      </c>
      <c r="AC4" s="146">
        <f>Y4+Z4+AA4+AB4</f>
        <v>16510</v>
      </c>
      <c r="AD4" s="143">
        <f>SUM(AD7:AD70)</f>
        <v>85332</v>
      </c>
      <c r="AE4" s="143">
        <f t="shared" ref="AE4:AH4" si="0">SUM(AE7:AE70)</f>
        <v>11724</v>
      </c>
      <c r="AF4" s="143">
        <f t="shared" si="0"/>
        <v>2678</v>
      </c>
      <c r="AG4" s="143">
        <f t="shared" si="0"/>
        <v>3642</v>
      </c>
      <c r="AH4" s="143">
        <f t="shared" si="0"/>
        <v>709</v>
      </c>
      <c r="AI4" s="146">
        <f>AE4+AF4+AG4+AH4</f>
        <v>18753</v>
      </c>
      <c r="AJ4" s="148">
        <f>W4/R4</f>
        <v>0.21951568725099602</v>
      </c>
      <c r="AK4" s="149">
        <f>T4/W4</f>
        <v>0.14913648867084481</v>
      </c>
      <c r="AL4" s="149">
        <f>U4/W4</f>
        <v>0.22190397867453138</v>
      </c>
      <c r="AM4" s="149">
        <f>V4/W4</f>
        <v>2.8868785979638715E-2</v>
      </c>
      <c r="AN4" s="147">
        <f>AC4/W4</f>
        <v>0.46819612625131157</v>
      </c>
      <c r="AO4" s="150">
        <f>AI4/W4</f>
        <v>0.53180387374868843</v>
      </c>
      <c r="AP4" s="143">
        <f>SUM(AP7:AP70)</f>
        <v>75056</v>
      </c>
      <c r="AQ4" s="144">
        <f t="shared" ref="AQ4:BI4" si="1">SUM(AQ7:AQ70)</f>
        <v>6306</v>
      </c>
      <c r="AR4" s="144">
        <f t="shared" si="1"/>
        <v>13</v>
      </c>
      <c r="AS4" s="144">
        <f t="shared" si="1"/>
        <v>24</v>
      </c>
      <c r="AT4" s="144">
        <f t="shared" si="1"/>
        <v>6266</v>
      </c>
      <c r="AU4" s="144">
        <f t="shared" si="1"/>
        <v>11236</v>
      </c>
      <c r="AV4" s="144">
        <f t="shared" si="1"/>
        <v>268</v>
      </c>
      <c r="AW4" s="144">
        <f t="shared" si="1"/>
        <v>598</v>
      </c>
      <c r="AX4" s="144">
        <f t="shared" si="1"/>
        <v>3462</v>
      </c>
      <c r="AY4" s="144">
        <f t="shared" si="1"/>
        <v>11726</v>
      </c>
      <c r="AZ4" s="144">
        <f t="shared" si="1"/>
        <v>1186</v>
      </c>
      <c r="BA4" s="144">
        <f t="shared" si="1"/>
        <v>790</v>
      </c>
      <c r="BB4" s="144">
        <f t="shared" si="1"/>
        <v>1589</v>
      </c>
      <c r="BC4" s="144">
        <f t="shared" si="1"/>
        <v>3334</v>
      </c>
      <c r="BD4" s="144">
        <f t="shared" si="1"/>
        <v>2633</v>
      </c>
      <c r="BE4" s="144">
        <f t="shared" si="1"/>
        <v>3641</v>
      </c>
      <c r="BF4" s="144">
        <f t="shared" si="1"/>
        <v>12610</v>
      </c>
      <c r="BG4" s="144">
        <f t="shared" si="1"/>
        <v>900</v>
      </c>
      <c r="BH4" s="144">
        <f t="shared" si="1"/>
        <v>3802</v>
      </c>
      <c r="BI4" s="146">
        <f t="shared" si="1"/>
        <v>3249</v>
      </c>
      <c r="BJ4" s="147">
        <f>IF($AP4=0,0,AQ4/$AP4)</f>
        <v>8.4017267107226609E-2</v>
      </c>
      <c r="BK4" s="149">
        <f t="shared" ref="BK4:CB4" si="2">IF($AP4=0,0,AR4/$AP4)</f>
        <v>1.7320400767426987E-4</v>
      </c>
      <c r="BL4" s="149">
        <f t="shared" si="2"/>
        <v>3.1976124493711362E-4</v>
      </c>
      <c r="BM4" s="149">
        <f t="shared" si="2"/>
        <v>8.3484331698998077E-2</v>
      </c>
      <c r="BN4" s="149">
        <f t="shared" si="2"/>
        <v>0.14970155617139203</v>
      </c>
      <c r="BO4" s="149">
        <f t="shared" si="2"/>
        <v>3.5706672351311021E-3</v>
      </c>
      <c r="BP4" s="149">
        <f t="shared" si="2"/>
        <v>7.9673843530164139E-3</v>
      </c>
      <c r="BQ4" s="149">
        <f t="shared" si="2"/>
        <v>4.6125559582178642E-2</v>
      </c>
      <c r="BR4" s="149">
        <f t="shared" si="2"/>
        <v>0.15623001492219143</v>
      </c>
      <c r="BS4" s="149">
        <f t="shared" si="2"/>
        <v>1.5801534853975698E-2</v>
      </c>
      <c r="BT4" s="149">
        <f t="shared" si="2"/>
        <v>1.0525474312513324E-2</v>
      </c>
      <c r="BU4" s="149">
        <f t="shared" si="2"/>
        <v>2.1170859091878064E-2</v>
      </c>
      <c r="BV4" s="149">
        <f t="shared" si="2"/>
        <v>4.442016627584737E-2</v>
      </c>
      <c r="BW4" s="149">
        <f t="shared" si="2"/>
        <v>3.5080473246642506E-2</v>
      </c>
      <c r="BX4" s="149">
        <f t="shared" si="2"/>
        <v>4.851044553400128E-2</v>
      </c>
      <c r="BY4" s="149">
        <f t="shared" si="2"/>
        <v>0.16800788744404177</v>
      </c>
      <c r="BZ4" s="149">
        <f t="shared" si="2"/>
        <v>1.1991046685141761E-2</v>
      </c>
      <c r="CA4" s="149">
        <f t="shared" si="2"/>
        <v>5.0655510552121086E-2</v>
      </c>
      <c r="CB4" s="150">
        <f t="shared" si="2"/>
        <v>4.3287678533361754E-2</v>
      </c>
      <c r="CC4" s="143">
        <f>SUM(CC7:CC70)</f>
        <v>75056</v>
      </c>
      <c r="CD4" s="144">
        <f t="shared" ref="CD4:CI4" si="3">SUM(CD7:CD70)</f>
        <v>65590</v>
      </c>
      <c r="CE4" s="144">
        <f t="shared" si="3"/>
        <v>5290</v>
      </c>
      <c r="CF4" s="144">
        <f t="shared" si="3"/>
        <v>3171</v>
      </c>
      <c r="CG4" s="143">
        <f t="shared" si="3"/>
        <v>6327</v>
      </c>
      <c r="CH4" s="144">
        <f t="shared" si="3"/>
        <v>4996</v>
      </c>
      <c r="CI4" s="144">
        <f t="shared" si="3"/>
        <v>975</v>
      </c>
      <c r="CJ4" s="144">
        <f>SUM(CJ7:CJ70)</f>
        <v>205</v>
      </c>
      <c r="CK4" s="148">
        <f t="shared" ref="CK4:CM4" si="4">IF($CC4=0,0,CD4/$CC4)</f>
        <v>0.87388083564272012</v>
      </c>
      <c r="CL4" s="149">
        <f t="shared" si="4"/>
        <v>7.0480707738222126E-2</v>
      </c>
      <c r="CM4" s="150">
        <f t="shared" si="4"/>
        <v>4.2248454487316137E-2</v>
      </c>
      <c r="CN4" s="148">
        <f t="shared" ref="CN4:CP4" si="5">IF($CG4=0,0,CH4/$CG4)</f>
        <v>0.7896317370001581</v>
      </c>
      <c r="CO4" s="149">
        <f t="shared" si="5"/>
        <v>0.15410146989094359</v>
      </c>
      <c r="CP4" s="150">
        <f t="shared" si="5"/>
        <v>3.2400821874506082E-2</v>
      </c>
    </row>
    <row r="5" spans="1:94" s="181" customFormat="1" x14ac:dyDescent="0.15">
      <c r="A5" s="183" t="str">
        <f>管理者入力シート!B2</f>
        <v>45202_4</v>
      </c>
      <c r="B5" s="201" t="str">
        <f>VLOOKUP($A$5,$A$7:$CP$50,2,FALSE)</f>
        <v>都城市</v>
      </c>
      <c r="C5" s="201" t="str">
        <f>VLOOKUP($A$5,$A$7:$CP$50,3,FALSE)</f>
        <v>祝吉地区</v>
      </c>
      <c r="D5" s="188">
        <f>VLOOKUP($A$5,$A$7:$CP$70,4,FALSE)</f>
        <v>9143</v>
      </c>
      <c r="E5" s="189">
        <f>VLOOKUP($A$5,$A$7:$CP$70,5,FALSE)</f>
        <v>2960</v>
      </c>
      <c r="F5" s="189">
        <f>VLOOKUP($A$5,$A$7:$CP$70,6,FALSE)</f>
        <v>1080</v>
      </c>
      <c r="G5" s="190">
        <f>VLOOKUP($A$5,$A$7:$CP$70,7,FALSE)</f>
        <v>1045</v>
      </c>
      <c r="H5" s="178">
        <f>VLOOKUP($A$5,$A$7:$CP$70,8,FALSE)</f>
        <v>0.32374494148528932</v>
      </c>
      <c r="I5" s="179">
        <f>VLOOKUP($A$5,$A$7:$CP$70,9,FALSE)</f>
        <v>0.11812315432571366</v>
      </c>
      <c r="J5" s="180">
        <f>VLOOKUP($A$5,$A$7:$CP$70,10,FALSE)</f>
        <v>0.1142950891392322</v>
      </c>
      <c r="K5" s="188">
        <f>VLOOKUP($A$5,$A$7:$CP$70,11,FALSE)</f>
        <v>18949</v>
      </c>
      <c r="L5" s="189">
        <f>VLOOKUP($A$5,$A$7:$CP$70,12,FALSE)</f>
        <v>1464</v>
      </c>
      <c r="M5" s="189">
        <f>VLOOKUP($A$5,$A$7:$CP$70,13,FALSE)</f>
        <v>7942</v>
      </c>
      <c r="N5" s="190">
        <f>VLOOKUP($A$5,$A$7:$CP$70,14,FALSE)</f>
        <v>7832</v>
      </c>
      <c r="O5" s="178">
        <f>VLOOKUP($A$5,$A$7:$CP$70,15,FALSE)</f>
        <v>7.7260013721040688E-2</v>
      </c>
      <c r="P5" s="179">
        <f>VLOOKUP($A$5,$A$7:$CP$70,16,FALSE)</f>
        <v>0.41912501978996253</v>
      </c>
      <c r="Q5" s="180">
        <f>VLOOKUP($A$5,$A$7:$CP$70,17,FALSE)</f>
        <v>0.4133199641142013</v>
      </c>
      <c r="R5" s="188">
        <f>VLOOKUP($A$5,$A$7:$CP$70,18,FALSE)</f>
        <v>18949</v>
      </c>
      <c r="S5" s="189">
        <f>VLOOKUP($A$5,$A$7:$CP$70,19,FALSE)</f>
        <v>2689</v>
      </c>
      <c r="T5" s="189">
        <f>VLOOKUP($A$5,$A$7:$CP$70,20,FALSE)</f>
        <v>1015</v>
      </c>
      <c r="U5" s="189">
        <f>VLOOKUP($A$5,$A$7:$CP$70,21,FALSE)</f>
        <v>1284</v>
      </c>
      <c r="V5" s="189">
        <f>VLOOKUP($A$5,$A$7:$CP$70,22,FALSE)</f>
        <v>104</v>
      </c>
      <c r="W5" s="190">
        <f>VLOOKUP($A$5,$A$7:$CP$70,23,FALSE)</f>
        <v>5092</v>
      </c>
      <c r="X5" s="188">
        <f>VLOOKUP($A$5,$A$7:$CP$70,24,FALSE)</f>
        <v>8921</v>
      </c>
      <c r="Y5" s="189">
        <f>VLOOKUP($A$5,$A$7:$CP$70,25,FALSE)</f>
        <v>1243</v>
      </c>
      <c r="Z5" s="189">
        <f>VLOOKUP($A$5,$A$7:$CP$70,26,FALSE)</f>
        <v>429</v>
      </c>
      <c r="AA5" s="189">
        <f>VLOOKUP($A$5,$A$7:$CP$70,27,FALSE)</f>
        <v>696</v>
      </c>
      <c r="AB5" s="189">
        <f>VLOOKUP($A$5,$A$7:$CP$70,28,FALSE)</f>
        <v>28</v>
      </c>
      <c r="AC5" s="191">
        <f>VLOOKUP($A$5,$A$7:$CP$70,29,FALSE)</f>
        <v>2396</v>
      </c>
      <c r="AD5" s="188">
        <f>VLOOKUP($A$5,$A$7:$CP$70,30,FALSE)</f>
        <v>10028</v>
      </c>
      <c r="AE5" s="189">
        <f>VLOOKUP($A$5,$A$7:$CP$70,31,FALSE)</f>
        <v>1446</v>
      </c>
      <c r="AF5" s="189">
        <f>VLOOKUP($A$5,$A$7:$CP$70,32,FALSE)</f>
        <v>586</v>
      </c>
      <c r="AG5" s="189">
        <f>VLOOKUP($A$5,$A$7:$CP$70,33,FALSE)</f>
        <v>588</v>
      </c>
      <c r="AH5" s="189">
        <f>VLOOKUP($A$5,$A$7:$CP$70,34,FALSE)</f>
        <v>76</v>
      </c>
      <c r="AI5" s="191">
        <f>VLOOKUP($A$5,$A$7:$CP$70,35,FALSE)</f>
        <v>2696</v>
      </c>
      <c r="AJ5" s="178">
        <f>VLOOKUP($A$5,$A$7:$CP$70,36,FALSE)</f>
        <v>0.26872130455433002</v>
      </c>
      <c r="AK5" s="179">
        <f>VLOOKUP($A$5,$A$7:$CP$70,37,FALSE)</f>
        <v>0.19933228593872743</v>
      </c>
      <c r="AL5" s="179">
        <f>VLOOKUP($A$5,$A$7:$CP$70,38,FALSE)</f>
        <v>0.25216025137470544</v>
      </c>
      <c r="AM5" s="179">
        <f>VLOOKUP($A$5,$A$7:$CP$70,39,FALSE)</f>
        <v>2.0424194815396701E-2</v>
      </c>
      <c r="AN5" s="182">
        <f>VLOOKUP($A$5,$A$7:$CP$70,40,FALSE)</f>
        <v>0.47054202670856243</v>
      </c>
      <c r="AO5" s="180">
        <f>VLOOKUP($A$5,$A$7:$CP$70,41,FALSE)</f>
        <v>0.52945797329143751</v>
      </c>
      <c r="AP5" s="192">
        <f>VLOOKUP($A$5,$A$7:$CP$70,42,FALSE)</f>
        <v>9148</v>
      </c>
      <c r="AQ5" s="189">
        <f>VLOOKUP($A$5,$A$7:$CP$70,43,FALSE)</f>
        <v>270</v>
      </c>
      <c r="AR5" s="189">
        <f>VLOOKUP($A$5,$A$7:$CP$70,44,FALSE)</f>
        <v>3</v>
      </c>
      <c r="AS5" s="189">
        <f>VLOOKUP($A$5,$A$7:$CP$70,45,FALSE)</f>
        <v>1</v>
      </c>
      <c r="AT5" s="189">
        <f>VLOOKUP($A$5,$A$7:$CP$70,46,FALSE)</f>
        <v>628</v>
      </c>
      <c r="AU5" s="189">
        <f>VLOOKUP($A$5,$A$7:$CP$70,47,FALSE)</f>
        <v>1338</v>
      </c>
      <c r="AV5" s="189">
        <f>VLOOKUP($A$5,$A$7:$CP$70,48,FALSE)</f>
        <v>54</v>
      </c>
      <c r="AW5" s="189">
        <f>VLOOKUP($A$5,$A$7:$CP$70,49,FALSE)</f>
        <v>97</v>
      </c>
      <c r="AX5" s="189">
        <f>VLOOKUP($A$5,$A$7:$CP$70,50,FALSE)</f>
        <v>453</v>
      </c>
      <c r="AY5" s="189">
        <f>VLOOKUP($A$5,$A$7:$CP$70,51,FALSE)</f>
        <v>1623</v>
      </c>
      <c r="AZ5" s="189">
        <f>VLOOKUP($A$5,$A$7:$CP$70,52,FALSE)</f>
        <v>151</v>
      </c>
      <c r="BA5" s="189">
        <f>VLOOKUP($A$5,$A$7:$CP$70,53,FALSE)</f>
        <v>119</v>
      </c>
      <c r="BB5" s="189">
        <f>VLOOKUP($A$5,$A$7:$CP$70,54,FALSE)</f>
        <v>227</v>
      </c>
      <c r="BC5" s="189">
        <f>VLOOKUP($A$5,$A$7:$CP$70,55,FALSE)</f>
        <v>497</v>
      </c>
      <c r="BD5" s="189">
        <f>VLOOKUP($A$5,$A$7:$CP$70,56,FALSE)</f>
        <v>317</v>
      </c>
      <c r="BE5" s="189">
        <f>VLOOKUP($A$5,$A$7:$CP$70,57,FALSE)</f>
        <v>628</v>
      </c>
      <c r="BF5" s="189">
        <f>VLOOKUP($A$5,$A$7:$CP$70,58,FALSE)</f>
        <v>1598</v>
      </c>
      <c r="BG5" s="189">
        <f>VLOOKUP($A$5,$A$7:$CP$70,59,FALSE)</f>
        <v>132</v>
      </c>
      <c r="BH5" s="189">
        <f>VLOOKUP($A$5,$A$7:$CP$70,60,FALSE)</f>
        <v>490</v>
      </c>
      <c r="BI5" s="189">
        <f>VLOOKUP($A$5,$A$7:$CP$70,61,FALSE)</f>
        <v>414</v>
      </c>
      <c r="BJ5" s="178">
        <f>VLOOKUP($A$5,$A$7:$CP$70,62,FALSE)</f>
        <v>2.9514648010494096E-2</v>
      </c>
      <c r="BK5" s="179">
        <f>VLOOKUP($A$5,$A$7:$CP$70,63,FALSE)</f>
        <v>3.2794053344993443E-4</v>
      </c>
      <c r="BL5" s="179">
        <f>VLOOKUP($A$5,$A$7:$CP$70,64,FALSE)</f>
        <v>1.0931351114997814E-4</v>
      </c>
      <c r="BM5" s="179">
        <f>VLOOKUP($A$5,$A$7:$CP$70,65,FALSE)</f>
        <v>6.8648885002186272E-2</v>
      </c>
      <c r="BN5" s="179">
        <f>VLOOKUP($A$5,$A$7:$CP$70,66,FALSE)</f>
        <v>0.14626147791867075</v>
      </c>
      <c r="BO5" s="179">
        <f>VLOOKUP($A$5,$A$7:$CP$70,67,FALSE)</f>
        <v>5.9029296020988191E-3</v>
      </c>
      <c r="BP5" s="179">
        <f>VLOOKUP($A$5,$A$7:$CP$70,68,FALSE)</f>
        <v>1.060341058154788E-2</v>
      </c>
      <c r="BQ5" s="179">
        <f>VLOOKUP($A$5,$A$7:$CP$70,69,FALSE)</f>
        <v>4.9519020550940096E-2</v>
      </c>
      <c r="BR5" s="179">
        <f>VLOOKUP($A$5,$A$7:$CP$70,70,FALSE)</f>
        <v>0.17741582859641453</v>
      </c>
      <c r="BS5" s="179">
        <f>VLOOKUP($A$5,$A$7:$CP$70,71,FALSE)</f>
        <v>1.65063401836467E-2</v>
      </c>
      <c r="BT5" s="179">
        <f>VLOOKUP($A$5,$A$7:$CP$70,72,FALSE)</f>
        <v>1.3008307826847398E-2</v>
      </c>
      <c r="BU5" s="179">
        <f>VLOOKUP($A$5,$A$7:$CP$70,73,FALSE)</f>
        <v>2.4814167031045036E-2</v>
      </c>
      <c r="BV5" s="179">
        <f>VLOOKUP($A$5,$A$7:$CP$70,74,FALSE)</f>
        <v>5.4328815041539136E-2</v>
      </c>
      <c r="BW5" s="179">
        <f>VLOOKUP($A$5,$A$7:$CP$70,75,FALSE)</f>
        <v>3.4652383034543072E-2</v>
      </c>
      <c r="BX5" s="179">
        <f>VLOOKUP($A$5,$A$7:$CP$70,76,FALSE)</f>
        <v>6.8648885002186272E-2</v>
      </c>
      <c r="BY5" s="179">
        <f>VLOOKUP($A$5,$A$7:$CP$70,77,FALSE)</f>
        <v>0.17468299081766506</v>
      </c>
      <c r="BZ5" s="179">
        <f>VLOOKUP($A$5,$A$7:$CP$70,78,FALSE)</f>
        <v>1.4429383471797114E-2</v>
      </c>
      <c r="CA5" s="179">
        <f>VLOOKUP($A$5,$A$7:$CP$70,79,FALSE)</f>
        <v>5.3563620463489288E-2</v>
      </c>
      <c r="CB5" s="180">
        <f>VLOOKUP($A$5,$A$7:$CP$70,80,FALSE)</f>
        <v>4.5255793616090952E-2</v>
      </c>
      <c r="CC5" s="188">
        <f>VLOOKUP($A$5,$A$7:$CP$70,81,FALSE)</f>
        <v>9148</v>
      </c>
      <c r="CD5" s="190">
        <f>VLOOKUP($A$5,$A$7:$CP$70,82,FALSE)</f>
        <v>7970</v>
      </c>
      <c r="CE5" s="189">
        <f>VLOOKUP($A$5,$A$7:$CP$70,83,FALSE)</f>
        <v>821</v>
      </c>
      <c r="CF5" s="191">
        <f>VLOOKUP($A$5,$A$7:$CP$70,84,FALSE)</f>
        <v>274</v>
      </c>
      <c r="CG5" s="188">
        <f>VLOOKUP($A$5,$A$7:$CP$70,85,FALSE)</f>
        <v>790</v>
      </c>
      <c r="CH5" s="189">
        <f>VLOOKUP($A$5,$A$7:$CP$70,86,FALSE)</f>
        <v>623</v>
      </c>
      <c r="CI5" s="189">
        <f>VLOOKUP($A$5,$A$7:$CP$70,87,FALSE)</f>
        <v>117</v>
      </c>
      <c r="CJ5" s="191">
        <f>VLOOKUP($A$5,$A$7:$CP$70,88,FALSE)</f>
        <v>27</v>
      </c>
      <c r="CK5" s="178">
        <f>VLOOKUP($A$5,$A$7:$CP$70,89,FALSE)</f>
        <v>0.8712286838653257</v>
      </c>
      <c r="CL5" s="179">
        <f>VLOOKUP($A$5,$A$7:$CP$70,90,FALSE)</f>
        <v>8.9746392654132048E-2</v>
      </c>
      <c r="CM5" s="180">
        <f>VLOOKUP($A$5,$A$7:$CP$70,91,FALSE)</f>
        <v>2.9951902055094008E-2</v>
      </c>
      <c r="CN5" s="178">
        <f>VLOOKUP($A$5,$A$7:$CP$70,92,FALSE)</f>
        <v>0.78860759493670884</v>
      </c>
      <c r="CO5" s="179">
        <f>VLOOKUP($A$5,$A$7:$CP$70,93,FALSE)</f>
        <v>0.14810126582278482</v>
      </c>
      <c r="CP5" s="180">
        <f>VLOOKUP($A$5,$A$7:$CP$70,94,FALSE)</f>
        <v>3.4177215189873419E-2</v>
      </c>
    </row>
    <row r="6" spans="1:94" s="242" customFormat="1" x14ac:dyDescent="0.15"/>
    <row r="7" spans="1:94" x14ac:dyDescent="0.15">
      <c r="A7" t="s">
        <v>426</v>
      </c>
      <c r="B7" t="s">
        <v>427</v>
      </c>
      <c r="C7" t="s">
        <v>428</v>
      </c>
      <c r="D7">
        <v>5430</v>
      </c>
      <c r="E7">
        <v>2446</v>
      </c>
      <c r="F7">
        <v>813</v>
      </c>
      <c r="G7">
        <v>940</v>
      </c>
      <c r="H7">
        <v>0.45046040515653774</v>
      </c>
      <c r="I7">
        <v>0.14972375690607734</v>
      </c>
      <c r="J7">
        <v>0.17311233885819521</v>
      </c>
      <c r="K7">
        <v>11797</v>
      </c>
      <c r="L7">
        <v>954</v>
      </c>
      <c r="M7">
        <v>4640</v>
      </c>
      <c r="N7">
        <v>5522</v>
      </c>
      <c r="O7">
        <v>8.0868017292531999E-2</v>
      </c>
      <c r="P7">
        <v>0.39332033567856234</v>
      </c>
      <c r="Q7">
        <v>0.46808510638297873</v>
      </c>
      <c r="R7">
        <v>11797</v>
      </c>
      <c r="S7">
        <v>1592</v>
      </c>
      <c r="T7">
        <v>435</v>
      </c>
      <c r="U7">
        <v>765</v>
      </c>
      <c r="V7">
        <v>60</v>
      </c>
      <c r="W7">
        <v>2852</v>
      </c>
      <c r="X7">
        <v>5478</v>
      </c>
      <c r="Y7">
        <v>761</v>
      </c>
      <c r="Z7">
        <v>200</v>
      </c>
      <c r="AA7">
        <v>401</v>
      </c>
      <c r="AB7">
        <v>22</v>
      </c>
      <c r="AC7">
        <v>1384</v>
      </c>
      <c r="AD7">
        <v>6319</v>
      </c>
      <c r="AE7">
        <v>831</v>
      </c>
      <c r="AF7">
        <v>235</v>
      </c>
      <c r="AG7">
        <v>364</v>
      </c>
      <c r="AH7">
        <v>38</v>
      </c>
      <c r="AI7">
        <v>1468</v>
      </c>
      <c r="AJ7">
        <v>0.24175637874035771</v>
      </c>
      <c r="AK7">
        <v>0.15252454417952313</v>
      </c>
      <c r="AL7">
        <v>0.26823281907433383</v>
      </c>
      <c r="AM7">
        <v>2.1037868162692847E-2</v>
      </c>
      <c r="AN7">
        <v>0.48527349228611499</v>
      </c>
      <c r="AO7">
        <v>0.51472650771388495</v>
      </c>
      <c r="AP7">
        <v>5319</v>
      </c>
      <c r="AQ7">
        <v>175</v>
      </c>
      <c r="AR7">
        <v>1</v>
      </c>
      <c r="AS7">
        <v>0</v>
      </c>
      <c r="AT7">
        <v>347</v>
      </c>
      <c r="AU7">
        <v>641</v>
      </c>
      <c r="AV7">
        <v>21</v>
      </c>
      <c r="AW7">
        <v>63</v>
      </c>
      <c r="AX7">
        <v>189</v>
      </c>
      <c r="AY7">
        <v>946</v>
      </c>
      <c r="AZ7">
        <v>163</v>
      </c>
      <c r="BA7">
        <v>94</v>
      </c>
      <c r="BB7">
        <v>124</v>
      </c>
      <c r="BC7">
        <v>292</v>
      </c>
      <c r="BD7">
        <v>222</v>
      </c>
      <c r="BE7">
        <v>319</v>
      </c>
      <c r="BF7">
        <v>980</v>
      </c>
      <c r="BG7">
        <v>68</v>
      </c>
      <c r="BH7">
        <v>300</v>
      </c>
      <c r="BI7">
        <v>268</v>
      </c>
      <c r="BJ7">
        <v>3.290092122579432E-2</v>
      </c>
      <c r="BK7">
        <v>1.8800526414739614E-4</v>
      </c>
      <c r="BL7">
        <v>0</v>
      </c>
      <c r="BM7">
        <v>6.5237826659146458E-2</v>
      </c>
      <c r="BN7">
        <v>0.12051137431848091</v>
      </c>
      <c r="BO7">
        <v>3.948110547095319E-3</v>
      </c>
      <c r="BP7">
        <v>1.1844331641285956E-2</v>
      </c>
      <c r="BQ7">
        <v>3.553299492385787E-2</v>
      </c>
      <c r="BR7">
        <v>0.17785297988343673</v>
      </c>
      <c r="BS7">
        <v>3.064485805602557E-2</v>
      </c>
      <c r="BT7">
        <v>1.7672494829855237E-2</v>
      </c>
      <c r="BU7">
        <v>2.331265275427712E-2</v>
      </c>
      <c r="BV7">
        <v>5.4897537131039668E-2</v>
      </c>
      <c r="BW7">
        <v>4.1737168640721939E-2</v>
      </c>
      <c r="BX7">
        <v>5.9973679263019365E-2</v>
      </c>
      <c r="BY7">
        <v>0.1842451588644482</v>
      </c>
      <c r="BZ7">
        <v>1.2784357962022937E-2</v>
      </c>
      <c r="CA7">
        <v>5.640157924421884E-2</v>
      </c>
      <c r="CB7">
        <v>5.0385410791502161E-2</v>
      </c>
      <c r="CC7">
        <v>5319</v>
      </c>
      <c r="CD7">
        <v>4627</v>
      </c>
      <c r="CE7">
        <v>275</v>
      </c>
      <c r="CF7">
        <v>325</v>
      </c>
      <c r="CG7">
        <v>420</v>
      </c>
      <c r="CH7">
        <v>304</v>
      </c>
      <c r="CI7">
        <v>84</v>
      </c>
      <c r="CJ7">
        <v>16</v>
      </c>
      <c r="CK7">
        <v>0.86990035721000192</v>
      </c>
      <c r="CL7">
        <v>5.1701447640533936E-2</v>
      </c>
      <c r="CM7">
        <v>6.1101710847903744E-2</v>
      </c>
      <c r="CN7">
        <v>0.72380952380952379</v>
      </c>
      <c r="CO7">
        <v>0.2</v>
      </c>
      <c r="CP7">
        <v>3.8095238095238099E-2</v>
      </c>
    </row>
    <row r="8" spans="1:94" x14ac:dyDescent="0.15">
      <c r="A8" t="s">
        <v>429</v>
      </c>
      <c r="B8" t="s">
        <v>427</v>
      </c>
      <c r="C8" t="s">
        <v>430</v>
      </c>
      <c r="D8">
        <v>8936</v>
      </c>
      <c r="E8">
        <v>3457</v>
      </c>
      <c r="F8">
        <v>1233</v>
      </c>
      <c r="G8">
        <v>1266</v>
      </c>
      <c r="H8">
        <v>0.38686213070725156</v>
      </c>
      <c r="I8">
        <v>0.13798119964189795</v>
      </c>
      <c r="J8">
        <v>0.14167412712623098</v>
      </c>
      <c r="K8">
        <v>19220</v>
      </c>
      <c r="L8">
        <v>1447</v>
      </c>
      <c r="M8">
        <v>7601</v>
      </c>
      <c r="N8">
        <v>8629</v>
      </c>
      <c r="O8">
        <v>7.5286160249739859E-2</v>
      </c>
      <c r="P8">
        <v>0.39547346514047865</v>
      </c>
      <c r="Q8">
        <v>0.44895941727367328</v>
      </c>
      <c r="R8">
        <v>19220</v>
      </c>
      <c r="S8">
        <v>2681</v>
      </c>
      <c r="T8">
        <v>819</v>
      </c>
      <c r="U8">
        <v>1151</v>
      </c>
      <c r="V8">
        <v>81</v>
      </c>
      <c r="W8">
        <v>4732</v>
      </c>
      <c r="X8">
        <v>8836</v>
      </c>
      <c r="Y8">
        <v>1158</v>
      </c>
      <c r="Z8">
        <v>396</v>
      </c>
      <c r="AA8">
        <v>607</v>
      </c>
      <c r="AB8">
        <v>37</v>
      </c>
      <c r="AC8">
        <v>2198</v>
      </c>
      <c r="AD8">
        <v>10384</v>
      </c>
      <c r="AE8">
        <v>1523</v>
      </c>
      <c r="AF8">
        <v>423</v>
      </c>
      <c r="AG8">
        <v>544</v>
      </c>
      <c r="AH8">
        <v>44</v>
      </c>
      <c r="AI8">
        <v>2534</v>
      </c>
      <c r="AJ8">
        <v>0.24620187304890739</v>
      </c>
      <c r="AK8">
        <v>0.17307692307692307</v>
      </c>
      <c r="AL8">
        <v>0.24323753169907017</v>
      </c>
      <c r="AM8">
        <v>1.7117497886728655E-2</v>
      </c>
      <c r="AN8">
        <v>0.46449704142011833</v>
      </c>
      <c r="AO8">
        <v>0.53550295857988162</v>
      </c>
      <c r="AP8">
        <v>8934</v>
      </c>
      <c r="AQ8">
        <v>245</v>
      </c>
      <c r="AR8">
        <v>2</v>
      </c>
      <c r="AS8">
        <v>0</v>
      </c>
      <c r="AT8">
        <v>708</v>
      </c>
      <c r="AU8">
        <v>1073</v>
      </c>
      <c r="AV8">
        <v>26</v>
      </c>
      <c r="AW8">
        <v>113</v>
      </c>
      <c r="AX8">
        <v>364</v>
      </c>
      <c r="AY8">
        <v>1607</v>
      </c>
      <c r="AZ8">
        <v>207</v>
      </c>
      <c r="BA8">
        <v>127</v>
      </c>
      <c r="BB8">
        <v>254</v>
      </c>
      <c r="BC8">
        <v>474</v>
      </c>
      <c r="BD8">
        <v>339</v>
      </c>
      <c r="BE8">
        <v>570</v>
      </c>
      <c r="BF8">
        <v>1643</v>
      </c>
      <c r="BG8">
        <v>106</v>
      </c>
      <c r="BH8">
        <v>476</v>
      </c>
      <c r="BI8">
        <v>451</v>
      </c>
      <c r="BJ8">
        <v>2.7423326617416612E-2</v>
      </c>
      <c r="BK8">
        <v>2.2386389075442132E-4</v>
      </c>
      <c r="BL8">
        <v>0</v>
      </c>
      <c r="BM8">
        <v>7.9247817327065151E-2</v>
      </c>
      <c r="BN8">
        <v>0.12010297738974704</v>
      </c>
      <c r="BO8">
        <v>2.910230579807477E-3</v>
      </c>
      <c r="BP8">
        <v>1.2648309827624804E-2</v>
      </c>
      <c r="BQ8">
        <v>4.0743228117304679E-2</v>
      </c>
      <c r="BR8">
        <v>0.17987463622117753</v>
      </c>
      <c r="BS8">
        <v>2.3169912693082606E-2</v>
      </c>
      <c r="BT8">
        <v>1.4215357062905753E-2</v>
      </c>
      <c r="BU8">
        <v>2.8430714125811506E-2</v>
      </c>
      <c r="BV8">
        <v>5.3055742108797849E-2</v>
      </c>
      <c r="BW8">
        <v>3.7944929482874409E-2</v>
      </c>
      <c r="BX8">
        <v>6.3801208865010076E-2</v>
      </c>
      <c r="BY8">
        <v>0.1839041862547571</v>
      </c>
      <c r="BZ8">
        <v>1.1864786209984329E-2</v>
      </c>
      <c r="CA8">
        <v>5.3279605999552275E-2</v>
      </c>
      <c r="CB8">
        <v>5.0481307365122005E-2</v>
      </c>
      <c r="CC8">
        <v>8934</v>
      </c>
      <c r="CD8">
        <v>7692</v>
      </c>
      <c r="CE8">
        <v>786</v>
      </c>
      <c r="CF8">
        <v>362</v>
      </c>
      <c r="CG8">
        <v>838</v>
      </c>
      <c r="CH8">
        <v>631</v>
      </c>
      <c r="CI8">
        <v>169</v>
      </c>
      <c r="CJ8">
        <v>19</v>
      </c>
      <c r="CK8">
        <v>0.86098052384150436</v>
      </c>
      <c r="CL8">
        <v>8.7978509066487576E-2</v>
      </c>
      <c r="CM8">
        <v>4.051936422655026E-2</v>
      </c>
      <c r="CN8">
        <v>0.75298329355608595</v>
      </c>
      <c r="CO8">
        <v>0.20167064439140811</v>
      </c>
      <c r="CP8">
        <v>2.2673031026252982E-2</v>
      </c>
    </row>
    <row r="9" spans="1:94" x14ac:dyDescent="0.15">
      <c r="A9" t="s">
        <v>431</v>
      </c>
      <c r="B9" t="s">
        <v>427</v>
      </c>
      <c r="C9" t="s">
        <v>432</v>
      </c>
      <c r="D9">
        <v>5176</v>
      </c>
      <c r="E9">
        <v>1968</v>
      </c>
      <c r="F9">
        <v>600</v>
      </c>
      <c r="G9">
        <v>787</v>
      </c>
      <c r="H9">
        <v>0.3802163833075734</v>
      </c>
      <c r="I9">
        <v>0.11591962905718702</v>
      </c>
      <c r="J9">
        <v>0.15204791344667698</v>
      </c>
      <c r="K9">
        <v>11036</v>
      </c>
      <c r="L9">
        <v>872</v>
      </c>
      <c r="M9">
        <v>4405</v>
      </c>
      <c r="N9">
        <v>4692</v>
      </c>
      <c r="O9">
        <v>7.9014135556360998E-2</v>
      </c>
      <c r="P9">
        <v>0.39914824211670896</v>
      </c>
      <c r="Q9">
        <v>0.42515404131931861</v>
      </c>
      <c r="R9">
        <v>11036</v>
      </c>
      <c r="S9">
        <v>1741</v>
      </c>
      <c r="T9">
        <v>394</v>
      </c>
      <c r="U9">
        <v>608</v>
      </c>
      <c r="V9">
        <v>100</v>
      </c>
      <c r="W9">
        <v>2843</v>
      </c>
      <c r="X9">
        <v>5086</v>
      </c>
      <c r="Y9">
        <v>746</v>
      </c>
      <c r="Z9">
        <v>200</v>
      </c>
      <c r="AA9">
        <v>311</v>
      </c>
      <c r="AB9">
        <v>16</v>
      </c>
      <c r="AC9">
        <v>1273</v>
      </c>
      <c r="AD9">
        <v>5950</v>
      </c>
      <c r="AE9">
        <v>995</v>
      </c>
      <c r="AF9">
        <v>194</v>
      </c>
      <c r="AG9">
        <v>297</v>
      </c>
      <c r="AH9">
        <v>84</v>
      </c>
      <c r="AI9">
        <v>1570</v>
      </c>
      <c r="AJ9">
        <v>0.25761145342515407</v>
      </c>
      <c r="AK9">
        <v>0.13858600070348223</v>
      </c>
      <c r="AL9">
        <v>0.21385860007034824</v>
      </c>
      <c r="AM9">
        <v>3.5174111853675694E-2</v>
      </c>
      <c r="AN9">
        <v>0.44776644389729159</v>
      </c>
      <c r="AO9">
        <v>0.55223355610270841</v>
      </c>
      <c r="AP9">
        <v>4967</v>
      </c>
      <c r="AQ9">
        <v>174</v>
      </c>
      <c r="AR9">
        <v>0</v>
      </c>
      <c r="AS9">
        <v>0</v>
      </c>
      <c r="AT9">
        <v>393</v>
      </c>
      <c r="AU9">
        <v>700</v>
      </c>
      <c r="AV9">
        <v>19</v>
      </c>
      <c r="AW9">
        <v>40</v>
      </c>
      <c r="AX9">
        <v>212</v>
      </c>
      <c r="AY9">
        <v>940</v>
      </c>
      <c r="AZ9">
        <v>91</v>
      </c>
      <c r="BA9">
        <v>73</v>
      </c>
      <c r="BB9">
        <v>109</v>
      </c>
      <c r="BC9">
        <v>322</v>
      </c>
      <c r="BD9">
        <v>216</v>
      </c>
      <c r="BE9">
        <v>218</v>
      </c>
      <c r="BF9">
        <v>858</v>
      </c>
      <c r="BG9">
        <v>54</v>
      </c>
      <c r="BH9">
        <v>260</v>
      </c>
      <c r="BI9">
        <v>185</v>
      </c>
      <c r="BJ9">
        <v>3.5031205959331589E-2</v>
      </c>
      <c r="BK9">
        <v>0</v>
      </c>
      <c r="BL9">
        <v>0</v>
      </c>
      <c r="BM9">
        <v>7.9122206563317893E-2</v>
      </c>
      <c r="BN9">
        <v>0.14093013891685122</v>
      </c>
      <c r="BO9">
        <v>3.8252466277431045E-3</v>
      </c>
      <c r="BP9">
        <v>8.0531507952486415E-3</v>
      </c>
      <c r="BQ9">
        <v>4.2681699214817799E-2</v>
      </c>
      <c r="BR9">
        <v>0.18924904368834305</v>
      </c>
      <c r="BS9">
        <v>1.8320918059190658E-2</v>
      </c>
      <c r="BT9">
        <v>1.469700020132877E-2</v>
      </c>
      <c r="BU9">
        <v>2.1944835917052548E-2</v>
      </c>
      <c r="BV9">
        <v>6.4827863901751562E-2</v>
      </c>
      <c r="BW9">
        <v>4.3487014294342659E-2</v>
      </c>
      <c r="BX9">
        <v>4.3889671834105096E-2</v>
      </c>
      <c r="BY9">
        <v>0.17274008455808335</v>
      </c>
      <c r="BZ9">
        <v>1.0871753573585665E-2</v>
      </c>
      <c r="CA9">
        <v>5.2345480169116165E-2</v>
      </c>
      <c r="CB9">
        <v>3.7245822428024968E-2</v>
      </c>
      <c r="CC9">
        <v>4967</v>
      </c>
      <c r="CD9">
        <v>4439</v>
      </c>
      <c r="CE9">
        <v>257</v>
      </c>
      <c r="CF9">
        <v>203</v>
      </c>
      <c r="CG9">
        <v>363</v>
      </c>
      <c r="CH9">
        <v>303</v>
      </c>
      <c r="CI9">
        <v>45</v>
      </c>
      <c r="CJ9">
        <v>9</v>
      </c>
      <c r="CK9">
        <v>0.89369840950271795</v>
      </c>
      <c r="CL9">
        <v>5.174149385947252E-2</v>
      </c>
      <c r="CM9">
        <v>4.0869740285886851E-2</v>
      </c>
      <c r="CN9">
        <v>0.83471074380165289</v>
      </c>
      <c r="CO9">
        <v>0.12396694214876033</v>
      </c>
      <c r="CP9">
        <v>2.4793388429752067E-2</v>
      </c>
    </row>
    <row r="10" spans="1:94" x14ac:dyDescent="0.15">
      <c r="A10" t="s">
        <v>433</v>
      </c>
      <c r="B10" t="s">
        <v>427</v>
      </c>
      <c r="C10" t="s">
        <v>434</v>
      </c>
      <c r="D10">
        <v>9143</v>
      </c>
      <c r="E10">
        <v>2960</v>
      </c>
      <c r="F10">
        <v>1080</v>
      </c>
      <c r="G10">
        <v>1045</v>
      </c>
      <c r="H10">
        <v>0.32374494148528932</v>
      </c>
      <c r="I10">
        <v>0.11812315432571366</v>
      </c>
      <c r="J10">
        <v>0.1142950891392322</v>
      </c>
      <c r="K10">
        <v>18949</v>
      </c>
      <c r="L10">
        <v>1464</v>
      </c>
      <c r="M10">
        <v>7942</v>
      </c>
      <c r="N10">
        <v>7832</v>
      </c>
      <c r="O10">
        <v>7.7260013721040688E-2</v>
      </c>
      <c r="P10">
        <v>0.41912501978996253</v>
      </c>
      <c r="Q10">
        <v>0.4133199641142013</v>
      </c>
      <c r="R10">
        <v>18949</v>
      </c>
      <c r="S10">
        <v>2689</v>
      </c>
      <c r="T10">
        <v>1015</v>
      </c>
      <c r="U10">
        <v>1284</v>
      </c>
      <c r="V10">
        <v>104</v>
      </c>
      <c r="W10">
        <v>5092</v>
      </c>
      <c r="X10">
        <v>8921</v>
      </c>
      <c r="Y10">
        <v>1243</v>
      </c>
      <c r="Z10">
        <v>429</v>
      </c>
      <c r="AA10">
        <v>696</v>
      </c>
      <c r="AB10">
        <v>28</v>
      </c>
      <c r="AC10">
        <v>2396</v>
      </c>
      <c r="AD10">
        <v>10028</v>
      </c>
      <c r="AE10">
        <v>1446</v>
      </c>
      <c r="AF10">
        <v>586</v>
      </c>
      <c r="AG10">
        <v>588</v>
      </c>
      <c r="AH10">
        <v>76</v>
      </c>
      <c r="AI10">
        <v>2696</v>
      </c>
      <c r="AJ10">
        <v>0.26872130455433002</v>
      </c>
      <c r="AK10">
        <v>0.19933228593872743</v>
      </c>
      <c r="AL10">
        <v>0.25216025137470544</v>
      </c>
      <c r="AM10">
        <v>2.0424194815396701E-2</v>
      </c>
      <c r="AN10">
        <v>0.47054202670856243</v>
      </c>
      <c r="AO10">
        <v>0.52945797329143751</v>
      </c>
      <c r="AP10">
        <v>9148</v>
      </c>
      <c r="AQ10">
        <v>270</v>
      </c>
      <c r="AR10">
        <v>3</v>
      </c>
      <c r="AS10">
        <v>1</v>
      </c>
      <c r="AT10">
        <v>628</v>
      </c>
      <c r="AU10">
        <v>1338</v>
      </c>
      <c r="AV10">
        <v>54</v>
      </c>
      <c r="AW10">
        <v>97</v>
      </c>
      <c r="AX10">
        <v>453</v>
      </c>
      <c r="AY10">
        <v>1623</v>
      </c>
      <c r="AZ10">
        <v>151</v>
      </c>
      <c r="BA10">
        <v>119</v>
      </c>
      <c r="BB10">
        <v>227</v>
      </c>
      <c r="BC10">
        <v>497</v>
      </c>
      <c r="BD10">
        <v>317</v>
      </c>
      <c r="BE10">
        <v>628</v>
      </c>
      <c r="BF10">
        <v>1598</v>
      </c>
      <c r="BG10">
        <v>132</v>
      </c>
      <c r="BH10">
        <v>490</v>
      </c>
      <c r="BI10">
        <v>414</v>
      </c>
      <c r="BJ10">
        <v>2.9514648010494096E-2</v>
      </c>
      <c r="BK10">
        <v>3.2794053344993443E-4</v>
      </c>
      <c r="BL10">
        <v>1.0931351114997814E-4</v>
      </c>
      <c r="BM10">
        <v>6.8648885002186272E-2</v>
      </c>
      <c r="BN10">
        <v>0.14626147791867075</v>
      </c>
      <c r="BO10">
        <v>5.9029296020988191E-3</v>
      </c>
      <c r="BP10">
        <v>1.060341058154788E-2</v>
      </c>
      <c r="BQ10">
        <v>4.9519020550940096E-2</v>
      </c>
      <c r="BR10">
        <v>0.17741582859641453</v>
      </c>
      <c r="BS10">
        <v>1.65063401836467E-2</v>
      </c>
      <c r="BT10">
        <v>1.3008307826847398E-2</v>
      </c>
      <c r="BU10">
        <v>2.4814167031045036E-2</v>
      </c>
      <c r="BV10">
        <v>5.4328815041539136E-2</v>
      </c>
      <c r="BW10">
        <v>3.4652383034543072E-2</v>
      </c>
      <c r="BX10">
        <v>6.8648885002186272E-2</v>
      </c>
      <c r="BY10">
        <v>0.17468299081766506</v>
      </c>
      <c r="BZ10">
        <v>1.4429383471797114E-2</v>
      </c>
      <c r="CA10">
        <v>5.3563620463489288E-2</v>
      </c>
      <c r="CB10">
        <v>4.5255793616090952E-2</v>
      </c>
      <c r="CC10">
        <v>9148</v>
      </c>
      <c r="CD10">
        <v>7970</v>
      </c>
      <c r="CE10">
        <v>821</v>
      </c>
      <c r="CF10">
        <v>274</v>
      </c>
      <c r="CG10">
        <v>790</v>
      </c>
      <c r="CH10">
        <v>623</v>
      </c>
      <c r="CI10">
        <v>117</v>
      </c>
      <c r="CJ10">
        <v>27</v>
      </c>
      <c r="CK10">
        <v>0.8712286838653257</v>
      </c>
      <c r="CL10">
        <v>8.9746392654132048E-2</v>
      </c>
      <c r="CM10">
        <v>2.9951902055094008E-2</v>
      </c>
      <c r="CN10">
        <v>0.78860759493670884</v>
      </c>
      <c r="CO10">
        <v>0.14810126582278482</v>
      </c>
      <c r="CP10">
        <v>3.4177215189873419E-2</v>
      </c>
    </row>
    <row r="11" spans="1:94" x14ac:dyDescent="0.15">
      <c r="A11" t="s">
        <v>435</v>
      </c>
      <c r="B11" t="s">
        <v>427</v>
      </c>
      <c r="C11" t="s">
        <v>436</v>
      </c>
      <c r="D11">
        <v>7327</v>
      </c>
      <c r="E11">
        <v>3391</v>
      </c>
      <c r="F11">
        <v>1126</v>
      </c>
      <c r="G11">
        <v>1361</v>
      </c>
      <c r="H11">
        <v>0.46280878940903508</v>
      </c>
      <c r="I11">
        <v>0.15367817660706976</v>
      </c>
      <c r="J11">
        <v>0.18575133069469088</v>
      </c>
      <c r="K11">
        <v>16973</v>
      </c>
      <c r="L11">
        <v>1449</v>
      </c>
      <c r="M11">
        <v>6643</v>
      </c>
      <c r="N11">
        <v>7797</v>
      </c>
      <c r="O11">
        <v>8.5370883167383491E-2</v>
      </c>
      <c r="P11">
        <v>0.39138631944853591</v>
      </c>
      <c r="Q11">
        <v>0.45937665704353975</v>
      </c>
      <c r="R11">
        <v>16973</v>
      </c>
      <c r="S11">
        <v>2296</v>
      </c>
      <c r="T11">
        <v>485</v>
      </c>
      <c r="U11">
        <v>1134</v>
      </c>
      <c r="V11">
        <v>77</v>
      </c>
      <c r="W11">
        <v>3992</v>
      </c>
      <c r="X11">
        <v>8002</v>
      </c>
      <c r="Y11">
        <v>1052</v>
      </c>
      <c r="Z11">
        <v>272</v>
      </c>
      <c r="AA11">
        <v>626</v>
      </c>
      <c r="AB11">
        <v>8</v>
      </c>
      <c r="AC11">
        <v>1958</v>
      </c>
      <c r="AD11">
        <v>8971</v>
      </c>
      <c r="AE11">
        <v>1244</v>
      </c>
      <c r="AF11">
        <v>213</v>
      </c>
      <c r="AG11">
        <v>508</v>
      </c>
      <c r="AH11">
        <v>69</v>
      </c>
      <c r="AI11">
        <v>2034</v>
      </c>
      <c r="AJ11">
        <v>0.23519707771165971</v>
      </c>
      <c r="AK11">
        <v>0.12149298597194388</v>
      </c>
      <c r="AL11">
        <v>0.28406813627254507</v>
      </c>
      <c r="AM11">
        <v>1.9288577154308616E-2</v>
      </c>
      <c r="AN11">
        <v>0.49048096192384771</v>
      </c>
      <c r="AO11">
        <v>0.50951903807615229</v>
      </c>
      <c r="AP11">
        <v>7797</v>
      </c>
      <c r="AQ11">
        <v>353</v>
      </c>
      <c r="AR11">
        <v>3</v>
      </c>
      <c r="AS11">
        <v>2</v>
      </c>
      <c r="AT11">
        <v>649</v>
      </c>
      <c r="AU11">
        <v>1050</v>
      </c>
      <c r="AV11">
        <v>58</v>
      </c>
      <c r="AW11">
        <v>53</v>
      </c>
      <c r="AX11">
        <v>342</v>
      </c>
      <c r="AY11">
        <v>1251</v>
      </c>
      <c r="AZ11">
        <v>126</v>
      </c>
      <c r="BA11">
        <v>73</v>
      </c>
      <c r="BB11">
        <v>163</v>
      </c>
      <c r="BC11">
        <v>329</v>
      </c>
      <c r="BD11">
        <v>277</v>
      </c>
      <c r="BE11">
        <v>346</v>
      </c>
      <c r="BF11">
        <v>1417</v>
      </c>
      <c r="BG11">
        <v>61</v>
      </c>
      <c r="BH11">
        <v>391</v>
      </c>
      <c r="BI11">
        <v>748</v>
      </c>
      <c r="BJ11">
        <v>4.5273823265358469E-2</v>
      </c>
      <c r="BK11">
        <v>3.8476337052712584E-4</v>
      </c>
      <c r="BL11">
        <v>2.5650891368475054E-4</v>
      </c>
      <c r="BM11">
        <v>8.3237142490701549E-2</v>
      </c>
      <c r="BN11">
        <v>0.13466717968449404</v>
      </c>
      <c r="BO11">
        <v>7.438758496857766E-3</v>
      </c>
      <c r="BP11">
        <v>6.7974862126458898E-3</v>
      </c>
      <c r="BQ11">
        <v>4.3863024240092342E-2</v>
      </c>
      <c r="BR11">
        <v>0.16044632550981147</v>
      </c>
      <c r="BS11">
        <v>1.6160061562139283E-2</v>
      </c>
      <c r="BT11">
        <v>9.3625753494933957E-3</v>
      </c>
      <c r="BU11">
        <v>2.090547646530717E-2</v>
      </c>
      <c r="BV11">
        <v>4.2195716301141467E-2</v>
      </c>
      <c r="BW11">
        <v>3.5526484545337952E-2</v>
      </c>
      <c r="BX11">
        <v>4.4376042067461846E-2</v>
      </c>
      <c r="BY11">
        <v>0.18173656534564575</v>
      </c>
      <c r="BZ11">
        <v>7.8235218673848913E-3</v>
      </c>
      <c r="CA11">
        <v>5.0147492625368731E-2</v>
      </c>
      <c r="CB11">
        <v>9.5934333718096704E-2</v>
      </c>
      <c r="CC11">
        <v>7797</v>
      </c>
      <c r="CD11">
        <v>6679</v>
      </c>
      <c r="CE11">
        <v>355</v>
      </c>
      <c r="CF11">
        <v>696</v>
      </c>
      <c r="CG11">
        <v>577</v>
      </c>
      <c r="CH11">
        <v>445</v>
      </c>
      <c r="CI11">
        <v>77</v>
      </c>
      <c r="CJ11">
        <v>41</v>
      </c>
      <c r="CK11">
        <v>0.85661151725022444</v>
      </c>
      <c r="CL11">
        <v>4.5530332179043224E-2</v>
      </c>
      <c r="CM11">
        <v>8.9265101962293189E-2</v>
      </c>
      <c r="CN11">
        <v>0.77123050259965342</v>
      </c>
      <c r="CO11">
        <v>0.13344887348353554</v>
      </c>
      <c r="CP11">
        <v>7.1057192374350084E-2</v>
      </c>
    </row>
    <row r="12" spans="1:94" x14ac:dyDescent="0.15">
      <c r="A12" t="s">
        <v>437</v>
      </c>
      <c r="B12" t="s">
        <v>427</v>
      </c>
      <c r="C12" t="s">
        <v>438</v>
      </c>
      <c r="D12">
        <v>5637</v>
      </c>
      <c r="E12">
        <v>2224</v>
      </c>
      <c r="F12">
        <v>811</v>
      </c>
      <c r="G12">
        <v>762</v>
      </c>
      <c r="H12">
        <v>0.39453610076281709</v>
      </c>
      <c r="I12">
        <v>0.14387085329075749</v>
      </c>
      <c r="J12">
        <v>0.13517828632251197</v>
      </c>
      <c r="K12">
        <v>14277</v>
      </c>
      <c r="L12">
        <v>1202</v>
      </c>
      <c r="M12">
        <v>5777</v>
      </c>
      <c r="N12">
        <v>6467</v>
      </c>
      <c r="O12">
        <v>8.4191356727603833E-2</v>
      </c>
      <c r="P12">
        <v>0.40463682846536386</v>
      </c>
      <c r="Q12">
        <v>0.45296630944876376</v>
      </c>
      <c r="R12">
        <v>14277</v>
      </c>
      <c r="S12">
        <v>2201</v>
      </c>
      <c r="T12">
        <v>341</v>
      </c>
      <c r="U12">
        <v>810</v>
      </c>
      <c r="V12">
        <v>55</v>
      </c>
      <c r="W12">
        <v>3407</v>
      </c>
      <c r="X12">
        <v>6778</v>
      </c>
      <c r="Y12">
        <v>1009</v>
      </c>
      <c r="Z12">
        <v>183</v>
      </c>
      <c r="AA12">
        <v>434</v>
      </c>
      <c r="AB12">
        <v>17</v>
      </c>
      <c r="AC12">
        <v>1643</v>
      </c>
      <c r="AD12">
        <v>7499</v>
      </c>
      <c r="AE12">
        <v>1192</v>
      </c>
      <c r="AF12">
        <v>158</v>
      </c>
      <c r="AG12">
        <v>376</v>
      </c>
      <c r="AH12">
        <v>38</v>
      </c>
      <c r="AI12">
        <v>1764</v>
      </c>
      <c r="AJ12">
        <v>0.23863556769629474</v>
      </c>
      <c r="AK12">
        <v>0.10008805400645729</v>
      </c>
      <c r="AL12">
        <v>0.23774581743469328</v>
      </c>
      <c r="AM12">
        <v>1.6143234517170531E-2</v>
      </c>
      <c r="AN12">
        <v>0.48224244203111244</v>
      </c>
      <c r="AO12">
        <v>0.51775755796888756</v>
      </c>
      <c r="AP12">
        <v>6541</v>
      </c>
      <c r="AQ12">
        <v>318</v>
      </c>
      <c r="AR12">
        <v>0</v>
      </c>
      <c r="AS12">
        <v>0</v>
      </c>
      <c r="AT12">
        <v>523</v>
      </c>
      <c r="AU12">
        <v>878</v>
      </c>
      <c r="AV12">
        <v>21</v>
      </c>
      <c r="AW12">
        <v>57</v>
      </c>
      <c r="AX12">
        <v>266</v>
      </c>
      <c r="AY12">
        <v>1114</v>
      </c>
      <c r="AZ12">
        <v>116</v>
      </c>
      <c r="BA12">
        <v>77</v>
      </c>
      <c r="BB12">
        <v>180</v>
      </c>
      <c r="BC12">
        <v>300</v>
      </c>
      <c r="BD12">
        <v>215</v>
      </c>
      <c r="BE12">
        <v>362</v>
      </c>
      <c r="BF12">
        <v>1238</v>
      </c>
      <c r="BG12">
        <v>69</v>
      </c>
      <c r="BH12">
        <v>310</v>
      </c>
      <c r="BI12">
        <v>397</v>
      </c>
      <c r="BJ12">
        <v>4.8616419507720533E-2</v>
      </c>
      <c r="BK12">
        <v>0</v>
      </c>
      <c r="BL12">
        <v>0</v>
      </c>
      <c r="BM12">
        <v>7.9957193089741627E-2</v>
      </c>
      <c r="BN12">
        <v>0.1342302400244611</v>
      </c>
      <c r="BO12">
        <v>3.2105182693777708E-3</v>
      </c>
      <c r="BP12">
        <v>8.714263874025378E-3</v>
      </c>
      <c r="BQ12">
        <v>4.0666564745451765E-2</v>
      </c>
      <c r="BR12">
        <v>0.17031035009937318</v>
      </c>
      <c r="BS12">
        <v>1.7734291392753402E-2</v>
      </c>
      <c r="BT12">
        <v>1.1771900321051828E-2</v>
      </c>
      <c r="BU12">
        <v>2.7518728023238036E-2</v>
      </c>
      <c r="BV12">
        <v>4.5864546705396726E-2</v>
      </c>
      <c r="BW12">
        <v>3.2869591805534323E-2</v>
      </c>
      <c r="BX12">
        <v>5.5343219691178717E-2</v>
      </c>
      <c r="BY12">
        <v>0.18926769607093716</v>
      </c>
      <c r="BZ12">
        <v>1.0548845742241247E-2</v>
      </c>
      <c r="CA12">
        <v>4.7393364928909949E-2</v>
      </c>
      <c r="CB12">
        <v>6.0694083473475005E-2</v>
      </c>
      <c r="CC12">
        <v>6541</v>
      </c>
      <c r="CD12">
        <v>5681</v>
      </c>
      <c r="CE12">
        <v>314</v>
      </c>
      <c r="CF12">
        <v>464</v>
      </c>
      <c r="CG12">
        <v>761</v>
      </c>
      <c r="CH12">
        <v>639</v>
      </c>
      <c r="CI12">
        <v>90</v>
      </c>
      <c r="CJ12">
        <v>18</v>
      </c>
      <c r="CK12">
        <v>0.86852163277786276</v>
      </c>
      <c r="CL12">
        <v>4.8004892218315241E-2</v>
      </c>
      <c r="CM12">
        <v>7.0937165571013608E-2</v>
      </c>
      <c r="CN12">
        <v>0.83968462549277267</v>
      </c>
      <c r="CO12">
        <v>0.11826544021024968</v>
      </c>
      <c r="CP12">
        <v>2.3653088042049936E-2</v>
      </c>
    </row>
    <row r="13" spans="1:94" x14ac:dyDescent="0.15">
      <c r="A13" t="s">
        <v>439</v>
      </c>
      <c r="B13" t="s">
        <v>427</v>
      </c>
      <c r="C13" t="s">
        <v>440</v>
      </c>
      <c r="D13">
        <v>6580</v>
      </c>
      <c r="E13">
        <v>2192</v>
      </c>
      <c r="F13">
        <v>845</v>
      </c>
      <c r="G13">
        <v>709</v>
      </c>
      <c r="H13">
        <v>0.33313069908814591</v>
      </c>
      <c r="I13">
        <v>0.128419452887538</v>
      </c>
      <c r="J13">
        <v>0.10775075987841945</v>
      </c>
      <c r="K13">
        <v>14894</v>
      </c>
      <c r="L13">
        <v>1494</v>
      </c>
      <c r="M13">
        <v>6256</v>
      </c>
      <c r="N13">
        <v>6073</v>
      </c>
      <c r="O13">
        <v>0.10030884920102054</v>
      </c>
      <c r="P13">
        <v>0.42003491338794147</v>
      </c>
      <c r="Q13">
        <v>0.40774808647777627</v>
      </c>
      <c r="R13">
        <v>14894</v>
      </c>
      <c r="S13">
        <v>2315</v>
      </c>
      <c r="T13">
        <v>855</v>
      </c>
      <c r="U13">
        <v>811</v>
      </c>
      <c r="V13">
        <v>163</v>
      </c>
      <c r="W13">
        <v>4144</v>
      </c>
      <c r="X13">
        <v>7195</v>
      </c>
      <c r="Y13">
        <v>1062</v>
      </c>
      <c r="Z13">
        <v>478</v>
      </c>
      <c r="AA13">
        <v>464</v>
      </c>
      <c r="AB13">
        <v>23</v>
      </c>
      <c r="AC13">
        <v>2027</v>
      </c>
      <c r="AD13">
        <v>7699</v>
      </c>
      <c r="AE13">
        <v>1253</v>
      </c>
      <c r="AF13">
        <v>377</v>
      </c>
      <c r="AG13">
        <v>347</v>
      </c>
      <c r="AH13">
        <v>140</v>
      </c>
      <c r="AI13">
        <v>2117</v>
      </c>
      <c r="AJ13">
        <v>0.2782328454411172</v>
      </c>
      <c r="AK13">
        <v>0.20632239382239381</v>
      </c>
      <c r="AL13">
        <v>0.19570463320463322</v>
      </c>
      <c r="AM13">
        <v>3.9333976833976832E-2</v>
      </c>
      <c r="AN13">
        <v>0.48914092664092662</v>
      </c>
      <c r="AO13">
        <v>0.51085907335907332</v>
      </c>
      <c r="AP13">
        <v>7373</v>
      </c>
      <c r="AQ13">
        <v>474</v>
      </c>
      <c r="AR13">
        <v>1</v>
      </c>
      <c r="AS13">
        <v>1</v>
      </c>
      <c r="AT13">
        <v>534</v>
      </c>
      <c r="AU13">
        <v>1476</v>
      </c>
      <c r="AV13">
        <v>11</v>
      </c>
      <c r="AW13">
        <v>51</v>
      </c>
      <c r="AX13">
        <v>408</v>
      </c>
      <c r="AY13">
        <v>1126</v>
      </c>
      <c r="AZ13">
        <v>84</v>
      </c>
      <c r="BA13">
        <v>74</v>
      </c>
      <c r="BB13">
        <v>145</v>
      </c>
      <c r="BC13">
        <v>304</v>
      </c>
      <c r="BD13">
        <v>267</v>
      </c>
      <c r="BE13">
        <v>472</v>
      </c>
      <c r="BF13">
        <v>1150</v>
      </c>
      <c r="BG13">
        <v>93</v>
      </c>
      <c r="BH13">
        <v>386</v>
      </c>
      <c r="BI13">
        <v>209</v>
      </c>
      <c r="BJ13">
        <v>6.4288620642886207E-2</v>
      </c>
      <c r="BK13">
        <v>1.356300013563E-4</v>
      </c>
      <c r="BL13">
        <v>1.356300013563E-4</v>
      </c>
      <c r="BM13">
        <v>7.2426420724264209E-2</v>
      </c>
      <c r="BN13">
        <v>0.20018988200189883</v>
      </c>
      <c r="BO13">
        <v>1.4919300149193002E-3</v>
      </c>
      <c r="BP13">
        <v>6.9171300691713003E-3</v>
      </c>
      <c r="BQ13">
        <v>5.5337040553370402E-2</v>
      </c>
      <c r="BR13">
        <v>0.1527193815271938</v>
      </c>
      <c r="BS13">
        <v>1.1392920113929202E-2</v>
      </c>
      <c r="BT13">
        <v>1.0036620100366201E-2</v>
      </c>
      <c r="BU13">
        <v>1.9666350196663501E-2</v>
      </c>
      <c r="BV13">
        <v>4.1231520412315203E-2</v>
      </c>
      <c r="BW13">
        <v>3.6213210362132105E-2</v>
      </c>
      <c r="BX13">
        <v>6.4017360640173604E-2</v>
      </c>
      <c r="BY13">
        <v>0.15597450155974502</v>
      </c>
      <c r="BZ13">
        <v>1.2613590126135901E-2</v>
      </c>
      <c r="CA13">
        <v>5.2353180523531807E-2</v>
      </c>
      <c r="CB13">
        <v>2.8346670283466702E-2</v>
      </c>
      <c r="CC13">
        <v>7373</v>
      </c>
      <c r="CD13">
        <v>6522</v>
      </c>
      <c r="CE13">
        <v>623</v>
      </c>
      <c r="CF13">
        <v>149</v>
      </c>
      <c r="CG13">
        <v>805</v>
      </c>
      <c r="CH13">
        <v>711</v>
      </c>
      <c r="CI13">
        <v>68</v>
      </c>
      <c r="CJ13">
        <v>16</v>
      </c>
      <c r="CK13">
        <v>0.88457886884578873</v>
      </c>
      <c r="CL13">
        <v>8.4497490844974904E-2</v>
      </c>
      <c r="CM13">
        <v>2.0208870202088704E-2</v>
      </c>
      <c r="CN13">
        <v>0.8832298136645963</v>
      </c>
      <c r="CO13">
        <v>8.4472049689440998E-2</v>
      </c>
      <c r="CP13">
        <v>1.9875776397515529E-2</v>
      </c>
    </row>
    <row r="14" spans="1:94" x14ac:dyDescent="0.15">
      <c r="A14" t="s">
        <v>441</v>
      </c>
      <c r="B14" t="s">
        <v>427</v>
      </c>
      <c r="C14" t="s">
        <v>442</v>
      </c>
      <c r="D14">
        <v>2617</v>
      </c>
      <c r="E14">
        <v>1513</v>
      </c>
      <c r="F14">
        <v>553</v>
      </c>
      <c r="G14">
        <v>463</v>
      </c>
      <c r="H14">
        <v>0.57814291173098964</v>
      </c>
      <c r="I14">
        <v>0.21131066106228505</v>
      </c>
      <c r="J14">
        <v>0.17692013756209399</v>
      </c>
      <c r="K14">
        <v>6295</v>
      </c>
      <c r="L14">
        <v>967</v>
      </c>
      <c r="M14">
        <v>1623</v>
      </c>
      <c r="N14">
        <v>3473</v>
      </c>
      <c r="O14">
        <v>0.15361397934868942</v>
      </c>
      <c r="P14">
        <v>0.25782366957903097</v>
      </c>
      <c r="Q14">
        <v>0.5517077045274027</v>
      </c>
      <c r="R14">
        <v>6295</v>
      </c>
      <c r="S14">
        <v>537</v>
      </c>
      <c r="T14">
        <v>122</v>
      </c>
      <c r="U14">
        <v>115</v>
      </c>
      <c r="V14">
        <v>82</v>
      </c>
      <c r="W14">
        <v>856</v>
      </c>
      <c r="X14">
        <v>2993</v>
      </c>
      <c r="Y14">
        <v>232</v>
      </c>
      <c r="Z14">
        <v>58</v>
      </c>
      <c r="AA14">
        <v>62</v>
      </c>
      <c r="AB14">
        <v>50</v>
      </c>
      <c r="AC14">
        <v>402</v>
      </c>
      <c r="AD14">
        <v>3302</v>
      </c>
      <c r="AE14">
        <v>305</v>
      </c>
      <c r="AF14">
        <v>64</v>
      </c>
      <c r="AG14">
        <v>53</v>
      </c>
      <c r="AH14">
        <v>32</v>
      </c>
      <c r="AI14">
        <v>454</v>
      </c>
      <c r="AJ14">
        <v>0.13598093725178714</v>
      </c>
      <c r="AK14">
        <v>0.1425233644859813</v>
      </c>
      <c r="AL14">
        <v>0.13434579439252337</v>
      </c>
      <c r="AM14">
        <v>9.5794392523364483E-2</v>
      </c>
      <c r="AN14">
        <v>0.46962616822429909</v>
      </c>
      <c r="AO14">
        <v>0.53037383177570097</v>
      </c>
      <c r="AP14">
        <v>3054</v>
      </c>
      <c r="AQ14">
        <v>603</v>
      </c>
      <c r="AR14">
        <v>0</v>
      </c>
      <c r="AS14">
        <v>0</v>
      </c>
      <c r="AT14">
        <v>308</v>
      </c>
      <c r="AU14">
        <v>523</v>
      </c>
      <c r="AV14">
        <v>5</v>
      </c>
      <c r="AW14">
        <v>10</v>
      </c>
      <c r="AX14">
        <v>137</v>
      </c>
      <c r="AY14">
        <v>371</v>
      </c>
      <c r="AZ14">
        <v>32</v>
      </c>
      <c r="BA14">
        <v>14</v>
      </c>
      <c r="BB14">
        <v>48</v>
      </c>
      <c r="BC14">
        <v>91</v>
      </c>
      <c r="BD14">
        <v>92</v>
      </c>
      <c r="BE14">
        <v>89</v>
      </c>
      <c r="BF14">
        <v>439</v>
      </c>
      <c r="BG14">
        <v>45</v>
      </c>
      <c r="BH14">
        <v>140</v>
      </c>
      <c r="BI14">
        <v>63</v>
      </c>
      <c r="BJ14">
        <v>0.19744597249508841</v>
      </c>
      <c r="BK14">
        <v>0</v>
      </c>
      <c r="BL14">
        <v>0</v>
      </c>
      <c r="BM14">
        <v>0.1008513425016372</v>
      </c>
      <c r="BN14">
        <v>0.17125081859855926</v>
      </c>
      <c r="BO14">
        <v>1.6371971185330713E-3</v>
      </c>
      <c r="BP14">
        <v>3.2743942370661427E-3</v>
      </c>
      <c r="BQ14">
        <v>4.4859201047806156E-2</v>
      </c>
      <c r="BR14">
        <v>0.1214800261951539</v>
      </c>
      <c r="BS14">
        <v>1.0478061558611657E-2</v>
      </c>
      <c r="BT14">
        <v>4.5841519318926003E-3</v>
      </c>
      <c r="BU14">
        <v>1.5717092337917484E-2</v>
      </c>
      <c r="BV14">
        <v>2.97969875573019E-2</v>
      </c>
      <c r="BW14">
        <v>3.0124426981008513E-2</v>
      </c>
      <c r="BX14">
        <v>2.9142108709888672E-2</v>
      </c>
      <c r="BY14">
        <v>0.14374590700720366</v>
      </c>
      <c r="BZ14">
        <v>1.4734774066797643E-2</v>
      </c>
      <c r="CA14">
        <v>4.5841519318926001E-2</v>
      </c>
      <c r="CB14">
        <v>2.0628683693516701E-2</v>
      </c>
      <c r="CC14">
        <v>3054</v>
      </c>
      <c r="CD14">
        <v>2772</v>
      </c>
      <c r="CE14">
        <v>186</v>
      </c>
      <c r="CF14">
        <v>56</v>
      </c>
      <c r="CG14">
        <v>209</v>
      </c>
      <c r="CH14">
        <v>163</v>
      </c>
      <c r="CI14">
        <v>35</v>
      </c>
      <c r="CJ14">
        <v>5</v>
      </c>
      <c r="CK14">
        <v>0.90766208251473479</v>
      </c>
      <c r="CL14">
        <v>6.0903732809430254E-2</v>
      </c>
      <c r="CM14">
        <v>1.8336607727570401E-2</v>
      </c>
      <c r="CN14">
        <v>0.77990430622009566</v>
      </c>
      <c r="CO14">
        <v>0.1674641148325359</v>
      </c>
      <c r="CP14">
        <v>2.3923444976076555E-2</v>
      </c>
    </row>
    <row r="15" spans="1:94" x14ac:dyDescent="0.15">
      <c r="A15" t="s">
        <v>443</v>
      </c>
      <c r="B15" t="s">
        <v>427</v>
      </c>
      <c r="C15" t="s">
        <v>444</v>
      </c>
      <c r="D15" s="202">
        <v>2931</v>
      </c>
      <c r="E15" s="202">
        <v>1607</v>
      </c>
      <c r="F15" s="202">
        <v>536</v>
      </c>
      <c r="G15" s="202">
        <v>525</v>
      </c>
      <c r="H15" s="202">
        <v>0.54827703855339471</v>
      </c>
      <c r="I15" s="202">
        <v>0.18287273967929035</v>
      </c>
      <c r="J15" s="202">
        <v>0.17911975435005117</v>
      </c>
      <c r="K15" s="202">
        <v>7124</v>
      </c>
      <c r="L15" s="202">
        <v>927</v>
      </c>
      <c r="M15" s="202">
        <v>2102</v>
      </c>
      <c r="N15" s="202">
        <v>3804</v>
      </c>
      <c r="O15" s="202">
        <v>0.13012352610892758</v>
      </c>
      <c r="P15" s="202">
        <v>0.29505895564289725</v>
      </c>
      <c r="Q15" s="202">
        <v>0.53396967995508138</v>
      </c>
      <c r="R15" s="202">
        <v>7124</v>
      </c>
      <c r="S15" s="202">
        <v>854</v>
      </c>
      <c r="T15" s="202">
        <v>96</v>
      </c>
      <c r="U15" s="202">
        <v>143</v>
      </c>
      <c r="V15" s="202">
        <v>70</v>
      </c>
      <c r="W15" s="202">
        <v>1163</v>
      </c>
      <c r="X15" s="202">
        <v>3312</v>
      </c>
      <c r="Y15" s="202">
        <v>384</v>
      </c>
      <c r="Z15" s="202">
        <v>40</v>
      </c>
      <c r="AA15" s="202">
        <v>76</v>
      </c>
      <c r="AB15" s="202">
        <v>20</v>
      </c>
      <c r="AC15" s="202">
        <v>520</v>
      </c>
      <c r="AD15" s="202">
        <v>3812</v>
      </c>
      <c r="AE15" s="202">
        <v>470</v>
      </c>
      <c r="AF15" s="202">
        <v>56</v>
      </c>
      <c r="AG15" s="202">
        <v>67</v>
      </c>
      <c r="AH15" s="202">
        <v>50</v>
      </c>
      <c r="AI15" s="202">
        <v>643</v>
      </c>
      <c r="AJ15" s="202">
        <v>0.1632509825940483</v>
      </c>
      <c r="AK15" s="202">
        <v>8.2545141874462602E-2</v>
      </c>
      <c r="AL15" s="202">
        <v>0.12295786758383491</v>
      </c>
      <c r="AM15" s="202">
        <v>6.0189165950128978E-2</v>
      </c>
      <c r="AN15" s="202">
        <v>0.44711951848667242</v>
      </c>
      <c r="AO15" s="202">
        <v>0.55288048151332758</v>
      </c>
      <c r="AP15" s="202">
        <v>3323</v>
      </c>
      <c r="AQ15" s="202">
        <v>481</v>
      </c>
      <c r="AR15" s="202">
        <v>0</v>
      </c>
      <c r="AS15" s="202">
        <v>2</v>
      </c>
      <c r="AT15" s="202">
        <v>360</v>
      </c>
      <c r="AU15" s="202">
        <v>546</v>
      </c>
      <c r="AV15" s="202">
        <v>10</v>
      </c>
      <c r="AW15" s="202">
        <v>18</v>
      </c>
      <c r="AX15" s="202">
        <v>133</v>
      </c>
      <c r="AY15" s="202">
        <v>423</v>
      </c>
      <c r="AZ15" s="202">
        <v>35</v>
      </c>
      <c r="BA15" s="202">
        <v>25</v>
      </c>
      <c r="BB15" s="202">
        <v>72</v>
      </c>
      <c r="BC15" s="202">
        <v>122</v>
      </c>
      <c r="BD15" s="202">
        <v>100</v>
      </c>
      <c r="BE15" s="202">
        <v>116</v>
      </c>
      <c r="BF15" s="202">
        <v>476</v>
      </c>
      <c r="BG15" s="202">
        <v>52</v>
      </c>
      <c r="BH15" s="202">
        <v>155</v>
      </c>
      <c r="BI15" s="202">
        <v>78</v>
      </c>
      <c r="BJ15" s="202">
        <v>0.14474872103520914</v>
      </c>
      <c r="BK15" s="202">
        <v>0</v>
      </c>
      <c r="BL15" s="202">
        <v>6.0186578393018361E-4</v>
      </c>
      <c r="BM15" s="202">
        <v>0.10833584110743304</v>
      </c>
      <c r="BN15" s="202">
        <v>0.16430935901294011</v>
      </c>
      <c r="BO15" s="202">
        <v>3.0093289196509178E-3</v>
      </c>
      <c r="BP15" s="202">
        <v>5.4167920553716518E-3</v>
      </c>
      <c r="BQ15" s="202">
        <v>4.0024074631357209E-2</v>
      </c>
      <c r="BR15" s="202">
        <v>0.12729461330123382</v>
      </c>
      <c r="BS15" s="202">
        <v>1.0532651218778213E-2</v>
      </c>
      <c r="BT15" s="202">
        <v>7.5233222991272948E-3</v>
      </c>
      <c r="BU15" s="202">
        <v>2.1667168221486607E-2</v>
      </c>
      <c r="BV15" s="202">
        <v>3.6713812819741197E-2</v>
      </c>
      <c r="BW15" s="202">
        <v>3.0093289196509179E-2</v>
      </c>
      <c r="BX15" s="202">
        <v>3.490821546795065E-2</v>
      </c>
      <c r="BY15" s="202">
        <v>0.14324405657538369</v>
      </c>
      <c r="BZ15" s="202">
        <v>1.5648510382184774E-2</v>
      </c>
      <c r="CA15" s="202">
        <v>4.6644598254589227E-2</v>
      </c>
      <c r="CB15" s="202">
        <v>2.3472765573277158E-2</v>
      </c>
      <c r="CC15" s="202">
        <v>3323</v>
      </c>
      <c r="CD15" s="202">
        <v>2979</v>
      </c>
      <c r="CE15" s="202">
        <v>158</v>
      </c>
      <c r="CF15" s="202">
        <v>114</v>
      </c>
      <c r="CG15" s="202">
        <v>216</v>
      </c>
      <c r="CH15" s="202">
        <v>168</v>
      </c>
      <c r="CI15" s="202">
        <v>38</v>
      </c>
      <c r="CJ15" s="202">
        <v>6</v>
      </c>
      <c r="CK15" s="202">
        <v>0.89647908516400843</v>
      </c>
      <c r="CL15" s="202">
        <v>4.7547396930484501E-2</v>
      </c>
      <c r="CM15" s="202">
        <v>3.4306349684020465E-2</v>
      </c>
      <c r="CN15" s="202">
        <v>0.77777777777777779</v>
      </c>
      <c r="CO15" s="202">
        <v>0.17592592592592593</v>
      </c>
      <c r="CP15" s="202">
        <v>2.7777777777777776E-2</v>
      </c>
    </row>
    <row r="16" spans="1:94" x14ac:dyDescent="0.15">
      <c r="A16" t="s">
        <v>445</v>
      </c>
      <c r="B16" t="s">
        <v>427</v>
      </c>
      <c r="C16" t="s">
        <v>446</v>
      </c>
      <c r="D16">
        <v>796</v>
      </c>
      <c r="E16">
        <v>617</v>
      </c>
      <c r="F16">
        <v>235</v>
      </c>
      <c r="G16">
        <v>235</v>
      </c>
      <c r="H16">
        <v>0.77512562814070352</v>
      </c>
      <c r="I16">
        <v>0.29522613065326631</v>
      </c>
      <c r="J16">
        <v>0.29522613065326631</v>
      </c>
      <c r="K16">
        <v>1584</v>
      </c>
      <c r="L16">
        <v>265</v>
      </c>
      <c r="M16">
        <v>324</v>
      </c>
      <c r="N16">
        <v>993</v>
      </c>
      <c r="O16">
        <v>0.16729797979797981</v>
      </c>
      <c r="P16">
        <v>0.20454545454545456</v>
      </c>
      <c r="Q16">
        <v>0.62689393939393945</v>
      </c>
      <c r="R16">
        <v>1584</v>
      </c>
      <c r="S16">
        <v>115</v>
      </c>
      <c r="T16">
        <v>16</v>
      </c>
      <c r="U16">
        <v>62</v>
      </c>
      <c r="V16">
        <v>10</v>
      </c>
      <c r="W16">
        <v>203</v>
      </c>
      <c r="X16">
        <v>732</v>
      </c>
      <c r="Y16">
        <v>52</v>
      </c>
      <c r="Z16">
        <v>12</v>
      </c>
      <c r="AA16">
        <v>29</v>
      </c>
      <c r="AB16">
        <v>4</v>
      </c>
      <c r="AC16">
        <v>97</v>
      </c>
      <c r="AD16">
        <v>852</v>
      </c>
      <c r="AE16">
        <v>63</v>
      </c>
      <c r="AF16">
        <v>4</v>
      </c>
      <c r="AG16">
        <v>33</v>
      </c>
      <c r="AH16">
        <v>6</v>
      </c>
      <c r="AI16">
        <v>106</v>
      </c>
      <c r="AJ16">
        <v>0.12815656565656566</v>
      </c>
      <c r="AK16">
        <v>7.8817733990147784E-2</v>
      </c>
      <c r="AL16">
        <v>0.30541871921182268</v>
      </c>
      <c r="AM16">
        <v>4.9261083743842367E-2</v>
      </c>
      <c r="AN16">
        <v>0.47783251231527096</v>
      </c>
      <c r="AO16">
        <v>0.52216748768472909</v>
      </c>
      <c r="AP16">
        <v>636</v>
      </c>
      <c r="AQ16">
        <v>239</v>
      </c>
      <c r="AR16">
        <v>0</v>
      </c>
      <c r="AS16">
        <v>0</v>
      </c>
      <c r="AT16">
        <v>35</v>
      </c>
      <c r="AU16">
        <v>68</v>
      </c>
      <c r="AV16">
        <v>0</v>
      </c>
      <c r="AW16">
        <v>1</v>
      </c>
      <c r="AX16">
        <v>24</v>
      </c>
      <c r="AY16">
        <v>70</v>
      </c>
      <c r="AZ16">
        <v>1</v>
      </c>
      <c r="BA16">
        <v>3</v>
      </c>
      <c r="BB16">
        <v>2</v>
      </c>
      <c r="BC16">
        <v>35</v>
      </c>
      <c r="BD16">
        <v>20</v>
      </c>
      <c r="BE16">
        <v>18</v>
      </c>
      <c r="BF16">
        <v>65</v>
      </c>
      <c r="BG16">
        <v>5</v>
      </c>
      <c r="BH16">
        <v>22</v>
      </c>
      <c r="BI16">
        <v>7</v>
      </c>
      <c r="BJ16">
        <v>0.37578616352201261</v>
      </c>
      <c r="BK16">
        <v>0</v>
      </c>
      <c r="BL16">
        <v>0</v>
      </c>
      <c r="BM16">
        <v>5.5031446540880505E-2</v>
      </c>
      <c r="BN16">
        <v>0.1069182389937107</v>
      </c>
      <c r="BO16">
        <v>0</v>
      </c>
      <c r="BP16">
        <v>1.5723270440251573E-3</v>
      </c>
      <c r="BQ16">
        <v>3.7735849056603772E-2</v>
      </c>
      <c r="BR16">
        <v>0.11006289308176101</v>
      </c>
      <c r="BS16">
        <v>1.5723270440251573E-3</v>
      </c>
      <c r="BT16">
        <v>4.7169811320754715E-3</v>
      </c>
      <c r="BU16">
        <v>3.1446540880503146E-3</v>
      </c>
      <c r="BV16">
        <v>5.5031446540880505E-2</v>
      </c>
      <c r="BW16">
        <v>3.1446540880503145E-2</v>
      </c>
      <c r="BX16">
        <v>2.8301886792452831E-2</v>
      </c>
      <c r="BY16">
        <v>0.10220125786163523</v>
      </c>
      <c r="BZ16">
        <v>7.8616352201257862E-3</v>
      </c>
      <c r="CA16">
        <v>3.4591194968553458E-2</v>
      </c>
      <c r="CB16">
        <v>1.10062893081761E-2</v>
      </c>
      <c r="CC16">
        <v>636</v>
      </c>
      <c r="CD16">
        <v>567</v>
      </c>
      <c r="CE16">
        <v>15</v>
      </c>
      <c r="CF16">
        <v>43</v>
      </c>
      <c r="CG16">
        <v>27</v>
      </c>
      <c r="CH16">
        <v>21</v>
      </c>
      <c r="CI16">
        <v>4</v>
      </c>
      <c r="CJ16">
        <v>2</v>
      </c>
      <c r="CK16">
        <v>0.89150943396226412</v>
      </c>
      <c r="CL16">
        <v>2.358490566037736E-2</v>
      </c>
      <c r="CM16">
        <v>6.761006289308176E-2</v>
      </c>
      <c r="CN16">
        <v>0.77777777777777779</v>
      </c>
      <c r="CO16">
        <v>0.14814814814814814</v>
      </c>
      <c r="CP16">
        <v>7.407407407407407E-2</v>
      </c>
    </row>
    <row r="17" spans="1:94" x14ac:dyDescent="0.15">
      <c r="A17" t="s">
        <v>447</v>
      </c>
      <c r="B17" t="s">
        <v>427</v>
      </c>
      <c r="C17" t="s">
        <v>448</v>
      </c>
      <c r="D17">
        <v>3421</v>
      </c>
      <c r="E17">
        <v>1894</v>
      </c>
      <c r="F17">
        <v>710</v>
      </c>
      <c r="G17">
        <v>645</v>
      </c>
      <c r="H17">
        <v>0.5536392867582578</v>
      </c>
      <c r="I17">
        <v>0.20754165448699211</v>
      </c>
      <c r="J17">
        <v>0.18854136217480269</v>
      </c>
      <c r="K17">
        <v>8206</v>
      </c>
      <c r="L17">
        <v>909</v>
      </c>
      <c r="M17">
        <v>2411</v>
      </c>
      <c r="N17">
        <v>4510</v>
      </c>
      <c r="O17">
        <v>0.11077260541067512</v>
      </c>
      <c r="P17">
        <v>0.29380940775042652</v>
      </c>
      <c r="Q17">
        <v>0.54959785522788207</v>
      </c>
      <c r="R17">
        <v>8206</v>
      </c>
      <c r="S17">
        <v>950</v>
      </c>
      <c r="T17">
        <v>125</v>
      </c>
      <c r="U17">
        <v>269</v>
      </c>
      <c r="V17">
        <v>72</v>
      </c>
      <c r="W17">
        <v>1416</v>
      </c>
      <c r="X17">
        <v>3799</v>
      </c>
      <c r="Y17">
        <v>392</v>
      </c>
      <c r="Z17">
        <v>45</v>
      </c>
      <c r="AA17">
        <v>137</v>
      </c>
      <c r="AB17">
        <v>11</v>
      </c>
      <c r="AC17">
        <v>585</v>
      </c>
      <c r="AD17">
        <v>4407</v>
      </c>
      <c r="AE17">
        <v>558</v>
      </c>
      <c r="AF17">
        <v>80</v>
      </c>
      <c r="AG17">
        <v>132</v>
      </c>
      <c r="AH17">
        <v>61</v>
      </c>
      <c r="AI17">
        <v>831</v>
      </c>
      <c r="AJ17">
        <v>0.17255666585425297</v>
      </c>
      <c r="AK17">
        <v>8.8276836158192096E-2</v>
      </c>
      <c r="AL17">
        <v>0.18997175141242939</v>
      </c>
      <c r="AM17">
        <v>5.0847457627118647E-2</v>
      </c>
      <c r="AN17">
        <v>0.41313559322033899</v>
      </c>
      <c r="AO17">
        <v>0.58686440677966101</v>
      </c>
      <c r="AP17">
        <v>3662</v>
      </c>
      <c r="AQ17">
        <v>452</v>
      </c>
      <c r="AR17">
        <v>1</v>
      </c>
      <c r="AS17">
        <v>0</v>
      </c>
      <c r="AT17">
        <v>363</v>
      </c>
      <c r="AU17">
        <v>672</v>
      </c>
      <c r="AV17">
        <v>14</v>
      </c>
      <c r="AW17">
        <v>20</v>
      </c>
      <c r="AX17">
        <v>174</v>
      </c>
      <c r="AY17">
        <v>473</v>
      </c>
      <c r="AZ17">
        <v>54</v>
      </c>
      <c r="BA17">
        <v>24</v>
      </c>
      <c r="BB17">
        <v>52</v>
      </c>
      <c r="BC17">
        <v>120</v>
      </c>
      <c r="BD17">
        <v>91</v>
      </c>
      <c r="BE17">
        <v>100</v>
      </c>
      <c r="BF17">
        <v>662</v>
      </c>
      <c r="BG17">
        <v>39</v>
      </c>
      <c r="BH17">
        <v>179</v>
      </c>
      <c r="BI17">
        <v>87</v>
      </c>
      <c r="BJ17">
        <v>0.12342981977061715</v>
      </c>
      <c r="BK17">
        <v>2.7307482250136535E-4</v>
      </c>
      <c r="BL17">
        <v>0</v>
      </c>
      <c r="BM17">
        <v>9.9126160567995628E-2</v>
      </c>
      <c r="BN17">
        <v>0.18350628072091754</v>
      </c>
      <c r="BO17">
        <v>3.8230475150191155E-3</v>
      </c>
      <c r="BP17">
        <v>5.4614964500273077E-3</v>
      </c>
      <c r="BQ17">
        <v>4.7515019115237575E-2</v>
      </c>
      <c r="BR17">
        <v>0.12916439104314581</v>
      </c>
      <c r="BS17">
        <v>1.4746040415073731E-2</v>
      </c>
      <c r="BT17">
        <v>6.5537957400327689E-3</v>
      </c>
      <c r="BU17">
        <v>1.4199890770071E-2</v>
      </c>
      <c r="BV17">
        <v>3.2768978700163848E-2</v>
      </c>
      <c r="BW17">
        <v>2.484980884762425E-2</v>
      </c>
      <c r="BX17">
        <v>2.7307482250136537E-2</v>
      </c>
      <c r="BY17">
        <v>0.18077553249590389</v>
      </c>
      <c r="BZ17">
        <v>1.064991807755325E-2</v>
      </c>
      <c r="CA17">
        <v>4.8880393227744401E-2</v>
      </c>
      <c r="CB17">
        <v>2.3757509557618788E-2</v>
      </c>
      <c r="CC17">
        <v>3662</v>
      </c>
      <c r="CD17">
        <v>3139</v>
      </c>
      <c r="CE17">
        <v>198</v>
      </c>
      <c r="CF17">
        <v>286</v>
      </c>
      <c r="CG17">
        <v>254</v>
      </c>
      <c r="CH17">
        <v>190</v>
      </c>
      <c r="CI17">
        <v>33</v>
      </c>
      <c r="CJ17">
        <v>28</v>
      </c>
      <c r="CK17">
        <v>0.85718186783178596</v>
      </c>
      <c r="CL17">
        <v>5.4068814855270347E-2</v>
      </c>
      <c r="CM17">
        <v>7.8099399235390499E-2</v>
      </c>
      <c r="CN17">
        <v>0.74803149606299213</v>
      </c>
      <c r="CO17">
        <v>0.12992125984251968</v>
      </c>
      <c r="CP17">
        <v>0.11023622047244094</v>
      </c>
    </row>
    <row r="18" spans="1:94" x14ac:dyDescent="0.15">
      <c r="A18" t="s">
        <v>449</v>
      </c>
      <c r="B18" t="s">
        <v>427</v>
      </c>
      <c r="C18" t="s">
        <v>450</v>
      </c>
      <c r="D18">
        <v>2408</v>
      </c>
      <c r="E18">
        <v>1454</v>
      </c>
      <c r="F18">
        <v>497</v>
      </c>
      <c r="G18">
        <v>487</v>
      </c>
      <c r="H18">
        <v>0.60382059800664456</v>
      </c>
      <c r="I18">
        <v>0.20639534883720931</v>
      </c>
      <c r="J18">
        <v>0.20224252491694353</v>
      </c>
      <c r="K18">
        <v>5817</v>
      </c>
      <c r="L18">
        <v>661</v>
      </c>
      <c r="M18">
        <v>1672</v>
      </c>
      <c r="N18">
        <v>3304</v>
      </c>
      <c r="O18">
        <v>0.1136324565927454</v>
      </c>
      <c r="P18">
        <v>0.2874333849063091</v>
      </c>
      <c r="Q18">
        <v>0.56799037304452471</v>
      </c>
      <c r="R18">
        <v>5817</v>
      </c>
      <c r="S18">
        <v>612</v>
      </c>
      <c r="T18">
        <v>143</v>
      </c>
      <c r="U18">
        <v>130</v>
      </c>
      <c r="V18">
        <v>31</v>
      </c>
      <c r="W18">
        <v>916</v>
      </c>
      <c r="X18">
        <v>2729</v>
      </c>
      <c r="Y18">
        <v>261</v>
      </c>
      <c r="Z18">
        <v>72</v>
      </c>
      <c r="AA18">
        <v>70</v>
      </c>
      <c r="AB18">
        <v>20</v>
      </c>
      <c r="AC18">
        <v>423</v>
      </c>
      <c r="AD18">
        <v>3088</v>
      </c>
      <c r="AE18">
        <v>351</v>
      </c>
      <c r="AF18">
        <v>71</v>
      </c>
      <c r="AG18">
        <v>60</v>
      </c>
      <c r="AH18">
        <v>11</v>
      </c>
      <c r="AI18">
        <v>493</v>
      </c>
      <c r="AJ18">
        <v>0.15746948598934157</v>
      </c>
      <c r="AK18">
        <v>0.15611353711790393</v>
      </c>
      <c r="AL18">
        <v>0.14192139737991266</v>
      </c>
      <c r="AM18">
        <v>3.384279475982533E-2</v>
      </c>
      <c r="AN18">
        <v>0.46179039301310043</v>
      </c>
      <c r="AO18">
        <v>0.53820960698689957</v>
      </c>
      <c r="AP18">
        <v>2604</v>
      </c>
      <c r="AQ18">
        <v>326</v>
      </c>
      <c r="AR18">
        <v>0</v>
      </c>
      <c r="AS18">
        <v>0</v>
      </c>
      <c r="AT18">
        <v>270</v>
      </c>
      <c r="AU18">
        <v>417</v>
      </c>
      <c r="AV18">
        <v>4</v>
      </c>
      <c r="AW18">
        <v>14</v>
      </c>
      <c r="AX18">
        <v>177</v>
      </c>
      <c r="AY18">
        <v>392</v>
      </c>
      <c r="AZ18">
        <v>24</v>
      </c>
      <c r="BA18">
        <v>20</v>
      </c>
      <c r="BB18">
        <v>36</v>
      </c>
      <c r="BC18">
        <v>98</v>
      </c>
      <c r="BD18">
        <v>88</v>
      </c>
      <c r="BE18">
        <v>77</v>
      </c>
      <c r="BF18">
        <v>373</v>
      </c>
      <c r="BG18">
        <v>39</v>
      </c>
      <c r="BH18">
        <v>139</v>
      </c>
      <c r="BI18">
        <v>69</v>
      </c>
      <c r="BJ18">
        <v>0.12519201228878649</v>
      </c>
      <c r="BK18">
        <v>0</v>
      </c>
      <c r="BL18">
        <v>0</v>
      </c>
      <c r="BM18">
        <v>0.10368663594470046</v>
      </c>
      <c r="BN18">
        <v>0.16013824884792627</v>
      </c>
      <c r="BO18">
        <v>1.5360983102918587E-3</v>
      </c>
      <c r="BP18">
        <v>5.3763440860215058E-3</v>
      </c>
      <c r="BQ18">
        <v>6.7972350230414744E-2</v>
      </c>
      <c r="BR18">
        <v>0.15053763440860216</v>
      </c>
      <c r="BS18">
        <v>9.2165898617511521E-3</v>
      </c>
      <c r="BT18">
        <v>7.6804915514592934E-3</v>
      </c>
      <c r="BU18">
        <v>1.3824884792626729E-2</v>
      </c>
      <c r="BV18">
        <v>3.7634408602150539E-2</v>
      </c>
      <c r="BW18">
        <v>3.3794162826420893E-2</v>
      </c>
      <c r="BX18">
        <v>2.9569892473118281E-2</v>
      </c>
      <c r="BY18">
        <v>0.14324116743471582</v>
      </c>
      <c r="BZ18">
        <v>1.4976958525345621E-2</v>
      </c>
      <c r="CA18">
        <v>5.3379416282642089E-2</v>
      </c>
      <c r="CB18">
        <v>2.6497695852534562E-2</v>
      </c>
      <c r="CC18">
        <v>2604</v>
      </c>
      <c r="CD18">
        <v>2240</v>
      </c>
      <c r="CE18">
        <v>290</v>
      </c>
      <c r="CF18">
        <v>38</v>
      </c>
      <c r="CG18">
        <v>206</v>
      </c>
      <c r="CH18">
        <v>151</v>
      </c>
      <c r="CI18">
        <v>50</v>
      </c>
      <c r="CJ18">
        <v>2</v>
      </c>
      <c r="CK18">
        <v>0.86021505376344087</v>
      </c>
      <c r="CL18">
        <v>0.11136712749615975</v>
      </c>
      <c r="CM18">
        <v>1.4592933947772658E-2</v>
      </c>
      <c r="CN18">
        <v>0.73300970873786409</v>
      </c>
      <c r="CO18">
        <v>0.24271844660194175</v>
      </c>
      <c r="CP18">
        <v>9.7087378640776691E-3</v>
      </c>
    </row>
    <row r="19" spans="1:94" x14ac:dyDescent="0.15">
      <c r="A19" t="s">
        <v>451</v>
      </c>
      <c r="B19" t="s">
        <v>427</v>
      </c>
      <c r="C19" t="s">
        <v>452</v>
      </c>
      <c r="D19">
        <v>4111</v>
      </c>
      <c r="E19">
        <v>2395</v>
      </c>
      <c r="F19">
        <v>848</v>
      </c>
      <c r="G19">
        <v>859</v>
      </c>
      <c r="H19">
        <v>0.58258331306251521</v>
      </c>
      <c r="I19">
        <v>0.20627584529311602</v>
      </c>
      <c r="J19">
        <v>0.20895159328630503</v>
      </c>
      <c r="K19">
        <v>9789</v>
      </c>
      <c r="L19">
        <v>1341</v>
      </c>
      <c r="M19">
        <v>2836</v>
      </c>
      <c r="N19">
        <v>5266</v>
      </c>
      <c r="O19">
        <v>0.13699049954030035</v>
      </c>
      <c r="P19">
        <v>0.28971294309939727</v>
      </c>
      <c r="Q19">
        <v>0.53795076105833073</v>
      </c>
      <c r="R19">
        <v>9789</v>
      </c>
      <c r="S19">
        <v>1232</v>
      </c>
      <c r="T19">
        <v>209</v>
      </c>
      <c r="U19">
        <v>221</v>
      </c>
      <c r="V19">
        <v>28</v>
      </c>
      <c r="W19">
        <v>1690</v>
      </c>
      <c r="X19">
        <v>4537</v>
      </c>
      <c r="Y19">
        <v>517</v>
      </c>
      <c r="Z19">
        <v>102</v>
      </c>
      <c r="AA19">
        <v>109</v>
      </c>
      <c r="AB19">
        <v>18</v>
      </c>
      <c r="AC19">
        <v>746</v>
      </c>
      <c r="AD19">
        <v>5252</v>
      </c>
      <c r="AE19">
        <v>715</v>
      </c>
      <c r="AF19">
        <v>107</v>
      </c>
      <c r="AG19">
        <v>112</v>
      </c>
      <c r="AH19">
        <v>10</v>
      </c>
      <c r="AI19">
        <v>944</v>
      </c>
      <c r="AJ19">
        <v>0.17264276228419656</v>
      </c>
      <c r="AK19">
        <v>0.12366863905325444</v>
      </c>
      <c r="AL19">
        <v>0.13076923076923078</v>
      </c>
      <c r="AM19">
        <v>1.6568047337278107E-2</v>
      </c>
      <c r="AN19">
        <v>0.44142011834319528</v>
      </c>
      <c r="AO19">
        <v>0.55857988165680472</v>
      </c>
      <c r="AP19">
        <v>4594</v>
      </c>
      <c r="AQ19">
        <v>687</v>
      </c>
      <c r="AR19">
        <v>0</v>
      </c>
      <c r="AS19">
        <v>2</v>
      </c>
      <c r="AT19">
        <v>418</v>
      </c>
      <c r="AU19">
        <v>736</v>
      </c>
      <c r="AV19">
        <v>11</v>
      </c>
      <c r="AW19">
        <v>26</v>
      </c>
      <c r="AX19">
        <v>253</v>
      </c>
      <c r="AY19">
        <v>571</v>
      </c>
      <c r="AZ19">
        <v>39</v>
      </c>
      <c r="BA19">
        <v>42</v>
      </c>
      <c r="BB19">
        <v>76</v>
      </c>
      <c r="BC19">
        <v>125</v>
      </c>
      <c r="BD19">
        <v>164</v>
      </c>
      <c r="BE19">
        <v>176</v>
      </c>
      <c r="BF19">
        <v>681</v>
      </c>
      <c r="BG19">
        <v>58</v>
      </c>
      <c r="BH19">
        <v>244</v>
      </c>
      <c r="BI19">
        <v>117</v>
      </c>
      <c r="BJ19">
        <v>0.14954288202002611</v>
      </c>
      <c r="BK19">
        <v>0</v>
      </c>
      <c r="BL19">
        <v>4.3535045711797995E-4</v>
      </c>
      <c r="BM19">
        <v>9.0988245537657816E-2</v>
      </c>
      <c r="BN19">
        <v>0.16020896821941663</v>
      </c>
      <c r="BO19">
        <v>2.3944275141488899E-3</v>
      </c>
      <c r="BP19">
        <v>5.6595559425337396E-3</v>
      </c>
      <c r="BQ19">
        <v>5.5071832825424466E-2</v>
      </c>
      <c r="BR19">
        <v>0.12429255550718328</v>
      </c>
      <c r="BS19">
        <v>8.4893339138006098E-3</v>
      </c>
      <c r="BT19">
        <v>9.1423595994775796E-3</v>
      </c>
      <c r="BU19">
        <v>1.654331737048324E-2</v>
      </c>
      <c r="BV19">
        <v>2.7209403569873749E-2</v>
      </c>
      <c r="BW19">
        <v>3.5698737483674359E-2</v>
      </c>
      <c r="BX19">
        <v>3.8310840226382238E-2</v>
      </c>
      <c r="BY19">
        <v>0.14823683064867219</v>
      </c>
      <c r="BZ19">
        <v>1.2625163256421419E-2</v>
      </c>
      <c r="CA19">
        <v>5.3112755768393555E-2</v>
      </c>
      <c r="CB19">
        <v>2.5468001741401829E-2</v>
      </c>
      <c r="CC19">
        <v>4594</v>
      </c>
      <c r="CD19">
        <v>4044</v>
      </c>
      <c r="CE19">
        <v>366</v>
      </c>
      <c r="CF19">
        <v>54</v>
      </c>
      <c r="CG19">
        <v>356</v>
      </c>
      <c r="CH19">
        <v>268</v>
      </c>
      <c r="CI19">
        <v>62</v>
      </c>
      <c r="CJ19">
        <v>10</v>
      </c>
      <c r="CK19">
        <v>0.88027862429255554</v>
      </c>
      <c r="CL19">
        <v>7.9669133652590332E-2</v>
      </c>
      <c r="CM19">
        <v>1.1754462342185459E-2</v>
      </c>
      <c r="CN19">
        <v>0.7528089887640449</v>
      </c>
      <c r="CO19">
        <v>0.17415730337078653</v>
      </c>
      <c r="CP19">
        <v>2.8089887640449437E-2</v>
      </c>
    </row>
    <row r="20" spans="1:94" x14ac:dyDescent="0.15">
      <c r="A20" t="s">
        <v>453</v>
      </c>
      <c r="B20" t="s">
        <v>427</v>
      </c>
      <c r="C20" t="s">
        <v>454</v>
      </c>
      <c r="D20">
        <v>2809</v>
      </c>
      <c r="E20">
        <v>1694</v>
      </c>
      <c r="F20">
        <v>589</v>
      </c>
      <c r="G20">
        <v>572</v>
      </c>
      <c r="H20">
        <v>0.60306158775364893</v>
      </c>
      <c r="I20">
        <v>0.20968316126735492</v>
      </c>
      <c r="J20">
        <v>0.2036311854752581</v>
      </c>
      <c r="K20">
        <v>6531</v>
      </c>
      <c r="L20">
        <v>917</v>
      </c>
      <c r="M20">
        <v>1646</v>
      </c>
      <c r="N20">
        <v>3771</v>
      </c>
      <c r="O20">
        <v>0.14040728831725616</v>
      </c>
      <c r="P20">
        <v>0.25202878579084365</v>
      </c>
      <c r="Q20">
        <v>0.57740009186954522</v>
      </c>
      <c r="R20">
        <v>6531</v>
      </c>
      <c r="S20">
        <v>680</v>
      </c>
      <c r="T20">
        <v>78</v>
      </c>
      <c r="U20">
        <v>172</v>
      </c>
      <c r="V20">
        <v>52</v>
      </c>
      <c r="W20">
        <v>982</v>
      </c>
      <c r="X20">
        <v>3087</v>
      </c>
      <c r="Y20">
        <v>288</v>
      </c>
      <c r="Z20">
        <v>40</v>
      </c>
      <c r="AA20">
        <v>88</v>
      </c>
      <c r="AB20">
        <v>12</v>
      </c>
      <c r="AC20">
        <v>428</v>
      </c>
      <c r="AD20">
        <v>3444</v>
      </c>
      <c r="AE20">
        <v>392</v>
      </c>
      <c r="AF20">
        <v>38</v>
      </c>
      <c r="AG20">
        <v>84</v>
      </c>
      <c r="AH20">
        <v>40</v>
      </c>
      <c r="AI20">
        <v>554</v>
      </c>
      <c r="AJ20">
        <v>0.15035982238554585</v>
      </c>
      <c r="AK20">
        <v>7.9429735234215884E-2</v>
      </c>
      <c r="AL20">
        <v>0.17515274949083504</v>
      </c>
      <c r="AM20">
        <v>5.2953156822810592E-2</v>
      </c>
      <c r="AN20">
        <v>0.43584521384928715</v>
      </c>
      <c r="AO20">
        <v>0.56415478615071279</v>
      </c>
      <c r="AP20">
        <v>3108</v>
      </c>
      <c r="AQ20">
        <v>499</v>
      </c>
      <c r="AR20">
        <v>2</v>
      </c>
      <c r="AS20">
        <v>4</v>
      </c>
      <c r="AT20">
        <v>351</v>
      </c>
      <c r="AU20">
        <v>567</v>
      </c>
      <c r="AV20">
        <v>7</v>
      </c>
      <c r="AW20">
        <v>18</v>
      </c>
      <c r="AX20">
        <v>168</v>
      </c>
      <c r="AY20">
        <v>347</v>
      </c>
      <c r="AZ20">
        <v>30</v>
      </c>
      <c r="BA20">
        <v>12</v>
      </c>
      <c r="BB20">
        <v>42</v>
      </c>
      <c r="BC20">
        <v>107</v>
      </c>
      <c r="BD20">
        <v>104</v>
      </c>
      <c r="BE20">
        <v>71</v>
      </c>
      <c r="BF20">
        <v>482</v>
      </c>
      <c r="BG20">
        <v>48</v>
      </c>
      <c r="BH20">
        <v>134</v>
      </c>
      <c r="BI20">
        <v>79</v>
      </c>
      <c r="BJ20">
        <v>0.16055341055341055</v>
      </c>
      <c r="BK20">
        <v>6.4350064350064348E-4</v>
      </c>
      <c r="BL20">
        <v>1.287001287001287E-3</v>
      </c>
      <c r="BM20">
        <v>0.11293436293436293</v>
      </c>
      <c r="BN20">
        <v>0.18243243243243243</v>
      </c>
      <c r="BO20">
        <v>2.2522522522522522E-3</v>
      </c>
      <c r="BP20">
        <v>5.7915057915057912E-3</v>
      </c>
      <c r="BQ20">
        <v>5.4054054054054057E-2</v>
      </c>
      <c r="BR20">
        <v>0.11164736164736165</v>
      </c>
      <c r="BS20">
        <v>9.6525096525096523E-3</v>
      </c>
      <c r="BT20">
        <v>3.8610038610038611E-3</v>
      </c>
      <c r="BU20">
        <v>1.3513513513513514E-2</v>
      </c>
      <c r="BV20">
        <v>3.4427284427284426E-2</v>
      </c>
      <c r="BW20">
        <v>3.3462033462033462E-2</v>
      </c>
      <c r="BX20">
        <v>2.2844272844272845E-2</v>
      </c>
      <c r="BY20">
        <v>0.15508365508365507</v>
      </c>
      <c r="BZ20">
        <v>1.5444015444015444E-2</v>
      </c>
      <c r="CA20">
        <v>4.3114543114543116E-2</v>
      </c>
      <c r="CB20">
        <v>2.5418275418275418E-2</v>
      </c>
      <c r="CC20">
        <v>3108</v>
      </c>
      <c r="CD20">
        <v>2848</v>
      </c>
      <c r="CE20">
        <v>153</v>
      </c>
      <c r="CF20">
        <v>74</v>
      </c>
      <c r="CG20">
        <v>257</v>
      </c>
      <c r="CH20">
        <v>197</v>
      </c>
      <c r="CI20">
        <v>46</v>
      </c>
      <c r="CJ20">
        <v>3</v>
      </c>
      <c r="CK20">
        <v>0.91634491634491633</v>
      </c>
      <c r="CL20">
        <v>4.9227799227799227E-2</v>
      </c>
      <c r="CM20">
        <v>2.3809523809523808E-2</v>
      </c>
      <c r="CN20">
        <v>0.7665369649805448</v>
      </c>
      <c r="CO20">
        <v>0.17898832684824903</v>
      </c>
      <c r="CP20">
        <v>1.1673151750972763E-2</v>
      </c>
    </row>
    <row r="21" spans="1:94" x14ac:dyDescent="0.15">
      <c r="A21" t="s">
        <v>455</v>
      </c>
      <c r="B21" t="s">
        <v>427</v>
      </c>
      <c r="C21" t="s">
        <v>456</v>
      </c>
      <c r="D21">
        <v>3538</v>
      </c>
      <c r="E21">
        <v>2291</v>
      </c>
      <c r="F21">
        <v>793</v>
      </c>
      <c r="G21">
        <v>784</v>
      </c>
      <c r="H21">
        <v>0.64754098360655743</v>
      </c>
      <c r="I21">
        <v>0.22413793103448276</v>
      </c>
      <c r="J21">
        <v>0.22159412097230075</v>
      </c>
      <c r="K21">
        <v>8148</v>
      </c>
      <c r="L21">
        <v>1215</v>
      </c>
      <c r="M21">
        <v>1845</v>
      </c>
      <c r="N21">
        <v>4867</v>
      </c>
      <c r="O21">
        <v>0.14911634756995581</v>
      </c>
      <c r="P21">
        <v>0.2264359351988218</v>
      </c>
      <c r="Q21">
        <v>0.59732449680903288</v>
      </c>
      <c r="R21">
        <v>8148</v>
      </c>
      <c r="S21">
        <v>666</v>
      </c>
      <c r="T21">
        <v>126</v>
      </c>
      <c r="U21">
        <v>150</v>
      </c>
      <c r="V21">
        <v>33</v>
      </c>
      <c r="W21">
        <v>975</v>
      </c>
      <c r="X21">
        <v>3823</v>
      </c>
      <c r="Y21">
        <v>280</v>
      </c>
      <c r="Z21">
        <v>54</v>
      </c>
      <c r="AA21">
        <v>73</v>
      </c>
      <c r="AB21">
        <v>23</v>
      </c>
      <c r="AC21">
        <v>430</v>
      </c>
      <c r="AD21">
        <v>4325</v>
      </c>
      <c r="AE21">
        <v>386</v>
      </c>
      <c r="AF21">
        <v>72</v>
      </c>
      <c r="AG21">
        <v>77</v>
      </c>
      <c r="AH21">
        <v>10</v>
      </c>
      <c r="AI21">
        <v>545</v>
      </c>
      <c r="AJ21">
        <v>0.11966126656848307</v>
      </c>
      <c r="AK21">
        <v>0.12923076923076923</v>
      </c>
      <c r="AL21">
        <v>0.15384615384615385</v>
      </c>
      <c r="AM21">
        <v>3.3846153846153845E-2</v>
      </c>
      <c r="AN21">
        <v>0.44102564102564101</v>
      </c>
      <c r="AO21">
        <v>0.55897435897435899</v>
      </c>
      <c r="AP21">
        <v>3996</v>
      </c>
      <c r="AQ21">
        <v>1010</v>
      </c>
      <c r="AR21">
        <v>0</v>
      </c>
      <c r="AS21">
        <v>12</v>
      </c>
      <c r="AT21">
        <v>379</v>
      </c>
      <c r="AU21">
        <v>551</v>
      </c>
      <c r="AV21">
        <v>7</v>
      </c>
      <c r="AW21">
        <v>17</v>
      </c>
      <c r="AX21">
        <v>162</v>
      </c>
      <c r="AY21">
        <v>472</v>
      </c>
      <c r="AZ21">
        <v>33</v>
      </c>
      <c r="BA21">
        <v>13</v>
      </c>
      <c r="BB21">
        <v>59</v>
      </c>
      <c r="BC21">
        <v>118</v>
      </c>
      <c r="BD21">
        <v>121</v>
      </c>
      <c r="BE21">
        <v>79</v>
      </c>
      <c r="BF21">
        <v>548</v>
      </c>
      <c r="BG21">
        <v>31</v>
      </c>
      <c r="BH21">
        <v>176</v>
      </c>
      <c r="BI21">
        <v>77</v>
      </c>
      <c r="BJ21">
        <v>0.25275275275275277</v>
      </c>
      <c r="BK21">
        <v>0</v>
      </c>
      <c r="BL21">
        <v>3.003003003003003E-3</v>
      </c>
      <c r="BM21">
        <v>9.4844844844844844E-2</v>
      </c>
      <c r="BN21">
        <v>0.13788788788788789</v>
      </c>
      <c r="BO21">
        <v>1.7517517517517517E-3</v>
      </c>
      <c r="BP21">
        <v>4.2542542542542547E-3</v>
      </c>
      <c r="BQ21">
        <v>4.0540540540540543E-2</v>
      </c>
      <c r="BR21">
        <v>0.11811811811811812</v>
      </c>
      <c r="BS21">
        <v>8.2582582582582578E-3</v>
      </c>
      <c r="BT21">
        <v>3.2532532532532532E-3</v>
      </c>
      <c r="BU21">
        <v>1.4764764764764765E-2</v>
      </c>
      <c r="BV21">
        <v>2.952952952952953E-2</v>
      </c>
      <c r="BW21">
        <v>3.0280280280280281E-2</v>
      </c>
      <c r="BX21">
        <v>1.9769769769769768E-2</v>
      </c>
      <c r="BY21">
        <v>0.13713713713713713</v>
      </c>
      <c r="BZ21">
        <v>7.7577577577577581E-3</v>
      </c>
      <c r="CA21">
        <v>4.4044044044044044E-2</v>
      </c>
      <c r="CB21">
        <v>1.9269269269269269E-2</v>
      </c>
      <c r="CC21">
        <v>3996</v>
      </c>
      <c r="CD21">
        <v>3391</v>
      </c>
      <c r="CE21">
        <v>493</v>
      </c>
      <c r="CF21">
        <v>33</v>
      </c>
      <c r="CG21">
        <v>248</v>
      </c>
      <c r="CH21">
        <v>182</v>
      </c>
      <c r="CI21">
        <v>57</v>
      </c>
      <c r="CJ21">
        <v>3</v>
      </c>
      <c r="CK21">
        <v>0.84859859859859865</v>
      </c>
      <c r="CL21">
        <v>0.12337337337337337</v>
      </c>
      <c r="CM21">
        <v>8.2582582582582578E-3</v>
      </c>
      <c r="CN21">
        <v>0.7338709677419355</v>
      </c>
      <c r="CO21">
        <v>0.22983870967741934</v>
      </c>
      <c r="CP21">
        <v>1.2096774193548387E-2</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1" t="str">
        <f>管理者入力シート!B4</f>
        <v>祝吉地区</v>
      </c>
      <c r="C2" s="251"/>
      <c r="D2" s="251"/>
      <c r="E2" s="250" t="s">
        <v>225</v>
      </c>
      <c r="F2" s="250"/>
      <c r="G2" s="250"/>
      <c r="H2" s="250"/>
      <c r="I2" s="250"/>
    </row>
    <row r="3" spans="1:10" ht="22.5" customHeight="1" x14ac:dyDescent="0.15">
      <c r="B3" s="251"/>
      <c r="C3" s="251"/>
      <c r="D3" s="251"/>
      <c r="E3" s="250"/>
      <c r="F3" s="250"/>
      <c r="G3" s="250"/>
      <c r="H3" s="250"/>
      <c r="I3" s="250"/>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9">
        <f>管理者入力シート!B5</f>
        <v>2020</v>
      </c>
      <c r="B6" s="249"/>
      <c r="C6" s="20" t="s">
        <v>248</v>
      </c>
      <c r="E6" s="256">
        <f>管理者用グラフシート!E6</f>
        <v>18946</v>
      </c>
      <c r="F6" s="256"/>
      <c r="G6" s="20" t="s">
        <v>54</v>
      </c>
    </row>
    <row r="7" spans="1:10" ht="22.5" customHeight="1" x14ac:dyDescent="0.15">
      <c r="A7" s="249">
        <f>管理者用グラフシート!B4</f>
        <v>2010</v>
      </c>
      <c r="B7" s="249"/>
      <c r="C7" s="82" t="s">
        <v>226</v>
      </c>
      <c r="D7" s="248">
        <f>E6-管理者用グラフシート!E4</f>
        <v>-151</v>
      </c>
      <c r="E7" s="248"/>
      <c r="F7" s="20" t="s">
        <v>356</v>
      </c>
    </row>
    <row r="8" spans="1:10" ht="22.5" customHeight="1" x14ac:dyDescent="0.15">
      <c r="A8" s="257" t="s">
        <v>380</v>
      </c>
      <c r="B8" s="257"/>
      <c r="C8" s="204">
        <f>管理者用グラフシート!C6-管理者用グラフシート!C4</f>
        <v>-192</v>
      </c>
      <c r="D8" s="207" t="s">
        <v>381</v>
      </c>
      <c r="F8" s="204">
        <f>管理者用グラフシート!D6-管理者用グラフシート!D4</f>
        <v>41</v>
      </c>
      <c r="G8" s="207"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3">
        <f>管理者用グラフシート!C12</f>
        <v>1183</v>
      </c>
      <c r="G36" s="253"/>
      <c r="H36" s="20" t="s">
        <v>54</v>
      </c>
    </row>
    <row r="37" spans="1:9" ht="22.5" customHeight="1" x14ac:dyDescent="0.15">
      <c r="A37" s="20" t="s">
        <v>66</v>
      </c>
      <c r="F37" s="253">
        <f>管理者用グラフシート!C16</f>
        <v>610</v>
      </c>
      <c r="G37" s="253"/>
      <c r="H37" s="20" t="s">
        <v>54</v>
      </c>
    </row>
    <row r="38" spans="1:9" ht="22.5" customHeight="1" x14ac:dyDescent="0.15">
      <c r="D38" s="255"/>
      <c r="E38" s="255"/>
      <c r="F38" s="35"/>
      <c r="G38" s="34"/>
    </row>
    <row r="39" spans="1:9" ht="22.5" customHeight="1" x14ac:dyDescent="0.15">
      <c r="A39" s="249">
        <f>管理者用グラフシート!B4</f>
        <v>2010</v>
      </c>
      <c r="B39" s="249"/>
      <c r="C39" s="20" t="s">
        <v>228</v>
      </c>
      <c r="E39" s="34"/>
      <c r="F39" s="35"/>
    </row>
    <row r="40" spans="1:9" ht="22.5" customHeight="1" x14ac:dyDescent="0.15">
      <c r="B40" s="20" t="s">
        <v>67</v>
      </c>
      <c r="D40" s="248">
        <f>F36-管理者用グラフシート!C10</f>
        <v>66</v>
      </c>
      <c r="E40" s="248"/>
      <c r="F40" s="20" t="s">
        <v>60</v>
      </c>
    </row>
    <row r="41" spans="1:9" ht="22.5" customHeight="1" x14ac:dyDescent="0.15">
      <c r="B41" s="20" t="s">
        <v>69</v>
      </c>
      <c r="D41" s="248">
        <f>F37-管理者用グラフシート!C14</f>
        <v>50</v>
      </c>
      <c r="E41" s="248"/>
      <c r="F41" s="20" t="s">
        <v>70</v>
      </c>
    </row>
    <row r="53" spans="1:13" ht="22.5" customHeight="1" x14ac:dyDescent="0.15">
      <c r="M53" s="72"/>
    </row>
    <row r="62" spans="1:13" ht="22.5" customHeight="1" thickBot="1" x14ac:dyDescent="0.2"/>
    <row r="63" spans="1:13" ht="22.5" customHeight="1" x14ac:dyDescent="0.15">
      <c r="A63" s="243" t="s">
        <v>458</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3">
        <f>管理者用グラフシート!C22</f>
        <v>4606</v>
      </c>
      <c r="D70" s="253"/>
      <c r="E70" s="20" t="s">
        <v>76</v>
      </c>
      <c r="F70" s="37"/>
      <c r="G70" s="252">
        <f>管理者用グラフシート!C32</f>
        <v>0.24</v>
      </c>
      <c r="H70" s="252"/>
      <c r="I70" s="20" t="s">
        <v>77</v>
      </c>
    </row>
    <row r="71" spans="1:9" ht="22.5" customHeight="1" x14ac:dyDescent="0.15">
      <c r="A71" s="20" t="s">
        <v>78</v>
      </c>
      <c r="C71" s="253">
        <f>管理者用グラフシート!C26</f>
        <v>2277</v>
      </c>
      <c r="D71" s="253"/>
      <c r="E71" s="20" t="s">
        <v>76</v>
      </c>
      <c r="F71" s="37"/>
      <c r="G71" s="252">
        <f>管理者用グラフシート!C36</f>
        <v>0.12</v>
      </c>
      <c r="H71" s="252"/>
      <c r="I71" s="20" t="s">
        <v>77</v>
      </c>
    </row>
    <row r="72" spans="1:9" ht="22.5" customHeight="1" x14ac:dyDescent="0.15">
      <c r="D72" s="255"/>
      <c r="E72" s="255"/>
      <c r="F72" s="35"/>
      <c r="G72" s="34"/>
    </row>
    <row r="73" spans="1:9" ht="22.5" customHeight="1" x14ac:dyDescent="0.15">
      <c r="A73" s="249">
        <f>管理者用グラフシート!B4</f>
        <v>2010</v>
      </c>
      <c r="B73" s="249"/>
      <c r="C73" s="20" t="s">
        <v>228</v>
      </c>
      <c r="E73" s="34"/>
      <c r="F73" s="35"/>
    </row>
    <row r="74" spans="1:9" ht="22.5" customHeight="1" x14ac:dyDescent="0.15">
      <c r="B74" s="20" t="s">
        <v>81</v>
      </c>
      <c r="D74" s="37"/>
      <c r="E74" s="253"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4ポイント上昇</v>
      </c>
      <c r="F74" s="253"/>
      <c r="G74" s="253"/>
      <c r="H74" s="20" t="s">
        <v>82</v>
      </c>
    </row>
    <row r="75" spans="1:9" ht="22.5" customHeight="1" x14ac:dyDescent="0.15">
      <c r="B75" s="20" t="s">
        <v>83</v>
      </c>
      <c r="D75" s="37"/>
      <c r="E75" s="254"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1ポイント上昇</v>
      </c>
      <c r="F75" s="254"/>
      <c r="G75" s="254"/>
      <c r="H75" s="20" t="s">
        <v>77</v>
      </c>
    </row>
    <row r="95" spans="1:9" ht="22.5" customHeight="1" thickBot="1" x14ac:dyDescent="0.2"/>
    <row r="96" spans="1:9" ht="22.5" customHeight="1" x14ac:dyDescent="0.15">
      <c r="A96" s="97" t="s">
        <v>459</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9">
        <f>管理者用グラフシート!B39</f>
        <v>2010</v>
      </c>
      <c r="B104" s="249"/>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9">
        <f>管理者用グラフシート!B87</f>
        <v>2020</v>
      </c>
      <c r="B134" s="249"/>
      <c r="C134" s="37" t="s">
        <v>326</v>
      </c>
      <c r="D134" s="36"/>
      <c r="F134" s="37"/>
      <c r="G134" s="111"/>
      <c r="H134" s="111"/>
    </row>
    <row r="135" spans="1:8" ht="22.5" customHeight="1" x14ac:dyDescent="0.15">
      <c r="A135" s="249">
        <f>管理者用グラフシート!B4</f>
        <v>2010</v>
      </c>
      <c r="B135" s="249"/>
      <c r="C135" s="20" t="s">
        <v>385</v>
      </c>
      <c r="D135" s="36"/>
      <c r="F135" s="206">
        <f>SUM(管理者用グラフシート!B93:C94)-SUM(管理者用グラフシート!B45:C46)</f>
        <v>-328</v>
      </c>
      <c r="G135" s="208" t="s">
        <v>386</v>
      </c>
      <c r="H135" s="111"/>
    </row>
    <row r="136" spans="1:8" ht="22.5" customHeight="1" x14ac:dyDescent="0.15">
      <c r="A136" s="35" t="s">
        <v>387</v>
      </c>
      <c r="C136" s="206">
        <f>SUM(管理者用グラフシート!B95:C96)-SUM(管理者用グラフシート!B47:C48)</f>
        <v>-388</v>
      </c>
      <c r="D136" s="20" t="s">
        <v>388</v>
      </c>
      <c r="E136" s="34"/>
      <c r="F136" s="206">
        <f>SUM(管理者用グラフシート!B97:C98)-SUM(管理者用グラフシート!B49:C50)</f>
        <v>308</v>
      </c>
      <c r="G136" s="20" t="s">
        <v>386</v>
      </c>
    </row>
    <row r="137" spans="1:8" ht="18.75" x14ac:dyDescent="0.15">
      <c r="A137" s="20" t="s">
        <v>389</v>
      </c>
      <c r="C137" s="206">
        <f>SUM(管理者用グラフシート!B99:C100)-SUM(管理者用グラフシート!B51:C52)</f>
        <v>-150</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A8:B8"/>
    <mergeCell ref="A134:B134"/>
    <mergeCell ref="A135:B135"/>
    <mergeCell ref="F36:G36"/>
    <mergeCell ref="F37:G37"/>
    <mergeCell ref="D40:E40"/>
    <mergeCell ref="D38:E38"/>
    <mergeCell ref="A39:B39"/>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1" t="str">
        <f>管理者入力シート!B4</f>
        <v>祝吉地区</v>
      </c>
      <c r="B2" s="251"/>
      <c r="C2" s="251"/>
      <c r="D2" s="250" t="s">
        <v>230</v>
      </c>
      <c r="E2" s="250"/>
      <c r="F2" s="250"/>
      <c r="G2" s="250"/>
      <c r="H2" s="250"/>
      <c r="I2" s="250"/>
    </row>
    <row r="3" spans="1:9" ht="27.75" customHeight="1" x14ac:dyDescent="0.15">
      <c r="A3" s="251"/>
      <c r="B3" s="251"/>
      <c r="C3" s="251"/>
      <c r="D3" s="250"/>
      <c r="E3" s="250"/>
      <c r="F3" s="250"/>
      <c r="G3" s="250"/>
      <c r="H3" s="250"/>
      <c r="I3" s="250"/>
    </row>
    <row r="4" spans="1:9" ht="27.75" customHeight="1" x14ac:dyDescent="0.15"/>
    <row r="5" spans="1:9" s="39" customFormat="1" ht="40.5" customHeight="1" x14ac:dyDescent="0.15">
      <c r="A5" s="108" t="s">
        <v>64</v>
      </c>
    </row>
    <row r="6" spans="1:9" ht="22.5" customHeight="1" x14ac:dyDescent="0.15">
      <c r="A6" s="249">
        <f>管理者入力シート!B9</f>
        <v>2030</v>
      </c>
      <c r="B6" s="249"/>
      <c r="C6" s="20" t="s">
        <v>361</v>
      </c>
      <c r="D6" s="253">
        <f>管理者用グラフシート!K8</f>
        <v>18305</v>
      </c>
      <c r="E6" s="253"/>
      <c r="F6" s="20" t="s">
        <v>231</v>
      </c>
      <c r="H6" s="34"/>
      <c r="I6" s="34"/>
    </row>
    <row r="7" spans="1:9" ht="22.5" customHeight="1" x14ac:dyDescent="0.15">
      <c r="A7" s="249">
        <f>管理者入力シート!B5</f>
        <v>2020</v>
      </c>
      <c r="B7" s="249"/>
      <c r="C7" s="195" t="s">
        <v>362</v>
      </c>
      <c r="D7" s="248">
        <f>D6-現況シート!E6</f>
        <v>-641</v>
      </c>
      <c r="E7" s="248"/>
      <c r="F7" s="20" t="s">
        <v>232</v>
      </c>
      <c r="I7" s="34"/>
    </row>
    <row r="8" spans="1:9" ht="22.5" customHeight="1" x14ac:dyDescent="0.15">
      <c r="A8" s="257" t="s">
        <v>397</v>
      </c>
      <c r="B8" s="257"/>
      <c r="C8" s="206">
        <f>管理者用グラフシート!I8-管理者用グラフシート!C6</f>
        <v>-425</v>
      </c>
      <c r="D8" s="207" t="s">
        <v>398</v>
      </c>
      <c r="F8" s="258">
        <f>管理者用グラフシート!J8-管理者用グラフシート!D6</f>
        <v>-216</v>
      </c>
      <c r="G8" s="258"/>
      <c r="H8" s="20" t="s">
        <v>399</v>
      </c>
    </row>
    <row r="10" spans="1:9" ht="22.5" customHeight="1" x14ac:dyDescent="0.15">
      <c r="A10" s="249">
        <f>管理者入力シート!B11</f>
        <v>2040</v>
      </c>
      <c r="B10" s="249"/>
      <c r="C10" s="20" t="s">
        <v>361</v>
      </c>
      <c r="D10" s="253">
        <f>管理者用グラフシート!K10</f>
        <v>17512</v>
      </c>
      <c r="E10" s="253"/>
      <c r="F10" s="20" t="s">
        <v>231</v>
      </c>
      <c r="H10" s="34"/>
    </row>
    <row r="11" spans="1:9" ht="22.5" customHeight="1" x14ac:dyDescent="0.15">
      <c r="A11" s="249">
        <f>管理者入力シート!B5</f>
        <v>2020</v>
      </c>
      <c r="B11" s="249"/>
      <c r="C11" s="195" t="s">
        <v>362</v>
      </c>
      <c r="D11" s="248">
        <f>D10-現況シート!E6</f>
        <v>-1434</v>
      </c>
      <c r="E11" s="248"/>
      <c r="F11" s="20" t="s">
        <v>232</v>
      </c>
      <c r="H11" s="34"/>
    </row>
    <row r="12" spans="1:9" ht="22.5" customHeight="1" x14ac:dyDescent="0.15">
      <c r="A12" s="257" t="s">
        <v>397</v>
      </c>
      <c r="B12" s="257"/>
      <c r="C12" s="206">
        <f>管理者用グラフシート!I10-管理者用グラフシート!C6</f>
        <v>-920</v>
      </c>
      <c r="D12" s="207" t="s">
        <v>398</v>
      </c>
      <c r="F12" s="258">
        <f>管理者用グラフシート!J10-管理者用グラフシート!D6</f>
        <v>-514</v>
      </c>
      <c r="G12" s="258"/>
      <c r="H12" s="20" t="s">
        <v>399</v>
      </c>
    </row>
    <row r="22" spans="7:7" ht="22.5" customHeight="1" x14ac:dyDescent="0.15">
      <c r="G22" s="20">
        <v>15</v>
      </c>
    </row>
    <row r="34" spans="1:9" s="39" customFormat="1" ht="40.5" customHeight="1" x14ac:dyDescent="0.15">
      <c r="A34" s="108" t="s">
        <v>68</v>
      </c>
    </row>
    <row r="35" spans="1:9" ht="22.5" customHeight="1" x14ac:dyDescent="0.15">
      <c r="A35" s="249">
        <f>管理者用グラフシート!H20</f>
        <v>2040</v>
      </c>
      <c r="B35" s="249"/>
      <c r="C35" s="259" t="s">
        <v>363</v>
      </c>
      <c r="D35" s="259"/>
      <c r="F35" s="36"/>
      <c r="G35" s="36"/>
      <c r="H35" s="256"/>
      <c r="I35" s="255"/>
    </row>
    <row r="36" spans="1:9" ht="22.5" customHeight="1" x14ac:dyDescent="0.15">
      <c r="A36" s="20" t="s">
        <v>237</v>
      </c>
      <c r="F36" s="253">
        <f>管理者用グラフシート!I20</f>
        <v>902</v>
      </c>
      <c r="G36" s="253"/>
      <c r="H36" s="82" t="s">
        <v>233</v>
      </c>
      <c r="I36" s="34"/>
    </row>
    <row r="37" spans="1:9" ht="22.5" customHeight="1" x14ac:dyDescent="0.15">
      <c r="A37" s="20" t="s">
        <v>234</v>
      </c>
      <c r="F37" s="253">
        <f>管理者用グラフシート!I28</f>
        <v>448</v>
      </c>
      <c r="G37" s="253"/>
      <c r="H37" s="109" t="s">
        <v>235</v>
      </c>
      <c r="I37" s="86"/>
    </row>
    <row r="38" spans="1:9" ht="22.5" customHeight="1" x14ac:dyDescent="0.15">
      <c r="D38" s="255"/>
      <c r="E38" s="255"/>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48">
        <f>F36-現況シート!F36</f>
        <v>-281</v>
      </c>
      <c r="G40" s="248"/>
      <c r="H40" s="35" t="s">
        <v>60</v>
      </c>
    </row>
    <row r="41" spans="1:9" ht="22.5" customHeight="1" x14ac:dyDescent="0.15">
      <c r="A41" s="20" t="s">
        <v>69</v>
      </c>
      <c r="C41" s="199">
        <f>管理者入力シート!B5</f>
        <v>2020</v>
      </c>
      <c r="D41" s="20" t="s">
        <v>374</v>
      </c>
      <c r="F41" s="248">
        <f>F37-現況シート!F37</f>
        <v>-162</v>
      </c>
      <c r="G41" s="248"/>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9">
        <f>管理者用グラフシート!H38</f>
        <v>2040</v>
      </c>
      <c r="B69" s="249"/>
      <c r="C69" s="259" t="s">
        <v>363</v>
      </c>
      <c r="D69" s="259"/>
      <c r="F69" s="34"/>
      <c r="G69" s="37"/>
      <c r="H69" s="67"/>
      <c r="I69" s="71"/>
    </row>
    <row r="70" spans="1:9" ht="22.5" customHeight="1" x14ac:dyDescent="0.15">
      <c r="A70" s="20" t="s">
        <v>238</v>
      </c>
      <c r="C70" s="253">
        <f>管理者用グラフシート!I38</f>
        <v>5104</v>
      </c>
      <c r="D70" s="253"/>
      <c r="E70" s="82" t="s">
        <v>239</v>
      </c>
      <c r="F70" s="34"/>
      <c r="G70" s="252">
        <f>管理者用グラフシート!I56</f>
        <v>0.28999999999999998</v>
      </c>
      <c r="H70" s="252"/>
      <c r="I70" s="110" t="s">
        <v>240</v>
      </c>
    </row>
    <row r="71" spans="1:9" ht="22.5" customHeight="1" x14ac:dyDescent="0.15">
      <c r="A71" s="20" t="s">
        <v>241</v>
      </c>
      <c r="C71" s="253">
        <f>管理者用グラフシート!I46</f>
        <v>2729</v>
      </c>
      <c r="D71" s="253"/>
      <c r="E71" s="20" t="s">
        <v>239</v>
      </c>
      <c r="G71" s="260">
        <f>管理者用グラフシート!I64</f>
        <v>0.16</v>
      </c>
      <c r="H71" s="255"/>
      <c r="I71" s="20" t="s">
        <v>242</v>
      </c>
    </row>
    <row r="72" spans="1:9" ht="27.75" customHeight="1" x14ac:dyDescent="0.15">
      <c r="C72" s="81"/>
      <c r="D72" s="81"/>
      <c r="G72" s="261" t="s">
        <v>236</v>
      </c>
      <c r="H72" s="261"/>
      <c r="I72" s="261"/>
    </row>
    <row r="73" spans="1:9" ht="22.5" customHeight="1" x14ac:dyDescent="0.15">
      <c r="A73" s="249">
        <f>管理者入力シート!B5</f>
        <v>2020</v>
      </c>
      <c r="B73" s="249"/>
      <c r="C73" s="20" t="s">
        <v>228</v>
      </c>
      <c r="D73" s="34"/>
      <c r="E73" s="34"/>
      <c r="F73" s="35"/>
    </row>
    <row r="74" spans="1:9" ht="22.5" customHeight="1" x14ac:dyDescent="0.15">
      <c r="B74" s="20" t="s">
        <v>81</v>
      </c>
      <c r="D74" s="37"/>
      <c r="E74" s="253"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5ポイント上昇</v>
      </c>
      <c r="F74" s="253"/>
      <c r="G74" s="253"/>
      <c r="H74" s="20" t="s">
        <v>82</v>
      </c>
    </row>
    <row r="75" spans="1:9" ht="22.5" customHeight="1" x14ac:dyDescent="0.15">
      <c r="B75" s="20" t="s">
        <v>83</v>
      </c>
      <c r="D75" s="37"/>
      <c r="E75" s="254"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4ポイント上昇</v>
      </c>
      <c r="F75" s="254"/>
      <c r="G75" s="254"/>
      <c r="H75" s="20" t="s">
        <v>77</v>
      </c>
    </row>
    <row r="101" spans="1:8" s="39" customFormat="1" ht="40.5" customHeight="1" x14ac:dyDescent="0.15">
      <c r="A101" s="108" t="s">
        <v>112</v>
      </c>
    </row>
    <row r="102" spans="1:8" ht="22.5" customHeight="1" x14ac:dyDescent="0.15">
      <c r="A102" s="249">
        <f>管理者用グラフシート!H91</f>
        <v>2030</v>
      </c>
      <c r="B102" s="249"/>
      <c r="C102" s="20" t="s">
        <v>364</v>
      </c>
      <c r="D102" s="196"/>
    </row>
    <row r="103" spans="1:8" ht="27.75" customHeight="1" x14ac:dyDescent="0.15">
      <c r="A103" s="249">
        <f>管理者入力シート!B5</f>
        <v>2020</v>
      </c>
      <c r="B103" s="249"/>
      <c r="C103" s="20" t="s">
        <v>385</v>
      </c>
      <c r="D103" s="36"/>
      <c r="G103" s="206">
        <f>SUM(管理者用グラフシート!H97:I98)-SUM(管理者用グラフシート!B93:C94)</f>
        <v>129</v>
      </c>
      <c r="H103" s="208" t="s">
        <v>60</v>
      </c>
    </row>
    <row r="104" spans="1:8" ht="22.5" customHeight="1" x14ac:dyDescent="0.15">
      <c r="A104" s="35" t="s">
        <v>387</v>
      </c>
      <c r="C104" s="206">
        <f>SUM(管理者用グラフシート!H99:I100)-SUM(管理者用グラフシート!B95:C96)</f>
        <v>-361</v>
      </c>
      <c r="D104" s="20" t="s">
        <v>423</v>
      </c>
      <c r="E104" s="34"/>
      <c r="G104" s="206">
        <f>SUM(管理者用グラフシート!H101:I102)-SUM(管理者用グラフシート!B97:C98)</f>
        <v>-415</v>
      </c>
      <c r="H104" s="20" t="s">
        <v>60</v>
      </c>
    </row>
    <row r="105" spans="1:8" ht="22.5" customHeight="1" x14ac:dyDescent="0.15">
      <c r="A105" s="20" t="s">
        <v>389</v>
      </c>
      <c r="C105" s="206">
        <f>SUM(管理者用グラフシート!H103:I104)-SUM(管理者用グラフシート!B99:C100)</f>
        <v>313</v>
      </c>
      <c r="D105" s="20" t="s">
        <v>70</v>
      </c>
      <c r="E105" s="34"/>
      <c r="F105" s="35"/>
    </row>
    <row r="136" spans="1:8" ht="22.5" customHeight="1" x14ac:dyDescent="0.15">
      <c r="A136" s="249">
        <f>管理者用グラフシート!H139</f>
        <v>2040</v>
      </c>
      <c r="B136" s="249"/>
      <c r="C136" s="20" t="s">
        <v>364</v>
      </c>
    </row>
    <row r="137" spans="1:8" ht="22.5" customHeight="1" x14ac:dyDescent="0.15">
      <c r="A137" s="249">
        <f>管理者入力シート!B5</f>
        <v>2020</v>
      </c>
      <c r="B137" s="249"/>
      <c r="C137" s="20" t="s">
        <v>385</v>
      </c>
      <c r="D137" s="36"/>
      <c r="G137" s="206">
        <f>SUM(管理者用グラフシート!H145:I146)-SUM(管理者用グラフシート!B93:C94)</f>
        <v>-161</v>
      </c>
      <c r="H137" s="208" t="s">
        <v>60</v>
      </c>
    </row>
    <row r="138" spans="1:8" ht="22.5" customHeight="1" x14ac:dyDescent="0.15">
      <c r="A138" s="35" t="s">
        <v>387</v>
      </c>
      <c r="C138" s="206">
        <f>SUM(管理者用グラフシート!H147:I148)-SUM(管理者用グラフシート!B95:C96)</f>
        <v>-232</v>
      </c>
      <c r="D138" s="20" t="s">
        <v>423</v>
      </c>
      <c r="E138" s="34"/>
      <c r="G138" s="206">
        <f>SUM(管理者用グラフシート!H149:I150)-SUM(管理者用グラフシート!B97:C98)</f>
        <v>-773</v>
      </c>
      <c r="H138" s="20" t="s">
        <v>60</v>
      </c>
    </row>
    <row r="139" spans="1:8" ht="22.5" customHeight="1" x14ac:dyDescent="0.15">
      <c r="A139" s="20" t="s">
        <v>389</v>
      </c>
      <c r="C139" s="206">
        <f>SUM(管理者用グラフシート!H151:I152)-SUM(管理者用グラフシート!B99:C100)</f>
        <v>-89</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 ref="A2:C3"/>
    <mergeCell ref="D38:E38"/>
    <mergeCell ref="A6:B6"/>
    <mergeCell ref="A10:B10"/>
    <mergeCell ref="A7:B7"/>
    <mergeCell ref="D6:E6"/>
    <mergeCell ref="D10:E10"/>
    <mergeCell ref="D7:E7"/>
    <mergeCell ref="A12:B12"/>
    <mergeCell ref="A8:B8"/>
    <mergeCell ref="A11:B11"/>
    <mergeCell ref="D11:E11"/>
    <mergeCell ref="G70:H70"/>
    <mergeCell ref="F36:G36"/>
    <mergeCell ref="F37:G37"/>
    <mergeCell ref="F40:G40"/>
    <mergeCell ref="D2:I3"/>
    <mergeCell ref="F12:G12"/>
    <mergeCell ref="H35:I35"/>
    <mergeCell ref="F8:G8"/>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62" t="str">
        <f>管理者入力シート!B4</f>
        <v>祝吉地区</v>
      </c>
      <c r="B2" s="262"/>
      <c r="C2" s="262"/>
      <c r="D2" s="250" t="s">
        <v>249</v>
      </c>
      <c r="E2" s="250"/>
      <c r="F2" s="250"/>
      <c r="G2" s="250"/>
      <c r="H2" s="250"/>
      <c r="I2" s="250"/>
    </row>
    <row r="3" spans="1:9" ht="31.5" customHeight="1" x14ac:dyDescent="0.15">
      <c r="A3" s="262"/>
      <c r="B3" s="262"/>
      <c r="C3" s="262"/>
      <c r="D3" s="250"/>
      <c r="E3" s="250"/>
      <c r="F3" s="250"/>
      <c r="G3" s="250"/>
      <c r="H3" s="250"/>
      <c r="I3" s="250"/>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66" t="s">
        <v>254</v>
      </c>
      <c r="B15" s="266"/>
      <c r="C15" s="266"/>
      <c r="D15" s="267" t="s">
        <v>258</v>
      </c>
      <c r="E15" s="268"/>
      <c r="F15" s="263" t="s">
        <v>257</v>
      </c>
      <c r="G15" s="264"/>
      <c r="H15" s="265"/>
    </row>
    <row r="16" spans="1:9" ht="17.25" customHeight="1" x14ac:dyDescent="0.15">
      <c r="A16" s="124" t="s">
        <v>254</v>
      </c>
      <c r="B16" s="124" t="s">
        <v>21</v>
      </c>
      <c r="C16" s="124" t="s">
        <v>22</v>
      </c>
      <c r="D16" s="267"/>
      <c r="E16" s="268"/>
      <c r="F16" s="126"/>
      <c r="G16" s="127" t="s">
        <v>21</v>
      </c>
      <c r="H16" s="128" t="s">
        <v>22</v>
      </c>
    </row>
    <row r="17" spans="1:9" ht="18.75" customHeight="1" x14ac:dyDescent="0.15">
      <c r="A17" s="125" t="s">
        <v>0</v>
      </c>
      <c r="B17" s="116">
        <v>1</v>
      </c>
      <c r="C17" s="116">
        <v>1</v>
      </c>
      <c r="D17" s="267"/>
      <c r="E17" s="268"/>
      <c r="F17" s="119" t="s">
        <v>0</v>
      </c>
      <c r="G17" s="116">
        <v>1</v>
      </c>
      <c r="H17" s="118">
        <v>1</v>
      </c>
    </row>
    <row r="18" spans="1:9" ht="18.75" customHeight="1" x14ac:dyDescent="0.15">
      <c r="A18" s="125" t="s">
        <v>1</v>
      </c>
      <c r="B18" s="116"/>
      <c r="C18" s="116"/>
      <c r="D18" s="267"/>
      <c r="E18" s="268"/>
      <c r="F18" s="119" t="s">
        <v>1</v>
      </c>
      <c r="G18" s="116"/>
      <c r="H18" s="118"/>
    </row>
    <row r="19" spans="1:9" ht="18.75" customHeight="1" x14ac:dyDescent="0.15">
      <c r="A19" s="125" t="s">
        <v>2</v>
      </c>
      <c r="B19" s="73">
        <v>1</v>
      </c>
      <c r="C19" s="73">
        <v>1</v>
      </c>
      <c r="D19" s="267"/>
      <c r="E19" s="268"/>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3"/>
      <c r="B30" s="234"/>
      <c r="C30" s="234"/>
      <c r="F30" s="233"/>
      <c r="G30" s="221"/>
      <c r="H30" s="221"/>
      <c r="I30" s="114"/>
    </row>
    <row r="31" spans="1:9" s="113" customFormat="1" ht="24" customHeight="1" x14ac:dyDescent="0.15">
      <c r="A31" s="168" t="s">
        <v>328</v>
      </c>
      <c r="B31" s="277">
        <f>管理者入力シート!B5</f>
        <v>2020</v>
      </c>
      <c r="C31" s="277"/>
      <c r="D31" s="83" t="s">
        <v>412</v>
      </c>
      <c r="E31" s="131"/>
      <c r="F31" s="131"/>
      <c r="G31" s="131"/>
      <c r="H31" s="131"/>
      <c r="I31" s="237"/>
    </row>
    <row r="32" spans="1:9" s="131" customFormat="1" ht="17.25" customHeight="1" x14ac:dyDescent="0.15">
      <c r="A32" s="159" t="s">
        <v>409</v>
      </c>
      <c r="B32" s="276">
        <f>管理者入力シート!B5</f>
        <v>2020</v>
      </c>
      <c r="C32" s="276"/>
      <c r="D32" s="213" t="s">
        <v>425</v>
      </c>
      <c r="E32" s="213"/>
      <c r="F32" s="213"/>
      <c r="G32" s="213"/>
      <c r="H32" s="213"/>
      <c r="I32" s="214"/>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9"/>
      <c r="H34" s="219"/>
      <c r="I34" s="220"/>
    </row>
    <row r="35" spans="1:9" s="130" customFormat="1" ht="17.25" customHeight="1" thickTop="1" x14ac:dyDescent="0.15">
      <c r="A35" s="165"/>
      <c r="B35" s="273" t="s">
        <v>257</v>
      </c>
      <c r="C35" s="274"/>
      <c r="D35" s="275"/>
      <c r="F35" s="162"/>
      <c r="G35" s="240"/>
      <c r="H35" s="278" t="s">
        <v>410</v>
      </c>
      <c r="I35" s="279"/>
    </row>
    <row r="36" spans="1:9" s="132" customFormat="1" ht="17.25" customHeight="1" x14ac:dyDescent="0.15">
      <c r="A36" s="160"/>
      <c r="B36" s="215"/>
      <c r="C36" s="127" t="s">
        <v>21</v>
      </c>
      <c r="D36" s="216" t="s">
        <v>22</v>
      </c>
      <c r="F36" s="162"/>
      <c r="G36" s="238">
        <f>管理者入力シート!B8</f>
        <v>2025</v>
      </c>
      <c r="H36" s="269">
        <f>管理者用人口入力シート!EU22</f>
        <v>19245</v>
      </c>
      <c r="I36" s="270"/>
    </row>
    <row r="37" spans="1:9" s="130" customFormat="1" ht="17.25" customHeight="1" x14ac:dyDescent="0.15">
      <c r="A37" s="165"/>
      <c r="B37" s="226" t="s">
        <v>5</v>
      </c>
      <c r="C37" s="227">
        <f>管理者用人口入力シート!DX1</f>
        <v>101</v>
      </c>
      <c r="D37" s="228">
        <f>C37</f>
        <v>101</v>
      </c>
      <c r="F37" s="162"/>
      <c r="G37" s="238">
        <f>管理者入力シート!B9</f>
        <v>2030</v>
      </c>
      <c r="H37" s="269">
        <f>管理者用人口入力シート!EU25</f>
        <v>19689</v>
      </c>
      <c r="I37" s="270"/>
    </row>
    <row r="38" spans="1:9" s="132" customFormat="1" ht="17.25" customHeight="1" x14ac:dyDescent="0.15">
      <c r="A38" s="160"/>
      <c r="B38" s="226" t="s">
        <v>6</v>
      </c>
      <c r="C38" s="227">
        <f>C37</f>
        <v>101</v>
      </c>
      <c r="D38" s="228">
        <f>C37</f>
        <v>101</v>
      </c>
      <c r="F38" s="162"/>
      <c r="G38" s="238">
        <f>管理者入力シート!B10</f>
        <v>2035</v>
      </c>
      <c r="H38" s="269">
        <f>管理者用人口入力シート!EU28</f>
        <v>20139</v>
      </c>
      <c r="I38" s="270"/>
    </row>
    <row r="39" spans="1:9" ht="17.25" customHeight="1" thickBot="1" x14ac:dyDescent="0.2">
      <c r="A39" s="166"/>
      <c r="B39" s="229" t="s">
        <v>7</v>
      </c>
      <c r="C39" s="230">
        <f>C37</f>
        <v>101</v>
      </c>
      <c r="D39" s="231">
        <f>C37</f>
        <v>101</v>
      </c>
      <c r="F39" s="162"/>
      <c r="G39" s="239">
        <f>管理者入力シート!B11</f>
        <v>2040</v>
      </c>
      <c r="H39" s="271">
        <f>管理者用人口入力シート!EU31</f>
        <v>20487</v>
      </c>
      <c r="I39" s="272"/>
    </row>
    <row r="40" spans="1:9" s="132" customFormat="1" ht="17.25" customHeight="1" thickTop="1" x14ac:dyDescent="0.15">
      <c r="A40" s="160"/>
      <c r="F40" s="83"/>
      <c r="G40" s="232"/>
      <c r="H40" s="217"/>
      <c r="I40" s="218"/>
    </row>
    <row r="41" spans="1:9" ht="17.25" customHeight="1" x14ac:dyDescent="0.15">
      <c r="A41" s="222"/>
      <c r="B41" s="235" t="s">
        <v>411</v>
      </c>
      <c r="C41" s="167"/>
      <c r="D41" s="223"/>
      <c r="E41" s="223"/>
      <c r="F41" s="224"/>
      <c r="G41" s="224"/>
      <c r="H41" s="224"/>
      <c r="I41" s="225"/>
    </row>
    <row r="42" spans="1:9" s="113" customFormat="1" ht="40.5" customHeight="1" x14ac:dyDescent="0.15">
      <c r="A42" s="108" t="s">
        <v>64</v>
      </c>
      <c r="I42" s="114"/>
    </row>
    <row r="43" spans="1:9" ht="22.5" customHeight="1" x14ac:dyDescent="0.15">
      <c r="A43" s="249">
        <f>管理者入力シート!B9</f>
        <v>2030</v>
      </c>
      <c r="B43" s="249"/>
      <c r="C43" s="20" t="s">
        <v>417</v>
      </c>
      <c r="D43" s="253">
        <f>管理者用グラフシート!U8</f>
        <v>18325</v>
      </c>
      <c r="E43" s="253"/>
      <c r="F43" s="20" t="s">
        <v>231</v>
      </c>
      <c r="H43" s="34"/>
      <c r="I43" s="34"/>
    </row>
    <row r="44" spans="1:9" ht="22.5" customHeight="1" x14ac:dyDescent="0.15">
      <c r="A44" s="249">
        <f>管理者入力シート!B11</f>
        <v>2040</v>
      </c>
      <c r="B44" s="249"/>
      <c r="C44" s="20" t="s">
        <v>417</v>
      </c>
      <c r="D44" s="253">
        <f>管理者用グラフシート!U10</f>
        <v>17553</v>
      </c>
      <c r="E44" s="253"/>
      <c r="F44" s="20" t="s">
        <v>231</v>
      </c>
      <c r="H44" s="34"/>
      <c r="I44" s="34"/>
    </row>
    <row r="45" spans="1:9" ht="22.5" customHeight="1" x14ac:dyDescent="0.15">
      <c r="A45" s="20" t="s">
        <v>121</v>
      </c>
    </row>
    <row r="46" spans="1:9" ht="22.5" customHeight="1" x14ac:dyDescent="0.15">
      <c r="A46" s="249">
        <f>管理者入力シート!B9</f>
        <v>2030</v>
      </c>
      <c r="B46" s="249"/>
      <c r="C46" s="20" t="s">
        <v>418</v>
      </c>
      <c r="D46" s="256">
        <f>D43-将来予測シート①!D6</f>
        <v>20</v>
      </c>
      <c r="E46" s="256"/>
      <c r="F46" s="20" t="s">
        <v>122</v>
      </c>
    </row>
    <row r="47" spans="1:9" ht="22.5" customHeight="1" x14ac:dyDescent="0.15">
      <c r="A47" s="249">
        <f>管理者入力シート!B11</f>
        <v>2040</v>
      </c>
      <c r="B47" s="249"/>
      <c r="C47" s="20" t="s">
        <v>418</v>
      </c>
      <c r="D47" s="256">
        <f>D44-将来予測シート①!D10</f>
        <v>41</v>
      </c>
      <c r="E47" s="256"/>
      <c r="F47" s="20" t="s">
        <v>123</v>
      </c>
    </row>
    <row r="76" spans="1:9" s="39" customFormat="1" ht="40.5" customHeight="1" x14ac:dyDescent="0.15">
      <c r="A76" s="108" t="s">
        <v>68</v>
      </c>
      <c r="I76" s="115"/>
    </row>
    <row r="77" spans="1:9" ht="22.5" customHeight="1" x14ac:dyDescent="0.15">
      <c r="A77" s="249">
        <f>管理者用グラフシート!O20</f>
        <v>2040</v>
      </c>
      <c r="B77" s="249"/>
      <c r="C77" s="20" t="s">
        <v>263</v>
      </c>
      <c r="F77" s="36"/>
      <c r="G77" s="36"/>
      <c r="H77" s="67"/>
      <c r="I77" s="34"/>
    </row>
    <row r="78" spans="1:9" ht="22.5" customHeight="1" x14ac:dyDescent="0.15">
      <c r="A78" s="20" t="s">
        <v>237</v>
      </c>
      <c r="E78" s="34"/>
      <c r="F78" s="253">
        <f>管理者用グラフシート!Q20</f>
        <v>908</v>
      </c>
      <c r="G78" s="253"/>
      <c r="H78" s="82" t="s">
        <v>264</v>
      </c>
      <c r="I78" s="34"/>
    </row>
    <row r="79" spans="1:9" ht="22.5" customHeight="1" x14ac:dyDescent="0.15">
      <c r="A79" s="20" t="s">
        <v>234</v>
      </c>
      <c r="F79" s="253">
        <f>管理者用グラフシート!Q28</f>
        <v>451</v>
      </c>
      <c r="G79" s="253"/>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48">
        <f>F78-将来予測シート①!F36</f>
        <v>6</v>
      </c>
      <c r="D82" s="248"/>
      <c r="E82" s="20" t="s">
        <v>60</v>
      </c>
    </row>
    <row r="83" spans="1:13" ht="22.5" customHeight="1" x14ac:dyDescent="0.15">
      <c r="A83" s="20" t="s">
        <v>69</v>
      </c>
      <c r="C83" s="248">
        <f>F79-将来予測シート①!F37</f>
        <v>3</v>
      </c>
      <c r="D83" s="248"/>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9">
        <f>管理者用グラフシート!O38</f>
        <v>2040</v>
      </c>
      <c r="B111" s="249"/>
      <c r="C111" s="20" t="s">
        <v>371</v>
      </c>
      <c r="F111" s="36"/>
      <c r="G111" s="36"/>
      <c r="H111" s="67"/>
      <c r="I111" s="34"/>
    </row>
    <row r="112" spans="1:9" ht="22.5" customHeight="1" x14ac:dyDescent="0.15">
      <c r="A112" s="20" t="s">
        <v>269</v>
      </c>
      <c r="C112" s="253">
        <f>管理者用グラフシート!Q38</f>
        <v>5104</v>
      </c>
      <c r="D112" s="253"/>
      <c r="E112" s="20" t="s">
        <v>270</v>
      </c>
      <c r="F112" s="36"/>
      <c r="G112" s="111">
        <f>管理者用グラフシート!Q56</f>
        <v>0.28999999999999998</v>
      </c>
      <c r="H112" s="82" t="s">
        <v>271</v>
      </c>
      <c r="I112" s="34"/>
    </row>
    <row r="113" spans="1:9" ht="22.5" customHeight="1" x14ac:dyDescent="0.15">
      <c r="A113" s="20" t="s">
        <v>268</v>
      </c>
      <c r="C113" s="253">
        <f>管理者用グラフシート!Q46</f>
        <v>2729</v>
      </c>
      <c r="D113" s="253"/>
      <c r="E113" s="82" t="s">
        <v>270</v>
      </c>
      <c r="F113" s="34"/>
      <c r="G113" s="111">
        <f>管理者用グラフシート!Q64</f>
        <v>0.16</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3"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ほぼ横ばい</v>
      </c>
      <c r="F116" s="253"/>
      <c r="G116" s="253"/>
      <c r="H116" s="20" t="s">
        <v>82</v>
      </c>
    </row>
    <row r="117" spans="1:9" ht="22.5" customHeight="1" x14ac:dyDescent="0.15">
      <c r="B117" s="20" t="s">
        <v>83</v>
      </c>
      <c r="D117" s="37"/>
      <c r="E117" s="254"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4"/>
      <c r="G117" s="254"/>
      <c r="H117" s="20" t="s">
        <v>77</v>
      </c>
    </row>
    <row r="143" spans="1:9" s="113" customFormat="1" ht="46.5" customHeight="1" x14ac:dyDescent="0.15">
      <c r="A143" s="108" t="s">
        <v>112</v>
      </c>
      <c r="I143" s="114"/>
    </row>
    <row r="144" spans="1:9" ht="22.5" customHeight="1" x14ac:dyDescent="0.15">
      <c r="A144" s="249">
        <f>管理者用グラフシート!O91</f>
        <v>2030</v>
      </c>
      <c r="B144" s="249"/>
      <c r="C144" s="20" t="s">
        <v>364</v>
      </c>
    </row>
    <row r="177" spans="1:9" ht="22.5" customHeight="1" x14ac:dyDescent="0.15">
      <c r="A177" s="249">
        <f>管理者用グラフシート!O139</f>
        <v>2040</v>
      </c>
      <c r="B177" s="249"/>
      <c r="C177" s="20" t="s">
        <v>364</v>
      </c>
    </row>
    <row r="178" spans="1:9" ht="22.5" customHeight="1" x14ac:dyDescent="0.15">
      <c r="E178" s="261"/>
      <c r="F178" s="261"/>
      <c r="G178" s="261"/>
      <c r="H178" s="261"/>
      <c r="I178" s="261"/>
    </row>
    <row r="210" spans="1:9" ht="22.5" customHeight="1" x14ac:dyDescent="0.15">
      <c r="A210" s="20" t="s">
        <v>274</v>
      </c>
      <c r="B210" s="249">
        <f>管理者用グラフシート!O212</f>
        <v>2030</v>
      </c>
      <c r="C210" s="249"/>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9">
        <f>管理者用グラフシート!O236</f>
        <v>2040</v>
      </c>
      <c r="C245" s="249"/>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460</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B32:C32"/>
    <mergeCell ref="B31:C31"/>
    <mergeCell ref="H35:I35"/>
    <mergeCell ref="H36:I36"/>
    <mergeCell ref="H37:I37"/>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A43:B43"/>
    <mergeCell ref="A44:B44"/>
    <mergeCell ref="B245:C245"/>
    <mergeCell ref="A177:B177"/>
    <mergeCell ref="D43:E43"/>
    <mergeCell ref="D44:E44"/>
    <mergeCell ref="D46:E46"/>
    <mergeCell ref="A77:B77"/>
    <mergeCell ref="D47:E47"/>
    <mergeCell ref="A46:B46"/>
    <mergeCell ref="A2:C3"/>
    <mergeCell ref="D2:I3"/>
    <mergeCell ref="F15:H15"/>
    <mergeCell ref="A15:C15"/>
    <mergeCell ref="D15:E19"/>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1" t="str">
        <f>管理者入力シート!B4</f>
        <v>祝吉地区</v>
      </c>
      <c r="B1" s="251"/>
      <c r="C1" s="251"/>
      <c r="D1" s="250" t="s">
        <v>278</v>
      </c>
      <c r="E1" s="250"/>
      <c r="F1" s="250"/>
      <c r="G1" s="250"/>
      <c r="H1" s="250"/>
    </row>
    <row r="2" spans="1:8" ht="22.5" customHeight="1" x14ac:dyDescent="0.15">
      <c r="A2" s="251"/>
      <c r="B2" s="251"/>
      <c r="C2" s="251"/>
      <c r="D2" s="250"/>
      <c r="E2" s="250"/>
      <c r="F2" s="250"/>
      <c r="G2" s="250"/>
      <c r="H2" s="250"/>
    </row>
    <row r="3" spans="1:8" ht="22.5" customHeight="1" x14ac:dyDescent="0.15">
      <c r="A3" s="20" t="s">
        <v>279</v>
      </c>
    </row>
    <row r="5" spans="1:8" s="113" customFormat="1" ht="40.5" customHeight="1" x14ac:dyDescent="0.15">
      <c r="A5" s="108" t="s">
        <v>280</v>
      </c>
    </row>
    <row r="6" spans="1:8" ht="22.5" customHeight="1" x14ac:dyDescent="0.15">
      <c r="A6" s="249">
        <f>管理者用グラフシート!B6</f>
        <v>2020</v>
      </c>
      <c r="B6" s="249"/>
      <c r="C6" s="20" t="s">
        <v>419</v>
      </c>
    </row>
    <row r="7" spans="1:8" ht="22.5" customHeight="1" x14ac:dyDescent="0.15">
      <c r="A7" s="20" t="s">
        <v>281</v>
      </c>
      <c r="F7" s="280">
        <f>管理者用地域特徴シート!H5</f>
        <v>0.32374494148528932</v>
      </c>
      <c r="G7" s="280"/>
      <c r="H7" s="20" t="s">
        <v>282</v>
      </c>
    </row>
    <row r="8" spans="1:8" ht="22.5" customHeight="1" x14ac:dyDescent="0.15">
      <c r="A8" s="34" t="str">
        <f>管理者入力シート!B3</f>
        <v>都城市</v>
      </c>
      <c r="B8" s="20" t="s">
        <v>293</v>
      </c>
      <c r="D8" s="34" t="str">
        <f>IF(管理者用地域特徴シート!H5-管理者用地域特徴シート!H4&gt;0.01,"高く、",IF(管理者用地域特徴シート!H5-管理者用地域特徴シート!H4&lt;-0.01,"低く、","同程度で、"))</f>
        <v>低く、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低くなっています。</v>
      </c>
    </row>
    <row r="10" spans="1:8" ht="22.5" customHeight="1" x14ac:dyDescent="0.15">
      <c r="A10" s="20" t="s">
        <v>415</v>
      </c>
    </row>
    <row r="11" spans="1:8" ht="22.5" customHeight="1" x14ac:dyDescent="0.15">
      <c r="A11" s="255" t="str">
        <f>地域特徴シート!A1</f>
        <v>祝吉地区</v>
      </c>
      <c r="B11" s="255"/>
      <c r="C11" s="256">
        <f>管理者用地域特徴シート!D5</f>
        <v>9143</v>
      </c>
      <c r="D11" s="255"/>
      <c r="E11" s="20" t="s">
        <v>413</v>
      </c>
    </row>
    <row r="12" spans="1:8" ht="22.5" customHeight="1" x14ac:dyDescent="0.15">
      <c r="A12" s="255" t="str">
        <f>A8</f>
        <v>都城市</v>
      </c>
      <c r="B12" s="255"/>
      <c r="C12" s="256">
        <f>管理者用地域特徴シート!D4</f>
        <v>70860</v>
      </c>
      <c r="D12" s="255"/>
      <c r="E12" s="20" t="s">
        <v>413</v>
      </c>
    </row>
    <row r="13" spans="1:8" ht="22.5" customHeight="1" x14ac:dyDescent="0.15">
      <c r="A13" s="255" t="s">
        <v>414</v>
      </c>
      <c r="B13" s="255"/>
      <c r="C13" s="256">
        <f>管理者用地域特徴シート!D3</f>
        <v>468575.00000000006</v>
      </c>
      <c r="D13" s="255"/>
      <c r="E13" s="20" t="s">
        <v>416</v>
      </c>
    </row>
    <row r="23" spans="1:8" ht="22.5" customHeight="1" x14ac:dyDescent="0.15">
      <c r="A23" s="20" t="s">
        <v>285</v>
      </c>
      <c r="G23" s="241">
        <f>管理者用地域特徴シート!J5</f>
        <v>0.1142950891392322</v>
      </c>
      <c r="H23" s="35" t="s">
        <v>286</v>
      </c>
    </row>
    <row r="24" spans="1:8" ht="22.5" customHeight="1" x14ac:dyDescent="0.15">
      <c r="A24" s="34" t="str">
        <f>管理者入力シート!B3</f>
        <v>都城市</v>
      </c>
      <c r="B24" s="20" t="s">
        <v>293</v>
      </c>
      <c r="D24" s="152" t="str">
        <f>IF(管理者用地域特徴シート!J5-管理者用地域特徴シート!J4&gt;0.01,"高く、",IF(管理者用地域特徴シート!J5-管理者用地域特徴シート!J4&lt;-0.01,"低く、","同程度で、"))</f>
        <v>低く、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低くなっています。</v>
      </c>
    </row>
    <row r="35" spans="1:8" s="113" customFormat="1" ht="40.5" customHeight="1" x14ac:dyDescent="0.15">
      <c r="A35" s="108" t="s">
        <v>206</v>
      </c>
    </row>
    <row r="36" spans="1:8" ht="22.5" customHeight="1" x14ac:dyDescent="0.15">
      <c r="A36" s="249">
        <f>管理者用グラフシート!B36</f>
        <v>2020</v>
      </c>
      <c r="B36" s="249"/>
      <c r="C36" s="20" t="s">
        <v>420</v>
      </c>
    </row>
    <row r="37" spans="1:8" ht="22.5" customHeight="1" x14ac:dyDescent="0.15">
      <c r="A37" s="20" t="s">
        <v>287</v>
      </c>
      <c r="F37" s="280">
        <f>管理者用地域特徴シート!P5</f>
        <v>0.41912501978996253</v>
      </c>
      <c r="G37" s="280"/>
      <c r="H37" s="20" t="s">
        <v>286</v>
      </c>
    </row>
    <row r="38" spans="1:8" ht="22.5" customHeight="1" x14ac:dyDescent="0.15">
      <c r="A38" s="34" t="str">
        <f>管理者入力シート!B3</f>
        <v>都城市</v>
      </c>
      <c r="B38" s="20" t="s">
        <v>293</v>
      </c>
      <c r="D38" s="152" t="str">
        <f>IF(管理者用地域特徴シート!P5-管理者用地域特徴シート!P4&gt;0.01,"高く、",IF(管理者用地域特徴シート!P5-管理者用地域特徴シート!P4&lt;-0.01,"低く、","同程度で、"))</f>
        <v>高く、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高くなっています。</v>
      </c>
    </row>
    <row r="40" spans="1:8" ht="22.5" customHeight="1" x14ac:dyDescent="0.15">
      <c r="D40" s="34"/>
    </row>
    <row r="41" spans="1:8" ht="22.5" customHeight="1" x14ac:dyDescent="0.15">
      <c r="A41" s="34" t="str">
        <f>管理者入力シート!B3</f>
        <v>都城市</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新しい居住者の割合が高い地域です。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新しい居住者の割合が高い地域です。</v>
      </c>
    </row>
    <row r="69" spans="1:8" s="113" customFormat="1" ht="40.5" customHeight="1" x14ac:dyDescent="0.15">
      <c r="A69" s="108" t="s">
        <v>207</v>
      </c>
    </row>
    <row r="70" spans="1:8" ht="22.5" customHeight="1" x14ac:dyDescent="0.15">
      <c r="A70" s="20" t="s">
        <v>289</v>
      </c>
      <c r="B70" s="34"/>
      <c r="E70" s="281">
        <f>管理者用地域特徴シート!W5</f>
        <v>5092</v>
      </c>
      <c r="F70" s="281"/>
      <c r="G70" s="20" t="s">
        <v>290</v>
      </c>
    </row>
    <row r="71" spans="1:8" ht="22.5" customHeight="1" x14ac:dyDescent="0.15">
      <c r="A71" s="20" t="s">
        <v>295</v>
      </c>
      <c r="F71" s="280">
        <f>管理者用地域特徴シート!AK5</f>
        <v>0.19933228593872743</v>
      </c>
      <c r="G71" s="280"/>
      <c r="H71" s="20" t="s">
        <v>271</v>
      </c>
    </row>
    <row r="72" spans="1:8" ht="22.5" customHeight="1" x14ac:dyDescent="0.15">
      <c r="A72" s="20" t="s">
        <v>296</v>
      </c>
      <c r="F72" s="280">
        <f>管理者用地域特徴シート!AL5</f>
        <v>0.25216025137470544</v>
      </c>
      <c r="G72" s="280"/>
      <c r="H72" s="20" t="s">
        <v>297</v>
      </c>
    </row>
    <row r="73" spans="1:8" ht="22.5" customHeight="1" x14ac:dyDescent="0.15">
      <c r="A73" s="20" t="s">
        <v>298</v>
      </c>
      <c r="E73" s="280"/>
      <c r="F73" s="280"/>
    </row>
    <row r="74" spans="1:8" ht="22.5" customHeight="1" x14ac:dyDescent="0.15">
      <c r="A74" s="20" t="s">
        <v>339</v>
      </c>
      <c r="C74" s="177">
        <f>管理者用地域特徴シート!AN5</f>
        <v>0.47054202670856243</v>
      </c>
      <c r="D74" s="156" t="s">
        <v>299</v>
      </c>
      <c r="E74" s="177">
        <f>管理者用地域特徴シート!AO5</f>
        <v>0.52945797329143751</v>
      </c>
      <c r="F74" s="20" t="s">
        <v>291</v>
      </c>
    </row>
    <row r="76" spans="1:8" ht="22.5" customHeight="1" x14ac:dyDescent="0.15">
      <c r="A76" s="34" t="str">
        <f>管理者入力シート!B3</f>
        <v>都城市</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平均と同程度の地域です。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平均と同程度の地域です。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9">
        <f>管理者入力シート!B5</f>
        <v>2020</v>
      </c>
      <c r="B104" s="249"/>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9">
        <f>管理者入力シート!B5</f>
        <v>2020</v>
      </c>
      <c r="B138" s="249"/>
      <c r="C138" s="20" t="s">
        <v>422</v>
      </c>
    </row>
    <row r="139" spans="1:8" ht="22.5" customHeight="1" x14ac:dyDescent="0.15">
      <c r="A139" s="20" t="s">
        <v>315</v>
      </c>
      <c r="C139" s="280">
        <f>管理者用地域特徴シート!CK5</f>
        <v>0.8712286838653257</v>
      </c>
      <c r="D139" s="280"/>
      <c r="E139" s="20" t="s">
        <v>316</v>
      </c>
      <c r="F139" s="157" t="str">
        <f>管理者入力シート!B3</f>
        <v>都城市</v>
      </c>
      <c r="G139" s="158" t="s">
        <v>317</v>
      </c>
    </row>
    <row r="140" spans="1:8" ht="22.5" customHeight="1" x14ac:dyDescent="0.15">
      <c r="A140" s="20" t="s">
        <v>318</v>
      </c>
    </row>
    <row r="141" spans="1:8" ht="22.5" customHeight="1" x14ac:dyDescent="0.15">
      <c r="C141" s="280">
        <f>管理者用地域特徴シート!CN5</f>
        <v>0.78860759493670884</v>
      </c>
      <c r="D141" s="280"/>
      <c r="E141" s="20" t="s">
        <v>316</v>
      </c>
      <c r="F141" s="157" t="str">
        <f>管理者入力シート!B3</f>
        <v>都城市</v>
      </c>
      <c r="G141" s="158" t="s">
        <v>317</v>
      </c>
    </row>
    <row r="142" spans="1:8" ht="22.5" customHeight="1" x14ac:dyDescent="0.15">
      <c r="A142" s="282" t="s">
        <v>319</v>
      </c>
      <c r="B142" s="282"/>
      <c r="C142" s="282"/>
      <c r="D142" s="282"/>
      <c r="E142" s="282"/>
      <c r="F142" s="282"/>
      <c r="G142" s="282"/>
      <c r="H142" s="282"/>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A138:B138"/>
    <mergeCell ref="C139:D139"/>
    <mergeCell ref="C141:D141"/>
    <mergeCell ref="A142:H142"/>
    <mergeCell ref="A104:B104"/>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457</v>
      </c>
    </row>
    <row r="3" spans="1:3" x14ac:dyDescent="0.15">
      <c r="A3" s="203" t="s">
        <v>292</v>
      </c>
      <c r="B3" s="32" t="str">
        <f>管理者用地域特徴シート!B5</f>
        <v>都城市</v>
      </c>
    </row>
    <row r="4" spans="1:3" x14ac:dyDescent="0.15">
      <c r="A4" s="153" t="s">
        <v>24</v>
      </c>
      <c r="B4" s="154" t="str">
        <f>管理者用地域特徴シート!C5</f>
        <v>祝吉地区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45202_4</v>
      </c>
      <c r="B1" s="24" t="s">
        <v>44</v>
      </c>
      <c r="C1" s="25"/>
      <c r="D1" s="303" t="s">
        <v>0</v>
      </c>
      <c r="E1" s="303" t="s">
        <v>1</v>
      </c>
      <c r="F1" s="303" t="s">
        <v>2</v>
      </c>
      <c r="G1" s="303" t="s">
        <v>3</v>
      </c>
      <c r="H1" s="303" t="s">
        <v>4</v>
      </c>
      <c r="I1" s="303" t="s">
        <v>5</v>
      </c>
      <c r="J1" s="303" t="s">
        <v>6</v>
      </c>
      <c r="K1" s="303" t="s">
        <v>7</v>
      </c>
      <c r="L1" s="303" t="s">
        <v>8</v>
      </c>
      <c r="M1" s="303" t="s">
        <v>9</v>
      </c>
      <c r="N1" s="303" t="s">
        <v>10</v>
      </c>
      <c r="O1" s="303" t="s">
        <v>11</v>
      </c>
      <c r="P1" s="303" t="s">
        <v>12</v>
      </c>
      <c r="Q1" s="303" t="s">
        <v>13</v>
      </c>
      <c r="R1" s="303" t="s">
        <v>14</v>
      </c>
      <c r="S1" s="303" t="s">
        <v>15</v>
      </c>
      <c r="T1" s="303" t="s">
        <v>16</v>
      </c>
      <c r="U1" s="303" t="s">
        <v>17</v>
      </c>
      <c r="V1" s="303" t="s">
        <v>18</v>
      </c>
      <c r="W1" s="303" t="s">
        <v>19</v>
      </c>
      <c r="X1" s="303" t="s">
        <v>20</v>
      </c>
      <c r="Y1" s="303" t="s">
        <v>23</v>
      </c>
      <c r="Z1" s="300" t="s">
        <v>50</v>
      </c>
      <c r="AA1" s="300" t="s">
        <v>51</v>
      </c>
      <c r="AB1" s="301" t="s">
        <v>79</v>
      </c>
      <c r="AC1" s="301" t="s">
        <v>80</v>
      </c>
      <c r="AD1" s="300" t="s">
        <v>48</v>
      </c>
      <c r="AE1" s="300" t="s">
        <v>49</v>
      </c>
      <c r="AF1" s="300" t="s">
        <v>97</v>
      </c>
      <c r="AH1" s="7"/>
      <c r="AI1" s="42" t="s">
        <v>25</v>
      </c>
      <c r="AJ1" s="40" t="s">
        <v>90</v>
      </c>
      <c r="AK1" s="41"/>
      <c r="AL1" s="305" t="s">
        <v>89</v>
      </c>
      <c r="AM1" s="299" t="s">
        <v>27</v>
      </c>
      <c r="AN1" s="299" t="s">
        <v>28</v>
      </c>
      <c r="AO1" s="299" t="s">
        <v>26</v>
      </c>
      <c r="AP1" s="299" t="s">
        <v>29</v>
      </c>
      <c r="AQ1" s="299" t="s">
        <v>30</v>
      </c>
      <c r="AR1" s="299" t="s">
        <v>31</v>
      </c>
      <c r="AS1" s="299" t="s">
        <v>32</v>
      </c>
      <c r="AT1" s="299" t="s">
        <v>33</v>
      </c>
      <c r="AU1" s="299" t="s">
        <v>34</v>
      </c>
      <c r="AV1" s="299" t="s">
        <v>35</v>
      </c>
      <c r="AW1" s="299" t="s">
        <v>36</v>
      </c>
      <c r="AX1" s="299" t="s">
        <v>37</v>
      </c>
      <c r="AY1" s="299" t="s">
        <v>38</v>
      </c>
      <c r="AZ1" s="299" t="s">
        <v>39</v>
      </c>
      <c r="BA1" s="299" t="s">
        <v>40</v>
      </c>
      <c r="BB1" s="299" t="s">
        <v>45</v>
      </c>
      <c r="BC1" s="299" t="s">
        <v>41</v>
      </c>
      <c r="BD1" s="299" t="s">
        <v>42</v>
      </c>
      <c r="BE1" s="299" t="s">
        <v>46</v>
      </c>
      <c r="BF1" s="299" t="s">
        <v>43</v>
      </c>
      <c r="BI1" s="56" t="s">
        <v>44</v>
      </c>
      <c r="BJ1" s="57"/>
      <c r="BK1" s="298" t="s">
        <v>0</v>
      </c>
      <c r="BL1" s="298" t="s">
        <v>1</v>
      </c>
      <c r="BM1" s="298" t="s">
        <v>2</v>
      </c>
      <c r="BN1" s="298" t="s">
        <v>3</v>
      </c>
      <c r="BO1" s="298" t="s">
        <v>4</v>
      </c>
      <c r="BP1" s="298" t="s">
        <v>5</v>
      </c>
      <c r="BQ1" s="298" t="s">
        <v>6</v>
      </c>
      <c r="BR1" s="298" t="s">
        <v>7</v>
      </c>
      <c r="BS1" s="298" t="s">
        <v>8</v>
      </c>
      <c r="BT1" s="298" t="s">
        <v>9</v>
      </c>
      <c r="BU1" s="298" t="s">
        <v>10</v>
      </c>
      <c r="BV1" s="298" t="s">
        <v>11</v>
      </c>
      <c r="BW1" s="298" t="s">
        <v>12</v>
      </c>
      <c r="BX1" s="298" t="s">
        <v>13</v>
      </c>
      <c r="BY1" s="298" t="s">
        <v>14</v>
      </c>
      <c r="BZ1" s="298" t="s">
        <v>15</v>
      </c>
      <c r="CA1" s="298" t="s">
        <v>16</v>
      </c>
      <c r="CB1" s="298" t="s">
        <v>17</v>
      </c>
      <c r="CC1" s="298" t="s">
        <v>18</v>
      </c>
      <c r="CD1" s="298" t="s">
        <v>19</v>
      </c>
      <c r="CE1" s="298" t="s">
        <v>20</v>
      </c>
      <c r="CF1" s="298" t="s">
        <v>23</v>
      </c>
      <c r="CG1" s="295" t="s">
        <v>50</v>
      </c>
      <c r="CH1" s="295" t="s">
        <v>51</v>
      </c>
      <c r="CI1" s="296" t="s">
        <v>79</v>
      </c>
      <c r="CJ1" s="296" t="s">
        <v>80</v>
      </c>
      <c r="CK1" s="295" t="s">
        <v>48</v>
      </c>
      <c r="CL1" s="295" t="s">
        <v>49</v>
      </c>
      <c r="CM1" s="295" t="s">
        <v>97</v>
      </c>
      <c r="CP1" s="74" t="s">
        <v>44</v>
      </c>
      <c r="CQ1" s="75"/>
      <c r="CR1" s="294" t="s">
        <v>0</v>
      </c>
      <c r="CS1" s="294" t="s">
        <v>1</v>
      </c>
      <c r="CT1" s="294" t="s">
        <v>2</v>
      </c>
      <c r="CU1" s="294" t="s">
        <v>3</v>
      </c>
      <c r="CV1" s="294" t="s">
        <v>4</v>
      </c>
      <c r="CW1" s="294" t="s">
        <v>5</v>
      </c>
      <c r="CX1" s="294" t="s">
        <v>6</v>
      </c>
      <c r="CY1" s="294" t="s">
        <v>7</v>
      </c>
      <c r="CZ1" s="294" t="s">
        <v>8</v>
      </c>
      <c r="DA1" s="294" t="s">
        <v>9</v>
      </c>
      <c r="DB1" s="294" t="s">
        <v>10</v>
      </c>
      <c r="DC1" s="294" t="s">
        <v>11</v>
      </c>
      <c r="DD1" s="294" t="s">
        <v>12</v>
      </c>
      <c r="DE1" s="294" t="s">
        <v>13</v>
      </c>
      <c r="DF1" s="294" t="s">
        <v>14</v>
      </c>
      <c r="DG1" s="294" t="s">
        <v>15</v>
      </c>
      <c r="DH1" s="294" t="s">
        <v>16</v>
      </c>
      <c r="DI1" s="294" t="s">
        <v>17</v>
      </c>
      <c r="DJ1" s="294" t="s">
        <v>18</v>
      </c>
      <c r="DK1" s="294" t="s">
        <v>19</v>
      </c>
      <c r="DL1" s="294" t="s">
        <v>20</v>
      </c>
      <c r="DM1" s="294" t="s">
        <v>23</v>
      </c>
      <c r="DN1" s="291" t="s">
        <v>50</v>
      </c>
      <c r="DO1" s="291" t="s">
        <v>51</v>
      </c>
      <c r="DP1" s="292" t="s">
        <v>79</v>
      </c>
      <c r="DQ1" s="292" t="s">
        <v>80</v>
      </c>
      <c r="DR1" s="291" t="s">
        <v>48</v>
      </c>
      <c r="DS1" s="291" t="s">
        <v>49</v>
      </c>
      <c r="DT1" s="291" t="s">
        <v>97</v>
      </c>
      <c r="DV1" s="311" t="s">
        <v>461</v>
      </c>
      <c r="DW1" s="312"/>
      <c r="DX1" s="307">
        <f>DW17</f>
        <v>101</v>
      </c>
      <c r="DY1" s="308"/>
      <c r="DZ1" s="304" t="s">
        <v>0</v>
      </c>
      <c r="EA1" s="304" t="s">
        <v>1</v>
      </c>
      <c r="EB1" s="304" t="s">
        <v>2</v>
      </c>
      <c r="EC1" s="304" t="s">
        <v>3</v>
      </c>
      <c r="ED1" s="304" t="s">
        <v>4</v>
      </c>
      <c r="EE1" s="304" t="s">
        <v>5</v>
      </c>
      <c r="EF1" s="304" t="s">
        <v>6</v>
      </c>
      <c r="EG1" s="304" t="s">
        <v>7</v>
      </c>
      <c r="EH1" s="304" t="s">
        <v>8</v>
      </c>
      <c r="EI1" s="304" t="s">
        <v>9</v>
      </c>
      <c r="EJ1" s="304" t="s">
        <v>10</v>
      </c>
      <c r="EK1" s="304" t="s">
        <v>11</v>
      </c>
      <c r="EL1" s="304" t="s">
        <v>12</v>
      </c>
      <c r="EM1" s="304" t="s">
        <v>13</v>
      </c>
      <c r="EN1" s="304" t="s">
        <v>14</v>
      </c>
      <c r="EO1" s="304" t="s">
        <v>15</v>
      </c>
      <c r="EP1" s="304" t="s">
        <v>16</v>
      </c>
      <c r="EQ1" s="304" t="s">
        <v>17</v>
      </c>
      <c r="ER1" s="304" t="s">
        <v>18</v>
      </c>
      <c r="ES1" s="304" t="s">
        <v>19</v>
      </c>
      <c r="ET1" s="304" t="s">
        <v>20</v>
      </c>
      <c r="EU1" s="304" t="s">
        <v>23</v>
      </c>
      <c r="EV1" s="306" t="s">
        <v>50</v>
      </c>
      <c r="EW1" s="306" t="s">
        <v>51</v>
      </c>
      <c r="EX1" s="313" t="s">
        <v>79</v>
      </c>
      <c r="EY1" s="313" t="s">
        <v>80</v>
      </c>
      <c r="EZ1" s="306" t="s">
        <v>48</v>
      </c>
      <c r="FA1" s="306" t="s">
        <v>49</v>
      </c>
      <c r="FB1" s="306" t="s">
        <v>97</v>
      </c>
    </row>
    <row r="2" spans="1:158" x14ac:dyDescent="0.15">
      <c r="A2" s="7" t="s">
        <v>56</v>
      </c>
      <c r="B2" s="26"/>
      <c r="C2" s="27"/>
      <c r="D2" s="303"/>
      <c r="E2" s="303"/>
      <c r="F2" s="303"/>
      <c r="G2" s="303"/>
      <c r="H2" s="303"/>
      <c r="I2" s="303"/>
      <c r="J2" s="303"/>
      <c r="K2" s="303"/>
      <c r="L2" s="303"/>
      <c r="M2" s="303"/>
      <c r="N2" s="303"/>
      <c r="O2" s="303"/>
      <c r="P2" s="303"/>
      <c r="Q2" s="303"/>
      <c r="R2" s="303"/>
      <c r="S2" s="303"/>
      <c r="T2" s="303"/>
      <c r="U2" s="303"/>
      <c r="V2" s="303"/>
      <c r="W2" s="303"/>
      <c r="X2" s="303"/>
      <c r="Y2" s="303"/>
      <c r="Z2" s="300"/>
      <c r="AA2" s="300"/>
      <c r="AB2" s="302"/>
      <c r="AC2" s="302"/>
      <c r="AD2" s="300"/>
      <c r="AE2" s="300"/>
      <c r="AF2" s="300"/>
      <c r="AI2" s="43"/>
      <c r="AJ2" s="44"/>
      <c r="AK2" s="45"/>
      <c r="AL2" s="305"/>
      <c r="AM2" s="299"/>
      <c r="AN2" s="299"/>
      <c r="AO2" s="299"/>
      <c r="AP2" s="299"/>
      <c r="AQ2" s="299"/>
      <c r="AR2" s="299"/>
      <c r="AS2" s="299"/>
      <c r="AT2" s="299"/>
      <c r="AU2" s="299"/>
      <c r="AV2" s="299"/>
      <c r="AW2" s="299"/>
      <c r="AX2" s="299"/>
      <c r="AY2" s="299"/>
      <c r="AZ2" s="299"/>
      <c r="BA2" s="299"/>
      <c r="BB2" s="299"/>
      <c r="BC2" s="299"/>
      <c r="BD2" s="299"/>
      <c r="BE2" s="299"/>
      <c r="BF2" s="299"/>
      <c r="BH2" s="7" t="s">
        <v>56</v>
      </c>
      <c r="BI2" s="58" t="s">
        <v>116</v>
      </c>
      <c r="BJ2" s="59"/>
      <c r="BK2" s="298"/>
      <c r="BL2" s="298"/>
      <c r="BM2" s="298"/>
      <c r="BN2" s="298"/>
      <c r="BO2" s="298"/>
      <c r="BP2" s="298"/>
      <c r="BQ2" s="298"/>
      <c r="BR2" s="298"/>
      <c r="BS2" s="298"/>
      <c r="BT2" s="298"/>
      <c r="BU2" s="298"/>
      <c r="BV2" s="298"/>
      <c r="BW2" s="298"/>
      <c r="BX2" s="298"/>
      <c r="BY2" s="298"/>
      <c r="BZ2" s="298"/>
      <c r="CA2" s="298"/>
      <c r="CB2" s="298"/>
      <c r="CC2" s="298"/>
      <c r="CD2" s="298"/>
      <c r="CE2" s="298"/>
      <c r="CF2" s="298"/>
      <c r="CG2" s="295"/>
      <c r="CH2" s="295"/>
      <c r="CI2" s="297"/>
      <c r="CJ2" s="297"/>
      <c r="CK2" s="295"/>
      <c r="CL2" s="295"/>
      <c r="CM2" s="295"/>
      <c r="CO2" s="7" t="s">
        <v>56</v>
      </c>
      <c r="CP2" s="76" t="s">
        <v>117</v>
      </c>
      <c r="CQ2" s="77"/>
      <c r="CR2" s="294"/>
      <c r="CS2" s="294"/>
      <c r="CT2" s="294"/>
      <c r="CU2" s="294"/>
      <c r="CV2" s="294"/>
      <c r="CW2" s="294"/>
      <c r="CX2" s="294"/>
      <c r="CY2" s="294"/>
      <c r="CZ2" s="294"/>
      <c r="DA2" s="294"/>
      <c r="DB2" s="294"/>
      <c r="DC2" s="294"/>
      <c r="DD2" s="294"/>
      <c r="DE2" s="294"/>
      <c r="DF2" s="294"/>
      <c r="DG2" s="294"/>
      <c r="DH2" s="294"/>
      <c r="DI2" s="294"/>
      <c r="DJ2" s="294"/>
      <c r="DK2" s="294"/>
      <c r="DL2" s="294"/>
      <c r="DM2" s="294"/>
      <c r="DN2" s="291"/>
      <c r="DO2" s="291"/>
      <c r="DP2" s="293"/>
      <c r="DQ2" s="293"/>
      <c r="DR2" s="291"/>
      <c r="DS2" s="291"/>
      <c r="DT2" s="291"/>
      <c r="DV2" s="311"/>
      <c r="DW2" s="312"/>
      <c r="DX2" s="309"/>
      <c r="DY2" s="310"/>
      <c r="DZ2" s="304"/>
      <c r="EA2" s="304"/>
      <c r="EB2" s="304"/>
      <c r="EC2" s="304"/>
      <c r="ED2" s="304"/>
      <c r="EE2" s="304"/>
      <c r="EF2" s="304"/>
      <c r="EG2" s="304"/>
      <c r="EH2" s="304"/>
      <c r="EI2" s="304"/>
      <c r="EJ2" s="304"/>
      <c r="EK2" s="304"/>
      <c r="EL2" s="304"/>
      <c r="EM2" s="304"/>
      <c r="EN2" s="304"/>
      <c r="EO2" s="304"/>
      <c r="EP2" s="304"/>
      <c r="EQ2" s="304"/>
      <c r="ER2" s="304"/>
      <c r="ES2" s="304"/>
      <c r="ET2" s="304"/>
      <c r="EU2" s="304"/>
      <c r="EV2" s="306"/>
      <c r="EW2" s="306"/>
      <c r="EX2" s="314"/>
      <c r="EY2" s="314"/>
      <c r="EZ2" s="306"/>
      <c r="FA2" s="306"/>
      <c r="FB2" s="306"/>
    </row>
    <row r="3" spans="1:158" x14ac:dyDescent="0.15">
      <c r="A3" s="7" t="str">
        <f>B3&amp;"_"&amp;IF(C3="男性",1,IF(C3="女性",2,IF(C3="合計",3)))</f>
        <v>2005_1</v>
      </c>
      <c r="B3" s="28">
        <v>2005</v>
      </c>
      <c r="C3" s="3" t="s">
        <v>21</v>
      </c>
      <c r="D3" s="184">
        <v>507.32708022188342</v>
      </c>
      <c r="E3" s="9">
        <v>472.31325651339233</v>
      </c>
      <c r="F3" s="9">
        <v>543.33318020728302</v>
      </c>
      <c r="G3" s="9">
        <v>445.2756369740822</v>
      </c>
      <c r="H3" s="9">
        <v>449.36120235719289</v>
      </c>
      <c r="I3" s="9">
        <v>598.50910019490107</v>
      </c>
      <c r="J3" s="9">
        <v>689.58084658089854</v>
      </c>
      <c r="K3" s="9">
        <v>541.37044291924133</v>
      </c>
      <c r="L3" s="9">
        <v>569.45914556541243</v>
      </c>
      <c r="M3" s="9">
        <v>631.42774830513838</v>
      </c>
      <c r="N3" s="9">
        <v>597.33339266210601</v>
      </c>
      <c r="O3" s="9">
        <v>609.44223980028232</v>
      </c>
      <c r="P3" s="9">
        <v>446.30472068876855</v>
      </c>
      <c r="Q3" s="9">
        <v>440.25777476914647</v>
      </c>
      <c r="R3" s="9">
        <v>382.227700927341</v>
      </c>
      <c r="S3" s="9">
        <v>311.22491365391005</v>
      </c>
      <c r="T3" s="9">
        <v>174.17546695842287</v>
      </c>
      <c r="U3" s="9">
        <v>81.045586954855295</v>
      </c>
      <c r="V3" s="9">
        <v>25.03056374574183</v>
      </c>
      <c r="W3" s="9">
        <v>3</v>
      </c>
      <c r="X3" s="9">
        <v>0</v>
      </c>
      <c r="Y3" s="9">
        <f>SUM(D3:X3)</f>
        <v>8518</v>
      </c>
      <c r="Z3" s="9">
        <f>E3*3/5+F3*3/5</f>
        <v>609.38786203240522</v>
      </c>
      <c r="AA3" s="9">
        <f>F3*2/5+G3*1/5</f>
        <v>306.38839947772965</v>
      </c>
      <c r="AB3" s="9">
        <f t="shared" ref="AB3:AB20" si="0">SUM(Q3:X3)</f>
        <v>1416.9620070094174</v>
      </c>
      <c r="AC3" s="9">
        <f>SUM(S3:X3)</f>
        <v>594.47653131292998</v>
      </c>
      <c r="AD3" s="13">
        <f>AB3/Y3</f>
        <v>0.16634914381420726</v>
      </c>
      <c r="AE3" s="13">
        <f>AC3/Y3</f>
        <v>6.9790623539907254E-2</v>
      </c>
      <c r="AF3" s="9">
        <f>SUM(H3:K3)</f>
        <v>2278.8215920522339</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0.99215259406230139</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1.0132141725511894</v>
      </c>
      <c r="AO3" s="6">
        <f t="shared" si="1"/>
        <v>0.98492268908467751</v>
      </c>
      <c r="AP3" s="6">
        <f t="shared" si="1"/>
        <v>0.90348643815470542</v>
      </c>
      <c r="AQ3" s="6">
        <f t="shared" si="1"/>
        <v>0.90694477682853569</v>
      </c>
      <c r="AR3" s="6">
        <f t="shared" si="1"/>
        <v>1.0465436470312244</v>
      </c>
      <c r="AS3" s="6">
        <f t="shared" si="1"/>
        <v>1.0081593615666373</v>
      </c>
      <c r="AT3" s="6">
        <f t="shared" si="1"/>
        <v>0.99102310984966413</v>
      </c>
      <c r="AU3" s="6">
        <f t="shared" si="1"/>
        <v>1.0803214169736135</v>
      </c>
      <c r="AV3" s="6">
        <f t="shared" si="1"/>
        <v>0.9944568883882442</v>
      </c>
      <c r="AW3" s="6">
        <f t="shared" si="1"/>
        <v>0.99747745405357213</v>
      </c>
      <c r="AX3" s="6">
        <f t="shared" si="1"/>
        <v>1.0237050831007333</v>
      </c>
      <c r="AY3" s="6">
        <f t="shared" si="1"/>
        <v>0.9898210937968227</v>
      </c>
      <c r="AZ3" s="6">
        <f t="shared" si="1"/>
        <v>0.91149980477548387</v>
      </c>
      <c r="BA3" s="6">
        <f t="shared" si="1"/>
        <v>0.85827429140014388</v>
      </c>
      <c r="BB3" s="6">
        <f t="shared" si="1"/>
        <v>0.79336983824734619</v>
      </c>
      <c r="BC3" s="6">
        <f t="shared" si="1"/>
        <v>0.64583469470964572</v>
      </c>
      <c r="BD3" s="6">
        <f t="shared" si="1"/>
        <v>0.51819657336532288</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0.11718814560632335</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395.35444380970716</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378.95635762968254</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421.321591258453</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531.60586415004423</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448.68990505089391</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408.32398100774788</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520.68051850382074</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535.69663611303065</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594.52230458279485</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623.3958735818602</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694.26790301329197</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537.36251093484475</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553.09975290593502</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592.72414283470255</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507.06971798368875</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468.43164087831406</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260.66899124854615</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168.94338443177534</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66.26358680187856</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8.530134274878785</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5.9020584504191315E-2</v>
      </c>
      <c r="CF3" s="9">
        <f t="shared" ref="CF3:CF14" si="2">SUM(BK3:CE3)</f>
        <v>8715.9682615803958</v>
      </c>
      <c r="CG3" s="9">
        <f>BL3*3/5+BM3*3/5</f>
        <v>480.1667693328813</v>
      </c>
      <c r="CH3" s="9">
        <f>BM3*2/5+BN3*1/5</f>
        <v>274.84980933339006</v>
      </c>
      <c r="CI3" s="9">
        <f t="shared" ref="CI3:CI14" si="3">SUM(BX3:CE3)</f>
        <v>2072.6906190382883</v>
      </c>
      <c r="CJ3" s="9">
        <f>SUM(BZ3:CE3)</f>
        <v>972.89675821989715</v>
      </c>
      <c r="CK3" s="13">
        <f>CI3/CF3</f>
        <v>0.23780382819595813</v>
      </c>
      <c r="CL3" s="13">
        <f>CJ3/CF3</f>
        <v>0.11162233833599225</v>
      </c>
      <c r="CM3" s="9">
        <f>SUM(BO3:BR3)</f>
        <v>1913.3910406754931</v>
      </c>
      <c r="CO3" s="7" t="str">
        <f>CP3&amp;"_"&amp;IF(CQ3="男性",1,IF(CQ3="女性",2,IF(CQ3="合計",3)))</f>
        <v>2025_1</v>
      </c>
      <c r="CP3" s="28">
        <f>管理者入力シート!B8</f>
        <v>2025</v>
      </c>
      <c r="CQ3" s="3" t="s">
        <v>21</v>
      </c>
      <c r="CR3" s="9">
        <f>BK3+将来予測シート②!$G17</f>
        <v>396.35444380970716</v>
      </c>
      <c r="CS3" s="9">
        <f>BL3+将来予測シート②!$G18</f>
        <v>378.95635762968254</v>
      </c>
      <c r="CT3" s="9">
        <f>BM3+将来予測シート②!$G19</f>
        <v>422.321591258453</v>
      </c>
      <c r="CU3" s="9">
        <f>BN3+将来予測シート②!$G20</f>
        <v>531.60586415004423</v>
      </c>
      <c r="CV3" s="9">
        <f>BO3+将来予測シート②!$G21</f>
        <v>448.68990505089391</v>
      </c>
      <c r="CW3" s="9">
        <f>BP3+将来予測シート②!$G22</f>
        <v>410.32398100774788</v>
      </c>
      <c r="CX3" s="9">
        <f>BQ3+将来予測シート②!$G23</f>
        <v>520.68051850382074</v>
      </c>
      <c r="CY3" s="9">
        <f>BR3+将来予測シート②!$G24</f>
        <v>535.69663611303065</v>
      </c>
      <c r="CZ3" s="9">
        <f>BS3+将来予測シート②!$G25</f>
        <v>594.52230458279485</v>
      </c>
      <c r="DA3" s="9">
        <f>BT3+将来予測シート②!$G26</f>
        <v>623.3958735818602</v>
      </c>
      <c r="DB3" s="9">
        <f>BU3+将来予測シート②!$G27</f>
        <v>694.26790301329197</v>
      </c>
      <c r="DC3" s="9">
        <f>BV3+将来予測シート②!$G28</f>
        <v>537.36251093484475</v>
      </c>
      <c r="DD3" s="9">
        <f>BW3+将来予測シート②!$G29</f>
        <v>553.09975290593502</v>
      </c>
      <c r="DE3" s="9">
        <f>BX3</f>
        <v>592.72414283470255</v>
      </c>
      <c r="DF3" s="9">
        <f t="shared" ref="DF3:DL3" si="4">BY3</f>
        <v>507.06971798368875</v>
      </c>
      <c r="DG3" s="9">
        <f t="shared" si="4"/>
        <v>468.43164087831406</v>
      </c>
      <c r="DH3" s="9">
        <f t="shared" si="4"/>
        <v>260.66899124854615</v>
      </c>
      <c r="DI3" s="9">
        <f t="shared" si="4"/>
        <v>168.94338443177534</v>
      </c>
      <c r="DJ3" s="9">
        <f t="shared" si="4"/>
        <v>66.26358680187856</v>
      </c>
      <c r="DK3" s="9">
        <f t="shared" si="4"/>
        <v>8.530134274878785</v>
      </c>
      <c r="DL3" s="9">
        <f t="shared" si="4"/>
        <v>5.9020584504191315E-2</v>
      </c>
      <c r="DM3" s="9">
        <f t="shared" ref="DM3:DM4" si="5">SUM(CR3:DL3)</f>
        <v>8719.9682615803958</v>
      </c>
      <c r="DN3" s="9">
        <f>CS3*3/5+CT3*3/5</f>
        <v>480.76676933288132</v>
      </c>
      <c r="DO3" s="9">
        <f>CT3*2/5+CU3*1/5</f>
        <v>275.24980933339003</v>
      </c>
      <c r="DP3" s="9">
        <f t="shared" ref="DP3:DP14" si="6">SUM(DE3:DL3)</f>
        <v>2072.6906190382883</v>
      </c>
      <c r="DQ3" s="9">
        <f>SUM(DG3:DL3)</f>
        <v>972.89675821989715</v>
      </c>
      <c r="DR3" s="13">
        <f>DP3/DM3</f>
        <v>0.237694743474059</v>
      </c>
      <c r="DS3" s="13">
        <f>DQ3/DM3</f>
        <v>0.1115711352421334</v>
      </c>
      <c r="DT3" s="9">
        <f>SUM(CV3:CY3)</f>
        <v>1915.3910406754931</v>
      </c>
      <c r="DV3" s="311"/>
      <c r="DW3" s="312"/>
      <c r="DX3" s="28">
        <f>管理者入力シート!B8</f>
        <v>2025</v>
      </c>
      <c r="DY3" s="3" t="s">
        <v>21</v>
      </c>
      <c r="DZ3" s="9">
        <f>BK$3</f>
        <v>395.35444380970716</v>
      </c>
      <c r="EA3" s="9">
        <f>BL$3</f>
        <v>378.95635762968254</v>
      </c>
      <c r="EB3" s="9">
        <f t="shared" ref="EB3:ED3" si="7">BM$3</f>
        <v>421.321591258453</v>
      </c>
      <c r="EC3" s="9">
        <f t="shared" si="7"/>
        <v>531.60586415004423</v>
      </c>
      <c r="ED3" s="9">
        <f t="shared" si="7"/>
        <v>448.68990505089391</v>
      </c>
      <c r="EE3" s="9">
        <f>BP$3+DX1</f>
        <v>509.32398100774788</v>
      </c>
      <c r="EF3" s="9">
        <f>BQ$3+DX1</f>
        <v>621.68051850382074</v>
      </c>
      <c r="EG3" s="9">
        <f>BR$3+DX1</f>
        <v>636.69663611303065</v>
      </c>
      <c r="EH3" s="9">
        <f t="shared" ref="EH3:ET3" si="8">BS$3</f>
        <v>594.52230458279485</v>
      </c>
      <c r="EI3" s="9">
        <f t="shared" si="8"/>
        <v>623.3958735818602</v>
      </c>
      <c r="EJ3" s="9">
        <f t="shared" si="8"/>
        <v>694.26790301329197</v>
      </c>
      <c r="EK3" s="9">
        <f t="shared" si="8"/>
        <v>537.36251093484475</v>
      </c>
      <c r="EL3" s="9">
        <f t="shared" si="8"/>
        <v>553.09975290593502</v>
      </c>
      <c r="EM3" s="9">
        <f t="shared" si="8"/>
        <v>592.72414283470255</v>
      </c>
      <c r="EN3" s="9">
        <f t="shared" si="8"/>
        <v>507.06971798368875</v>
      </c>
      <c r="EO3" s="9">
        <f t="shared" si="8"/>
        <v>468.43164087831406</v>
      </c>
      <c r="EP3" s="9">
        <f t="shared" si="8"/>
        <v>260.66899124854615</v>
      </c>
      <c r="EQ3" s="9">
        <f t="shared" si="8"/>
        <v>168.94338443177534</v>
      </c>
      <c r="ER3" s="9">
        <f t="shared" si="8"/>
        <v>66.26358680187856</v>
      </c>
      <c r="ES3" s="9">
        <f t="shared" si="8"/>
        <v>8.530134274878785</v>
      </c>
      <c r="ET3" s="9">
        <f t="shared" si="8"/>
        <v>5.9020584504191315E-2</v>
      </c>
      <c r="EU3" s="9">
        <f t="shared" ref="EU3:EU4" si="9">SUM(DZ3:ET3)</f>
        <v>9018.9682615803958</v>
      </c>
      <c r="EV3" s="9">
        <f>EA3*3/5+EB3*3/5</f>
        <v>480.1667693328813</v>
      </c>
      <c r="EW3" s="9">
        <f>EB3*2/5+EC3*1/5</f>
        <v>274.84980933339006</v>
      </c>
      <c r="EX3" s="9">
        <f t="shared" ref="EX3:EX14" si="10">SUM(EM3:ET3)</f>
        <v>2072.6906190382883</v>
      </c>
      <c r="EY3" s="9">
        <f>SUM(EO3:ET3)</f>
        <v>972.89675821989715</v>
      </c>
      <c r="EZ3" s="13">
        <f>EX3/EU3</f>
        <v>0.22981460394618244</v>
      </c>
      <c r="FA3" s="13">
        <f>EY3/EU3</f>
        <v>0.10787228982325038</v>
      </c>
      <c r="FB3" s="9">
        <f>SUM(ED3:EG3)</f>
        <v>2216.3910406754931</v>
      </c>
    </row>
    <row r="4" spans="1:158" x14ac:dyDescent="0.15">
      <c r="A4" s="7" t="str">
        <f t="shared" ref="A4:A14" si="11">B4&amp;"_"&amp;IF(C4="男性",1,IF(C4="女性",2,IF(C4="合計",3)))</f>
        <v>2005_2</v>
      </c>
      <c r="B4" s="29">
        <v>2005</v>
      </c>
      <c r="C4" s="4" t="s">
        <v>22</v>
      </c>
      <c r="D4" s="10">
        <v>504.18049337436076</v>
      </c>
      <c r="E4" s="10">
        <v>439.20848900911938</v>
      </c>
      <c r="F4" s="10">
        <v>447.20266771503759</v>
      </c>
      <c r="G4" s="10">
        <v>526.16982798291497</v>
      </c>
      <c r="H4" s="10">
        <v>610.1973151901974</v>
      </c>
      <c r="I4" s="10">
        <v>642.21252167227317</v>
      </c>
      <c r="J4" s="10">
        <v>707.29251476145112</v>
      </c>
      <c r="K4" s="10">
        <v>593.22198889083325</v>
      </c>
      <c r="L4" s="10">
        <v>602.27237984243652</v>
      </c>
      <c r="M4" s="10">
        <v>629.29821165263445</v>
      </c>
      <c r="N4" s="10">
        <v>636.27008108265761</v>
      </c>
      <c r="O4" s="10">
        <v>634.33608453725844</v>
      </c>
      <c r="P4" s="10">
        <v>533.21118503989317</v>
      </c>
      <c r="Q4" s="10">
        <v>480.20652939003287</v>
      </c>
      <c r="R4" s="10">
        <v>521.24567555108342</v>
      </c>
      <c r="S4" s="10">
        <v>460.20683069539234</v>
      </c>
      <c r="T4" s="10">
        <v>342.15965173669849</v>
      </c>
      <c r="U4" s="10">
        <v>208.07135768081565</v>
      </c>
      <c r="V4" s="10">
        <v>85.03018907134107</v>
      </c>
      <c r="W4" s="10">
        <v>42.005112266425556</v>
      </c>
      <c r="X4" s="10">
        <v>6.0008928571428575</v>
      </c>
      <c r="Y4" s="10">
        <f>SUM(D4:X4)</f>
        <v>9650</v>
      </c>
      <c r="Z4" s="10">
        <f t="shared" ref="Z4:Z11" si="12">E4*3/5+F4*3/5</f>
        <v>531.84669403449425</v>
      </c>
      <c r="AA4" s="10">
        <f t="shared" ref="AA4:AA11" si="13">F4*2/5+G4*1/5</f>
        <v>284.11503268259804</v>
      </c>
      <c r="AB4" s="10">
        <f t="shared" si="0"/>
        <v>2144.9262392489322</v>
      </c>
      <c r="AC4" s="10">
        <f t="shared" ref="AC4:AC11" si="14">SUM(S4:X4)</f>
        <v>1143.4740343078161</v>
      </c>
      <c r="AD4" s="14">
        <f t="shared" ref="AD4:AD11" si="15">AB4/Y4</f>
        <v>0.22227214914496707</v>
      </c>
      <c r="AE4" s="14">
        <f t="shared" ref="AE4:AE11" si="16">AC4/Y4</f>
        <v>0.11849471858112083</v>
      </c>
      <c r="AF4" s="10">
        <f t="shared" ref="AF4:AF20" si="17">SUM(H4:K4)</f>
        <v>2552.9243405147545</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0.96887432579987598</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1.0507099003981868</v>
      </c>
      <c r="AO4" s="193">
        <f t="shared" si="18"/>
        <v>1.096108483769118</v>
      </c>
      <c r="AP4" s="193">
        <f t="shared" si="18"/>
        <v>1.0407908147907878</v>
      </c>
      <c r="AQ4" s="193">
        <f t="shared" si="18"/>
        <v>1.1126373554775795</v>
      </c>
      <c r="AR4" s="193">
        <f t="shared" si="18"/>
        <v>0.93728106418553403</v>
      </c>
      <c r="AS4" s="193">
        <f t="shared" si="18"/>
        <v>0.98000285358023986</v>
      </c>
      <c r="AT4" s="193">
        <f t="shared" si="18"/>
        <v>1.0230675683063</v>
      </c>
      <c r="AU4" s="193">
        <f t="shared" si="18"/>
        <v>1.0004260982450679</v>
      </c>
      <c r="AV4" s="193">
        <f t="shared" si="18"/>
        <v>0.98690207400397212</v>
      </c>
      <c r="AW4" s="193">
        <f t="shared" si="18"/>
        <v>0.97373420880478923</v>
      </c>
      <c r="AX4" s="193">
        <f t="shared" si="18"/>
        <v>1.0129640221800238</v>
      </c>
      <c r="AY4" s="193">
        <f t="shared" si="18"/>
        <v>0.98054174194534782</v>
      </c>
      <c r="AZ4" s="193">
        <f t="shared" si="18"/>
        <v>0.96261701207376482</v>
      </c>
      <c r="BA4" s="193">
        <f t="shared" si="18"/>
        <v>1.0061716837019539</v>
      </c>
      <c r="BB4" s="193">
        <f t="shared" si="18"/>
        <v>0.91180474309496828</v>
      </c>
      <c r="BC4" s="193">
        <f t="shared" si="18"/>
        <v>0.80344728835415224</v>
      </c>
      <c r="BD4" s="193">
        <f t="shared" si="18"/>
        <v>0.61998128319189327</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0.33319286548692301</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0.18866795401141964</v>
      </c>
      <c r="BH4" s="7" t="str">
        <f t="shared" ref="BH4:BH20" si="19">BI4&amp;"_"&amp;IF(BJ4="男性",1,IF(BJ4="女性",2,IF(BJ4="合計",3)))</f>
        <v>2025_2</v>
      </c>
      <c r="BI4" s="29">
        <f>BI3</f>
        <v>2025</v>
      </c>
      <c r="BJ4" s="4" t="s">
        <v>22</v>
      </c>
      <c r="BK4" s="10">
        <f>CM4*AK$14</f>
        <v>393.56903030533346</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384.58828156659501</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493.18749594342404</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566.46841416035318</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518.72026814975266</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559.47293442106889</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518.51973147586386</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571.85562232145367</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595.9769754158109</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662.8153894276594</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727.17258487600316</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602.16834638518094</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605.52800317386743</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612.40343787655445</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574.19157207464377</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576.10083004813634</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424.3416200585205</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285.07420070812327</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181.49707987896426</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60.359415465423822</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10.171922315494967</v>
      </c>
      <c r="CF4" s="10">
        <f t="shared" si="2"/>
        <v>9924.1831560482278</v>
      </c>
      <c r="CG4" s="10">
        <f t="shared" ref="CG4:CG14" si="20">BL4*3/5+BM4*3/5</f>
        <v>526.6654665060114</v>
      </c>
      <c r="CH4" s="10">
        <f t="shared" ref="CH4:CH14" si="21">BM4*2/5+BN4*1/5</f>
        <v>310.56868120944023</v>
      </c>
      <c r="CI4" s="10">
        <f t="shared" si="3"/>
        <v>2724.1400784258617</v>
      </c>
      <c r="CJ4" s="10">
        <f t="shared" ref="CJ4:CJ14" si="22">SUM(BZ4:CE4)</f>
        <v>1537.5450684746634</v>
      </c>
      <c r="CK4" s="14">
        <f t="shared" ref="CK4:CK14" si="23">CI4/CF4</f>
        <v>0.2744951433877611</v>
      </c>
      <c r="CL4" s="14">
        <f t="shared" ref="CL4:CL14" si="24">CJ4/CF4</f>
        <v>0.15492913061944213</v>
      </c>
      <c r="CM4" s="10">
        <f t="shared" ref="CM4:CM14" si="25">SUM(BO4:BR4)</f>
        <v>2168.5685563681391</v>
      </c>
      <c r="CO4" s="7" t="str">
        <f t="shared" ref="CO4:CO20" si="26">CP4&amp;"_"&amp;IF(CQ4="男性",1,IF(CQ4="女性",2,IF(CQ4="合計",3)))</f>
        <v>2025_2</v>
      </c>
      <c r="CP4" s="29">
        <f>CP3</f>
        <v>2025</v>
      </c>
      <c r="CQ4" s="4" t="s">
        <v>22</v>
      </c>
      <c r="CR4" s="10">
        <f>BK4+将来予測シート②!$H17</f>
        <v>394.56903030533346</v>
      </c>
      <c r="CS4" s="10">
        <f>BL4+将来予測シート②!$H18</f>
        <v>384.58828156659501</v>
      </c>
      <c r="CT4" s="10">
        <f>BM4+将来予測シート②!$H19</f>
        <v>494.18749594342404</v>
      </c>
      <c r="CU4" s="10">
        <f>BN4+将来予測シート②!$H20</f>
        <v>566.46841416035318</v>
      </c>
      <c r="CV4" s="10">
        <f>BO4+将来予測シート②!$H21</f>
        <v>518.72026814975266</v>
      </c>
      <c r="CW4" s="10">
        <f>BP4+将来予測シート②!$H22</f>
        <v>561.47293442106889</v>
      </c>
      <c r="CX4" s="10">
        <f>BQ4+将来予測シート②!$H23</f>
        <v>518.51973147586386</v>
      </c>
      <c r="CY4" s="10">
        <f>BR4+将来予測シート②!$H24</f>
        <v>571.85562232145367</v>
      </c>
      <c r="CZ4" s="10">
        <f>BS4+将来予測シート②!$H25</f>
        <v>596.9769754158109</v>
      </c>
      <c r="DA4" s="10">
        <f>BT4+将来予測シート②!$H26</f>
        <v>662.8153894276594</v>
      </c>
      <c r="DB4" s="10">
        <f>BU4+将来予測シート②!$H27</f>
        <v>727.17258487600316</v>
      </c>
      <c r="DC4" s="10">
        <f>BV4+将来予測シート②!$H28</f>
        <v>602.16834638518094</v>
      </c>
      <c r="DD4" s="10">
        <f>BW4+将来予測シート②!$H29</f>
        <v>605.52800317386743</v>
      </c>
      <c r="DE4" s="10">
        <f>BX4</f>
        <v>612.40343787655445</v>
      </c>
      <c r="DF4" s="10">
        <f t="shared" ref="DF4" si="27">BY4</f>
        <v>574.19157207464377</v>
      </c>
      <c r="DG4" s="10">
        <f t="shared" ref="DG4" si="28">BZ4</f>
        <v>576.10083004813634</v>
      </c>
      <c r="DH4" s="10">
        <f t="shared" ref="DH4" si="29">CA4</f>
        <v>424.3416200585205</v>
      </c>
      <c r="DI4" s="10">
        <f t="shared" ref="DI4" si="30">CB4</f>
        <v>285.07420070812327</v>
      </c>
      <c r="DJ4" s="10">
        <f t="shared" ref="DJ4" si="31">CC4</f>
        <v>181.49707987896426</v>
      </c>
      <c r="DK4" s="10">
        <f t="shared" ref="DK4" si="32">CD4</f>
        <v>60.359415465423822</v>
      </c>
      <c r="DL4" s="10">
        <f t="shared" ref="DL4" si="33">CE4</f>
        <v>10.171922315494967</v>
      </c>
      <c r="DM4" s="10">
        <f t="shared" si="5"/>
        <v>9929.1831560482278</v>
      </c>
      <c r="DN4" s="10">
        <f t="shared" ref="DN4:DN14" si="34">CS4*3/5+CT4*3/5</f>
        <v>527.26546650601142</v>
      </c>
      <c r="DO4" s="10">
        <f t="shared" ref="DO4:DO14" si="35">CT4*2/5+CU4*1/5</f>
        <v>310.96868120944021</v>
      </c>
      <c r="DP4" s="10">
        <f t="shared" si="6"/>
        <v>2724.1400784258617</v>
      </c>
      <c r="DQ4" s="10">
        <f t="shared" ref="DQ4:DQ14" si="36">SUM(DG4:DL4)</f>
        <v>1537.5450684746634</v>
      </c>
      <c r="DR4" s="14">
        <f t="shared" ref="DR4:DR14" si="37">DP4/DM4</f>
        <v>0.27435691693998904</v>
      </c>
      <c r="DS4" s="14">
        <f t="shared" ref="DS4:DS14" si="38">DQ4/DM4</f>
        <v>0.15485111356195383</v>
      </c>
      <c r="DT4" s="10">
        <f>SUM(CV4:CY4)</f>
        <v>2170.5685563681391</v>
      </c>
      <c r="DV4" s="311"/>
      <c r="DW4" s="312"/>
      <c r="DX4" s="29">
        <f>DX3</f>
        <v>2025</v>
      </c>
      <c r="DY4" s="4" t="s">
        <v>22</v>
      </c>
      <c r="DZ4" s="10">
        <f>BK$4</f>
        <v>393.56903030533346</v>
      </c>
      <c r="EA4" s="10">
        <f>BL$4</f>
        <v>384.58828156659501</v>
      </c>
      <c r="EB4" s="10">
        <f t="shared" ref="EB4:ED4" si="39">BM$4</f>
        <v>493.18749594342404</v>
      </c>
      <c r="EC4" s="10">
        <f t="shared" si="39"/>
        <v>566.46841416035318</v>
      </c>
      <c r="ED4" s="10">
        <f t="shared" si="39"/>
        <v>518.72026814975266</v>
      </c>
      <c r="EE4" s="10">
        <f>BP$4+DX1</f>
        <v>660.47293442106889</v>
      </c>
      <c r="EF4" s="10">
        <f>BQ$4+DX1</f>
        <v>619.51973147586386</v>
      </c>
      <c r="EG4" s="10">
        <f>BR$4+DX1</f>
        <v>672.85562232145367</v>
      </c>
      <c r="EH4" s="10">
        <f t="shared" ref="EH4:ET4" si="40">BS$4</f>
        <v>595.9769754158109</v>
      </c>
      <c r="EI4" s="10">
        <f t="shared" si="40"/>
        <v>662.8153894276594</v>
      </c>
      <c r="EJ4" s="10">
        <f t="shared" si="40"/>
        <v>727.17258487600316</v>
      </c>
      <c r="EK4" s="10">
        <f t="shared" si="40"/>
        <v>602.16834638518094</v>
      </c>
      <c r="EL4" s="10">
        <f t="shared" si="40"/>
        <v>605.52800317386743</v>
      </c>
      <c r="EM4" s="10">
        <f t="shared" si="40"/>
        <v>612.40343787655445</v>
      </c>
      <c r="EN4" s="10">
        <f t="shared" si="40"/>
        <v>574.19157207464377</v>
      </c>
      <c r="EO4" s="10">
        <f t="shared" si="40"/>
        <v>576.10083004813634</v>
      </c>
      <c r="EP4" s="10">
        <f t="shared" si="40"/>
        <v>424.3416200585205</v>
      </c>
      <c r="EQ4" s="10">
        <f t="shared" si="40"/>
        <v>285.07420070812327</v>
      </c>
      <c r="ER4" s="10">
        <f t="shared" si="40"/>
        <v>181.49707987896426</v>
      </c>
      <c r="ES4" s="10">
        <f t="shared" si="40"/>
        <v>60.359415465423822</v>
      </c>
      <c r="ET4" s="10">
        <f t="shared" si="40"/>
        <v>10.171922315494967</v>
      </c>
      <c r="EU4" s="10">
        <f t="shared" si="9"/>
        <v>10227.183156048224</v>
      </c>
      <c r="EV4" s="10">
        <f t="shared" ref="EV4:EV14" si="41">EA4*3/5+EB4*3/5</f>
        <v>526.6654665060114</v>
      </c>
      <c r="EW4" s="10">
        <f t="shared" ref="EW4:EW14" si="42">EB4*2/5+EC4*1/5</f>
        <v>310.56868120944023</v>
      </c>
      <c r="EX4" s="10">
        <f t="shared" si="10"/>
        <v>2724.1400784258617</v>
      </c>
      <c r="EY4" s="10">
        <f t="shared" ref="EY4:EY14" si="43">SUM(EO4:ET4)</f>
        <v>1537.5450684746634</v>
      </c>
      <c r="EZ4" s="14">
        <f t="shared" ref="EZ4:EZ14" si="44">EX4/EU4</f>
        <v>0.26636269604840707</v>
      </c>
      <c r="FA4" s="14">
        <f t="shared" ref="FA4:FA14" si="45">EY4/EU4</f>
        <v>0.15033905670941064</v>
      </c>
      <c r="FB4" s="10">
        <f>SUM(ED4:EG4)</f>
        <v>2471.5685563681391</v>
      </c>
    </row>
    <row r="5" spans="1:158" x14ac:dyDescent="0.15">
      <c r="A5" s="7" t="str">
        <f t="shared" si="11"/>
        <v>2005_3</v>
      </c>
      <c r="B5" s="30">
        <v>2005</v>
      </c>
      <c r="C5" s="5" t="s">
        <v>23</v>
      </c>
      <c r="D5" s="11">
        <v>1011.5075735962441</v>
      </c>
      <c r="E5" s="11">
        <v>911.52174552251176</v>
      </c>
      <c r="F5" s="11">
        <v>990.53584792232061</v>
      </c>
      <c r="G5" s="11">
        <v>971.44546495699717</v>
      </c>
      <c r="H5" s="11">
        <v>1059.5585175473902</v>
      </c>
      <c r="I5" s="11">
        <v>1240.7216218671742</v>
      </c>
      <c r="J5" s="11">
        <v>1396.8733613423497</v>
      </c>
      <c r="K5" s="11">
        <v>1134.5924318100747</v>
      </c>
      <c r="L5" s="11">
        <v>1171.7315254078489</v>
      </c>
      <c r="M5" s="11">
        <v>1260.7259599577728</v>
      </c>
      <c r="N5" s="11">
        <v>1233.6034737447635</v>
      </c>
      <c r="O5" s="11">
        <v>1243.7783243375407</v>
      </c>
      <c r="P5" s="11">
        <v>979.51590572866166</v>
      </c>
      <c r="Q5" s="11">
        <v>920.46430415917939</v>
      </c>
      <c r="R5" s="11">
        <v>903.47337647842437</v>
      </c>
      <c r="S5" s="11">
        <v>771.43174434930233</v>
      </c>
      <c r="T5" s="11">
        <v>516.33511869512131</v>
      </c>
      <c r="U5" s="11">
        <v>289.11694463567096</v>
      </c>
      <c r="V5" s="11">
        <v>110.0607528170829</v>
      </c>
      <c r="W5" s="11">
        <v>45.005112266425556</v>
      </c>
      <c r="X5" s="11">
        <v>6.0008928571428575</v>
      </c>
      <c r="Y5" s="11">
        <f>SUM(D5:X5)</f>
        <v>18168.000000000004</v>
      </c>
      <c r="Z5" s="11">
        <f t="shared" si="12"/>
        <v>1141.2345560668996</v>
      </c>
      <c r="AA5" s="11">
        <f t="shared" si="13"/>
        <v>590.50343216032763</v>
      </c>
      <c r="AB5" s="11">
        <f t="shared" si="0"/>
        <v>3561.8882462583492</v>
      </c>
      <c r="AC5" s="11">
        <f t="shared" si="14"/>
        <v>1737.9505656207459</v>
      </c>
      <c r="AD5" s="15">
        <f t="shared" si="15"/>
        <v>0.19605285371303108</v>
      </c>
      <c r="AE5" s="15">
        <f t="shared" si="16"/>
        <v>9.5659982695989965E-2</v>
      </c>
      <c r="AF5" s="11">
        <f t="shared" si="17"/>
        <v>4831.7459325669888</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0.86440802731698607</v>
      </c>
      <c r="AN5" s="6">
        <f t="shared" si="1"/>
        <v>0.9455394499750146</v>
      </c>
      <c r="AO5" s="6">
        <f t="shared" si="1"/>
        <v>0.99408658736277533</v>
      </c>
      <c r="AP5" s="6">
        <f t="shared" si="1"/>
        <v>1.073572924032123</v>
      </c>
      <c r="AQ5" s="6">
        <f t="shared" si="1"/>
        <v>1.1003386296624418</v>
      </c>
      <c r="AR5" s="6">
        <f t="shared" si="1"/>
        <v>0.96416137668145518</v>
      </c>
      <c r="AS5" s="6">
        <f t="shared" si="1"/>
        <v>0.96219603176606294</v>
      </c>
      <c r="AT5" s="6">
        <f t="shared" si="1"/>
        <v>0.98707249191602564</v>
      </c>
      <c r="AU5" s="6">
        <f t="shared" si="1"/>
        <v>0.9408345361948901</v>
      </c>
      <c r="AV5" s="6">
        <f t="shared" si="1"/>
        <v>0.95642728707337787</v>
      </c>
      <c r="AW5" s="6">
        <f t="shared" si="1"/>
        <v>0.94576188215378865</v>
      </c>
      <c r="AX5" s="6">
        <f t="shared" si="1"/>
        <v>0.94837265359332734</v>
      </c>
      <c r="AY5" s="6">
        <f t="shared" si="1"/>
        <v>0.94054419718802973</v>
      </c>
      <c r="AZ5" s="6">
        <f t="shared" si="1"/>
        <v>0.90434246008440489</v>
      </c>
      <c r="BA5" s="6">
        <f t="shared" si="1"/>
        <v>0.85042732896063455</v>
      </c>
      <c r="BB5" s="6">
        <f t="shared" si="1"/>
        <v>0.75775195320542144</v>
      </c>
      <c r="BC5" s="6">
        <f t="shared" si="1"/>
        <v>0.57803965592957995</v>
      </c>
      <c r="BD5" s="6">
        <f t="shared" si="1"/>
        <v>0.35266293898194179</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0.10047235881293123</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0.20007923477665643</v>
      </c>
      <c r="BH5" s="7" t="str">
        <f t="shared" si="19"/>
        <v>2025_3</v>
      </c>
      <c r="BI5" s="30">
        <f>BI4</f>
        <v>2025</v>
      </c>
      <c r="BJ5" s="5" t="s">
        <v>23</v>
      </c>
      <c r="BK5" s="16">
        <f>BK3+BK4</f>
        <v>788.92347411504056</v>
      </c>
      <c r="BL5" s="16">
        <f t="shared" ref="BL5:CE5" si="46">BL3+BL4</f>
        <v>763.54463919627756</v>
      </c>
      <c r="BM5" s="16">
        <f t="shared" si="46"/>
        <v>914.50908720187704</v>
      </c>
      <c r="BN5" s="16">
        <f t="shared" si="46"/>
        <v>1098.0742783103974</v>
      </c>
      <c r="BO5" s="16">
        <f t="shared" si="46"/>
        <v>967.41017320064657</v>
      </c>
      <c r="BP5" s="16">
        <f t="shared" si="46"/>
        <v>967.79691542881676</v>
      </c>
      <c r="BQ5" s="16">
        <f t="shared" si="46"/>
        <v>1039.2002499796845</v>
      </c>
      <c r="BR5" s="16">
        <f t="shared" si="46"/>
        <v>1107.5522584344844</v>
      </c>
      <c r="BS5" s="16">
        <f t="shared" si="46"/>
        <v>1190.4992799986057</v>
      </c>
      <c r="BT5" s="16">
        <f t="shared" si="46"/>
        <v>1286.2112630095196</v>
      </c>
      <c r="BU5" s="16">
        <f t="shared" si="46"/>
        <v>1421.4404878892951</v>
      </c>
      <c r="BV5" s="16">
        <f t="shared" si="46"/>
        <v>1139.5308573200257</v>
      </c>
      <c r="BW5" s="16">
        <f t="shared" si="46"/>
        <v>1158.6277560798026</v>
      </c>
      <c r="BX5" s="16">
        <f t="shared" si="46"/>
        <v>1205.127580711257</v>
      </c>
      <c r="BY5" s="16">
        <f t="shared" si="46"/>
        <v>1081.2612900583326</v>
      </c>
      <c r="BZ5" s="16">
        <f t="shared" si="46"/>
        <v>1044.5324709264505</v>
      </c>
      <c r="CA5" s="16">
        <f t="shared" si="46"/>
        <v>685.01061130706671</v>
      </c>
      <c r="CB5" s="16">
        <f t="shared" si="46"/>
        <v>454.01758513989864</v>
      </c>
      <c r="CC5" s="16">
        <f t="shared" si="46"/>
        <v>247.7606666808428</v>
      </c>
      <c r="CD5" s="16">
        <f t="shared" si="46"/>
        <v>68.889549740302613</v>
      </c>
      <c r="CE5" s="16">
        <f t="shared" si="46"/>
        <v>10.230942899999159</v>
      </c>
      <c r="CF5" s="11">
        <f>SUM(BK5:CE5)</f>
        <v>18640.151417628622</v>
      </c>
      <c r="CG5" s="11">
        <f t="shared" si="20"/>
        <v>1006.8322358388926</v>
      </c>
      <c r="CH5" s="11">
        <f t="shared" si="21"/>
        <v>585.41849054283034</v>
      </c>
      <c r="CI5" s="11">
        <f t="shared" si="3"/>
        <v>4796.83069746415</v>
      </c>
      <c r="CJ5" s="11">
        <f t="shared" si="22"/>
        <v>2510.4418266945609</v>
      </c>
      <c r="CK5" s="15">
        <f t="shared" si="23"/>
        <v>0.25733861222434196</v>
      </c>
      <c r="CL5" s="15">
        <f t="shared" si="24"/>
        <v>0.13467926147425771</v>
      </c>
      <c r="CM5" s="11">
        <f t="shared" si="25"/>
        <v>4081.9595970436321</v>
      </c>
      <c r="CO5" s="7" t="str">
        <f t="shared" si="26"/>
        <v>2025_3</v>
      </c>
      <c r="CP5" s="30">
        <f>CP4</f>
        <v>2025</v>
      </c>
      <c r="CQ5" s="5" t="s">
        <v>23</v>
      </c>
      <c r="CR5" s="16">
        <f>CR3+CR4</f>
        <v>790.92347411504056</v>
      </c>
      <c r="CS5" s="16">
        <f t="shared" ref="CS5" si="47">CS3+CS4</f>
        <v>763.54463919627756</v>
      </c>
      <c r="CT5" s="16">
        <f t="shared" ref="CT5" si="48">CT3+CT4</f>
        <v>916.50908720187704</v>
      </c>
      <c r="CU5" s="16">
        <f t="shared" ref="CU5" si="49">CU3+CU4</f>
        <v>1098.0742783103974</v>
      </c>
      <c r="CV5" s="16">
        <f t="shared" ref="CV5" si="50">CV3+CV4</f>
        <v>967.41017320064657</v>
      </c>
      <c r="CW5" s="16">
        <f t="shared" ref="CW5" si="51">CW3+CW4</f>
        <v>971.79691542881676</v>
      </c>
      <c r="CX5" s="16">
        <f t="shared" ref="CX5" si="52">CX3+CX4</f>
        <v>1039.2002499796845</v>
      </c>
      <c r="CY5" s="16">
        <f t="shared" ref="CY5" si="53">CY3+CY4</f>
        <v>1107.5522584344844</v>
      </c>
      <c r="CZ5" s="16">
        <f t="shared" ref="CZ5" si="54">CZ3+CZ4</f>
        <v>1191.4992799986057</v>
      </c>
      <c r="DA5" s="16">
        <f t="shared" ref="DA5" si="55">DA3+DA4</f>
        <v>1286.2112630095196</v>
      </c>
      <c r="DB5" s="16">
        <f t="shared" ref="DB5" si="56">DB3+DB4</f>
        <v>1421.4404878892951</v>
      </c>
      <c r="DC5" s="16">
        <f t="shared" ref="DC5" si="57">DC3+DC4</f>
        <v>1139.5308573200257</v>
      </c>
      <c r="DD5" s="16">
        <f t="shared" ref="DD5" si="58">DD3+DD4</f>
        <v>1158.6277560798026</v>
      </c>
      <c r="DE5" s="16">
        <f t="shared" ref="DE5" si="59">DE3+DE4</f>
        <v>1205.127580711257</v>
      </c>
      <c r="DF5" s="16">
        <f t="shared" ref="DF5" si="60">DF3+DF4</f>
        <v>1081.2612900583326</v>
      </c>
      <c r="DG5" s="16">
        <f t="shared" ref="DG5" si="61">DG3+DG4</f>
        <v>1044.5324709264505</v>
      </c>
      <c r="DH5" s="16">
        <f t="shared" ref="DH5" si="62">DH3+DH4</f>
        <v>685.01061130706671</v>
      </c>
      <c r="DI5" s="16">
        <f t="shared" ref="DI5" si="63">DI3+DI4</f>
        <v>454.01758513989864</v>
      </c>
      <c r="DJ5" s="16">
        <f t="shared" ref="DJ5" si="64">DJ3+DJ4</f>
        <v>247.7606666808428</v>
      </c>
      <c r="DK5" s="16">
        <f t="shared" ref="DK5" si="65">DK3+DK4</f>
        <v>68.889549740302613</v>
      </c>
      <c r="DL5" s="16">
        <f t="shared" ref="DL5" si="66">DL3+DL4</f>
        <v>10.230942899999159</v>
      </c>
      <c r="DM5" s="11">
        <f>SUM(CR5:DL5)</f>
        <v>18649.151417628622</v>
      </c>
      <c r="DN5" s="11">
        <f t="shared" si="34"/>
        <v>1008.0322358388927</v>
      </c>
      <c r="DO5" s="11">
        <f t="shared" si="35"/>
        <v>586.2184905428303</v>
      </c>
      <c r="DP5" s="11">
        <f t="shared" si="6"/>
        <v>4796.83069746415</v>
      </c>
      <c r="DQ5" s="11">
        <f t="shared" si="36"/>
        <v>2510.4418266945609</v>
      </c>
      <c r="DR5" s="15">
        <f t="shared" si="37"/>
        <v>0.25721442172054082</v>
      </c>
      <c r="DS5" s="15">
        <f t="shared" si="38"/>
        <v>0.13461426584383335</v>
      </c>
      <c r="DT5" s="11">
        <f>SUM(CV5:CY5)</f>
        <v>4085.9595970436321</v>
      </c>
      <c r="DV5" s="311"/>
      <c r="DW5" s="312"/>
      <c r="DX5" s="30">
        <f>DX4</f>
        <v>2025</v>
      </c>
      <c r="DY5" s="5" t="s">
        <v>23</v>
      </c>
      <c r="DZ5" s="16">
        <f>DZ3+DZ4</f>
        <v>788.92347411504056</v>
      </c>
      <c r="EA5" s="16">
        <f t="shared" ref="EA5:ET5" si="67">EA3+EA4</f>
        <v>763.54463919627756</v>
      </c>
      <c r="EB5" s="16">
        <f t="shared" si="67"/>
        <v>914.50908720187704</v>
      </c>
      <c r="EC5" s="16">
        <f t="shared" si="67"/>
        <v>1098.0742783103974</v>
      </c>
      <c r="ED5" s="16">
        <f t="shared" si="67"/>
        <v>967.41017320064657</v>
      </c>
      <c r="EE5" s="16">
        <f t="shared" si="67"/>
        <v>1169.7969154288166</v>
      </c>
      <c r="EF5" s="16">
        <f t="shared" si="67"/>
        <v>1241.2002499796845</v>
      </c>
      <c r="EG5" s="16">
        <f t="shared" si="67"/>
        <v>1309.5522584344844</v>
      </c>
      <c r="EH5" s="16">
        <f t="shared" si="67"/>
        <v>1190.4992799986057</v>
      </c>
      <c r="EI5" s="16">
        <f t="shared" si="67"/>
        <v>1286.2112630095196</v>
      </c>
      <c r="EJ5" s="16">
        <f t="shared" si="67"/>
        <v>1421.4404878892951</v>
      </c>
      <c r="EK5" s="16">
        <f t="shared" si="67"/>
        <v>1139.5308573200257</v>
      </c>
      <c r="EL5" s="16">
        <f t="shared" si="67"/>
        <v>1158.6277560798026</v>
      </c>
      <c r="EM5" s="16">
        <f t="shared" si="67"/>
        <v>1205.127580711257</v>
      </c>
      <c r="EN5" s="16">
        <f t="shared" si="67"/>
        <v>1081.2612900583326</v>
      </c>
      <c r="EO5" s="16">
        <f t="shared" si="67"/>
        <v>1044.5324709264505</v>
      </c>
      <c r="EP5" s="16">
        <f t="shared" si="67"/>
        <v>685.01061130706671</v>
      </c>
      <c r="EQ5" s="16">
        <f t="shared" si="67"/>
        <v>454.01758513989864</v>
      </c>
      <c r="ER5" s="16">
        <f t="shared" si="67"/>
        <v>247.7606666808428</v>
      </c>
      <c r="ES5" s="16">
        <f t="shared" si="67"/>
        <v>68.889549740302613</v>
      </c>
      <c r="ET5" s="16">
        <f t="shared" si="67"/>
        <v>10.230942899999159</v>
      </c>
      <c r="EU5" s="11">
        <f>SUM(DZ5:ET5)</f>
        <v>19246.151417628622</v>
      </c>
      <c r="EV5" s="11">
        <f t="shared" si="41"/>
        <v>1006.8322358388926</v>
      </c>
      <c r="EW5" s="11">
        <f t="shared" si="42"/>
        <v>585.41849054283034</v>
      </c>
      <c r="EX5" s="11">
        <f t="shared" si="10"/>
        <v>4796.83069746415</v>
      </c>
      <c r="EY5" s="11">
        <f t="shared" si="43"/>
        <v>2510.4418266945609</v>
      </c>
      <c r="EZ5" s="15">
        <f t="shared" si="44"/>
        <v>0.24923583907120597</v>
      </c>
      <c r="FA5" s="15">
        <f t="shared" si="45"/>
        <v>0.13043864054790233</v>
      </c>
      <c r="FB5" s="11">
        <f>SUM(ED5:EG5)</f>
        <v>4687.9595970436321</v>
      </c>
    </row>
    <row r="6" spans="1:158" x14ac:dyDescent="0.15">
      <c r="A6" s="7" t="str">
        <f t="shared" si="11"/>
        <v>2010_1</v>
      </c>
      <c r="B6" s="28">
        <v>2010</v>
      </c>
      <c r="C6" s="3" t="s">
        <v>21</v>
      </c>
      <c r="D6" s="9">
        <v>613.41803097455568</v>
      </c>
      <c r="E6" s="9">
        <v>489.20164557124548</v>
      </c>
      <c r="F6" s="9">
        <v>455.098530124055</v>
      </c>
      <c r="G6" s="9">
        <v>532.35997608752893</v>
      </c>
      <c r="H6" s="9">
        <v>472.32272254850523</v>
      </c>
      <c r="I6" s="9">
        <v>618.40475426202363</v>
      </c>
      <c r="J6" s="9">
        <v>648.46040209004411</v>
      </c>
      <c r="K6" s="9">
        <v>667.58426765863919</v>
      </c>
      <c r="L6" s="9">
        <v>591.3242721798963</v>
      </c>
      <c r="M6" s="9">
        <v>588.39839178080035</v>
      </c>
      <c r="N6" s="9">
        <v>634.49469414843043</v>
      </c>
      <c r="O6" s="9">
        <v>594.95921730756163</v>
      </c>
      <c r="P6" s="9">
        <v>639.55629526907001</v>
      </c>
      <c r="Q6" s="9">
        <v>433.1406761995371</v>
      </c>
      <c r="R6" s="9">
        <v>409.81588992980176</v>
      </c>
      <c r="S6" s="9">
        <v>316.73738305413457</v>
      </c>
      <c r="T6" s="9">
        <v>262.44515317936657</v>
      </c>
      <c r="U6" s="9">
        <v>100.96224357014675</v>
      </c>
      <c r="V6" s="9">
        <v>40.295797699767775</v>
      </c>
      <c r="W6" s="9">
        <v>5.0196563648902011</v>
      </c>
      <c r="X6" s="9">
        <v>0</v>
      </c>
      <c r="Y6" s="9">
        <f t="shared" ref="Y6:Y11" si="68">SUM(D6:X6)</f>
        <v>9114.0000000000018</v>
      </c>
      <c r="Z6" s="9">
        <f t="shared" si="12"/>
        <v>566.58010541718022</v>
      </c>
      <c r="AA6" s="9">
        <f t="shared" si="13"/>
        <v>288.51140726712777</v>
      </c>
      <c r="AB6" s="9">
        <f t="shared" si="0"/>
        <v>1568.4167999976446</v>
      </c>
      <c r="AC6" s="9">
        <f t="shared" si="14"/>
        <v>725.46023386830586</v>
      </c>
      <c r="AD6" s="13">
        <f t="shared" si="15"/>
        <v>0.17208874259355325</v>
      </c>
      <c r="AE6" s="13">
        <f t="shared" si="16"/>
        <v>7.9598445673502938E-2</v>
      </c>
      <c r="AF6" s="9">
        <f t="shared" si="17"/>
        <v>2406.7721465592122</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0.91997268090177564</v>
      </c>
      <c r="AN6" s="193">
        <f t="shared" si="18"/>
        <v>0.94951341232029751</v>
      </c>
      <c r="AO6" s="193">
        <f t="shared" si="18"/>
        <v>1.1223137445110001</v>
      </c>
      <c r="AP6" s="193">
        <f t="shared" si="18"/>
        <v>1.0500900124063237</v>
      </c>
      <c r="AQ6" s="193">
        <f t="shared" si="18"/>
        <v>1.0582877684368897</v>
      </c>
      <c r="AR6" s="193">
        <f t="shared" si="18"/>
        <v>0.93109742284938313</v>
      </c>
      <c r="AS6" s="193">
        <f t="shared" si="18"/>
        <v>0.9943026280925058</v>
      </c>
      <c r="AT6" s="193">
        <f t="shared" si="18"/>
        <v>0.98201971598903492</v>
      </c>
      <c r="AU6" s="193">
        <f t="shared" si="18"/>
        <v>1.0203105975434752</v>
      </c>
      <c r="AV6" s="193">
        <f t="shared" si="18"/>
        <v>0.99664054737595409</v>
      </c>
      <c r="AW6" s="193">
        <f t="shared" si="18"/>
        <v>0.96926676206531415</v>
      </c>
      <c r="AX6" s="193">
        <f t="shared" si="18"/>
        <v>1.0113475663705336</v>
      </c>
      <c r="AY6" s="193">
        <f t="shared" si="18"/>
        <v>1.0009202896355494</v>
      </c>
      <c r="AZ6" s="193">
        <f t="shared" si="18"/>
        <v>0.89839221353510001</v>
      </c>
      <c r="BA6" s="193">
        <f t="shared" si="18"/>
        <v>0.8994784510826952</v>
      </c>
      <c r="BB6" s="193">
        <f t="shared" si="18"/>
        <v>0.86342450672587379</v>
      </c>
      <c r="BC6" s="193">
        <f t="shared" si="18"/>
        <v>0.71450530515751431</v>
      </c>
      <c r="BD6" s="193">
        <f t="shared" si="18"/>
        <v>0.44909211688968065</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0.34421702747582922</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0.29709580431796906</v>
      </c>
      <c r="BH6" s="7" t="str">
        <f t="shared" si="19"/>
        <v>2030_1</v>
      </c>
      <c r="BI6" s="28">
        <f>管理者入力シート!B9</f>
        <v>2030</v>
      </c>
      <c r="BJ6" s="3" t="s">
        <v>21</v>
      </c>
      <c r="BK6" s="9">
        <f>CM7*$AK$13</f>
        <v>399.18389094857656</v>
      </c>
      <c r="BL6" s="9">
        <f>IF(管理者入力シート!$B$14=1,BK3*管理者用人口入力シート!AM$3,IF(管理者入力シート!$B$14=2,BK3*管理者用人口入力シート!AM$7))</f>
        <v>366.12995010048917</v>
      </c>
      <c r="BM6" s="9">
        <f>IF(管理者入力シート!$B$14=1,BL3*管理者用人口入力シート!AN$3,IF(管理者入力シート!$B$14=2,BL3*管理者用人口入力シート!AN$7))</f>
        <v>370.91948839552236</v>
      </c>
      <c r="BN6" s="9">
        <f>IF(管理者入力シート!$B$14=1,BM3*管理者用人口入力シート!AO$3,IF(管理者入力シート!$B$14=2,BM3*管理者用人口入力シート!AO$7))</f>
        <v>416.89519913317872</v>
      </c>
      <c r="BO6" s="9">
        <f>IF(管理者入力シート!$B$14=1,BN3*管理者用人口入力シート!AP$3,IF(管理者入力シート!$B$14=2,BN3*管理者用人口入力シート!AP$7))</f>
        <v>523.55987688345465</v>
      </c>
      <c r="BP6" s="9">
        <f>IF(管理者入力シート!$B$14=1,BO3*管理者用人口入力シート!AQ$3,IF(管理者入力シート!$B$14=2,BO3*管理者用人口入力シート!AQ$7))</f>
        <v>448.22894739960253</v>
      </c>
      <c r="BQ6" s="9">
        <f>IF(管理者入力シート!$B$14=1,BP3*管理者用人口入力シート!AR$3,IF(管理者入力シート!$B$14=2,BP3*管理者用人口入力シート!AR$7))</f>
        <v>410.1648358789592</v>
      </c>
      <c r="BR6" s="9">
        <f>IF(管理者入力シート!$B$14=1,BQ3*管理者用人口入力シート!AS$3,IF(管理者入力シート!$B$14=2,BQ3*管理者用人口入力シート!AS$7))</f>
        <v>512.8232456785347</v>
      </c>
      <c r="BS6" s="9">
        <f>IF(管理者入力シート!$B$14=1,BR3*管理者用人口入力シート!AT$3,IF(管理者入力シート!$B$14=2,BR3*管理者用人口入力シート!AT$7))</f>
        <v>529.82852321119606</v>
      </c>
      <c r="BT6" s="9">
        <f>IF(管理者入力シート!$B$14=1,BS3*管理者用人口入力シート!AU$3,IF(管理者入力シート!$B$14=2,BS3*管理者用人口入力シート!AU$7))</f>
        <v>599.3786526232999</v>
      </c>
      <c r="BU6" s="9">
        <f>IF(管理者入力シート!$B$14=1,BT3*管理者用人口入力シート!AV$3,IF(管理者入力シート!$B$14=2,BT3*管理者用人口入力シート!AV$7))</f>
        <v>607.97102578717943</v>
      </c>
      <c r="BV6" s="9">
        <f>IF(管理者入力シート!$B$14=1,BU3*管理者用人口入力シート!AW$3,IF(管理者入力シート!$B$14=2,BU3*管理者用人口入力シート!AW$7))</f>
        <v>674.32542516633112</v>
      </c>
      <c r="BW6" s="9">
        <f>IF(管理者入力シート!$B$14=1,BV3*管理者用人口入力シート!AX$3,IF(管理者入力シート!$B$14=2,BV3*管理者用人口入力シート!AX$7))</f>
        <v>529.4735940038604</v>
      </c>
      <c r="BX6" s="9">
        <f>IF(管理者入力シート!$B$14=1,BW3*管理者用人口入力シート!AY$3,IF(管理者入力シート!$B$14=2,BW3*管理者用人口入力シート!AY$7))</f>
        <v>533.66831790829281</v>
      </c>
      <c r="BY6" s="9">
        <f>IF(管理者入力シート!$B$14=1,BX3*管理者用人口入力シート!AZ$3,IF(管理者入力シート!$B$14=2,BX3*管理者用人口入力シート!AZ$7))</f>
        <v>538.14259455968931</v>
      </c>
      <c r="BZ6" s="9">
        <f>IF(管理者入力シート!$B$14=1,BY3*管理者用人口入力シート!BA$3,IF(管理者入力シート!$B$14=2,BY3*管理者用人口入力シート!BA$7))</f>
        <v>433.21085615857459</v>
      </c>
      <c r="CA6" s="9">
        <f>IF(管理者入力シート!$B$14=1,BZ3*管理者用人口入力シート!BB$3,IF(管理者入力シート!$B$14=2,BZ3*管理者用人口入力シート!BB$7))</f>
        <v>363.20146996993793</v>
      </c>
      <c r="CB6" s="9">
        <f>IF(管理者入力シート!$B$14=1,CA3*管理者用人口入力シート!BC$3,IF(管理者入力シート!$B$14=2,CA3*管理者用人口入力シート!BC$7))</f>
        <v>159.26812751646915</v>
      </c>
      <c r="CC6" s="9">
        <f>IF(管理者入力シート!$B$14=1,CB3*管理者用人口入力シート!BD$3,IF(管理者入力シート!$B$14=2,CB3*管理者用人口入力シート!BD$7))</f>
        <v>72.221810232895308</v>
      </c>
      <c r="CD6" s="9">
        <f>IF(管理者入力シート!$B$14=1,CC3*管理者用人口入力シート!BE$3,IF(管理者入力シート!$B$14=2,CC3*管理者用人口入力シート!BE$7))</f>
        <v>7.1901852604969108</v>
      </c>
      <c r="CE6" s="9">
        <f>IF(管理者入力シート!$B$14=1,CD3*管理者用人口入力シート!BF$3,IF(管理者入力シート!$B$14=2,CD3*管理者用人口入力シート!BF$7))</f>
        <v>0.12065820952036396</v>
      </c>
      <c r="CF6" s="9">
        <f t="shared" si="2"/>
        <v>8495.9066750260608</v>
      </c>
      <c r="CG6" s="9">
        <f t="shared" si="20"/>
        <v>442.22966309760693</v>
      </c>
      <c r="CH6" s="9">
        <f t="shared" si="21"/>
        <v>231.74683518484471</v>
      </c>
      <c r="CI6" s="9">
        <f t="shared" si="3"/>
        <v>2107.0240198158767</v>
      </c>
      <c r="CJ6" s="9">
        <f t="shared" si="22"/>
        <v>1035.2131073478943</v>
      </c>
      <c r="CK6" s="13">
        <f t="shared" si="23"/>
        <v>0.24800460979750741</v>
      </c>
      <c r="CL6" s="13">
        <f t="shared" si="24"/>
        <v>0.12184845560873805</v>
      </c>
      <c r="CM6" s="9">
        <f t="shared" si="25"/>
        <v>1894.7769058405511</v>
      </c>
      <c r="CO6" s="7" t="str">
        <f t="shared" si="26"/>
        <v>2030_1</v>
      </c>
      <c r="CP6" s="28">
        <f>管理者入力シート!B9</f>
        <v>2030</v>
      </c>
      <c r="CQ6" s="3" t="s">
        <v>21</v>
      </c>
      <c r="CR6" s="9">
        <f>DT7*$AK$13+将来予測シート②!$G17</f>
        <v>400.88913799972892</v>
      </c>
      <c r="CS6" s="9">
        <f>IF(管理者入力シート!$B$14=1,CR3*管理者用人口入力シート!AM$3,IF(管理者入力シート!$B$14=2,CR3*管理者用人口入力シート!AM$7))+将来予測シート②!$G18</f>
        <v>367.05603037056881</v>
      </c>
      <c r="CT6" s="9">
        <f>IF(管理者入力シート!$B$14=1,CS3*管理者用人口入力シート!AN$3,IF(管理者入力シート!$B$14=2,CS3*管理者用人口入力シート!AN$7))+将来予測シート②!$G19</f>
        <v>371.91948839552236</v>
      </c>
      <c r="CU6" s="9">
        <f>IF(管理者入力シート!$B$14=1,CT3*管理者用人口入力シート!AO$3,IF(管理者入力シート!$B$14=2,CT3*管理者用人口入力シート!AO$7))+将来予測シート②!$G20</f>
        <v>417.88469316287689</v>
      </c>
      <c r="CV6" s="9">
        <f>IF(管理者入力シート!$B$14=1,CU3*管理者用人口入力シート!AP$3,IF(管理者入力シート!$B$14=2,CU3*管理者用人口入力シート!AP$7))+将来予測シート②!$G21</f>
        <v>523.55987688345465</v>
      </c>
      <c r="CW6" s="9">
        <f>IF(管理者入力シート!$B$14=1,CV3*管理者用人口入力シート!AQ$3,IF(管理者入力シート!$B$14=2,CV3*管理者用人口入力シート!AQ$7))+将来予測シート②!$G22</f>
        <v>450.22894739960253</v>
      </c>
      <c r="CX6" s="9">
        <f>IF(管理者入力シート!$B$14=1,CW3*管理者用人口入力シート!AR$3,IF(管理者入力シート!$B$14=2,CW3*管理者用人口入力シート!AR$7))+将来予測シート②!$G23</f>
        <v>412.17385251749539</v>
      </c>
      <c r="CY6" s="9">
        <f>IF(管理者入力シート!$B$14=1,CX3*管理者用人口入力シート!AS$3,IF(管理者入力シート!$B$14=2,CX3*管理者用人口入力シート!AS$7))+将来予測シート②!$G24</f>
        <v>512.8232456785347</v>
      </c>
      <c r="CZ6" s="9">
        <f>IF(管理者入力シート!$B$14=1,CY3*管理者用人口入力シート!AT$3,IF(管理者入力シート!$B$14=2,CY3*管理者用人口入力シート!AT$7))+将来予測シート②!$G25</f>
        <v>529.82852321119606</v>
      </c>
      <c r="DA6" s="9">
        <f>IF(管理者入力シート!$B$14=1,CZ3*管理者用人口入力シート!AU$3,IF(管理者入力シート!$B$14=2,CZ3*管理者用人口入力シート!AU$7))+将来予測シート②!$G26</f>
        <v>599.3786526232999</v>
      </c>
      <c r="DB6" s="9">
        <f>IF(管理者入力シート!$B$14=1,DA3*管理者用人口入力シート!AV$3,IF(管理者入力シート!$B$14=2,DA3*管理者用人口入力シート!AV$7))+将来予測シート②!$G27</f>
        <v>607.97102578717943</v>
      </c>
      <c r="DC6" s="9">
        <f>IF(管理者入力シート!$B$14=1,DB3*管理者用人口入力シート!AW$3,IF(管理者入力シート!$B$14=2,DB3*管理者用人口入力シート!AW$7))+将来予測シート②!$G28</f>
        <v>674.32542516633112</v>
      </c>
      <c r="DD6" s="9">
        <f>IF(管理者入力シート!$B$14=1,DC3*管理者用人口入力シート!AX$3,IF(管理者入力シート!$B$14=2,DC3*管理者用人口入力シート!AX$7))+将来予測シート②!$G29</f>
        <v>529.4735940038604</v>
      </c>
      <c r="DE6" s="9">
        <f>IF(管理者入力シート!$B$14=1,DD3*管理者用人口入力シート!AY$3,IF(管理者入力シート!$B$14=2,DD3*管理者用人口入力シート!AY$7))</f>
        <v>533.66831790829281</v>
      </c>
      <c r="DF6" s="9">
        <f>IF(管理者入力シート!$B$14=1,DE3*管理者用人口入力シート!AZ$3,IF(管理者入力シート!$B$14=2,DE3*管理者用人口入力シート!AZ$7))</f>
        <v>538.14259455968931</v>
      </c>
      <c r="DG6" s="9">
        <f>IF(管理者入力シート!$B$14=1,DF3*管理者用人口入力シート!BA$3,IF(管理者入力シート!$B$14=2,DF3*管理者用人口入力シート!BA$7))</f>
        <v>433.21085615857459</v>
      </c>
      <c r="DH6" s="9">
        <f>IF(管理者入力シート!$B$14=1,DG3*管理者用人口入力シート!BB$3,IF(管理者入力シート!$B$14=2,DG3*管理者用人口入力シート!BB$7))</f>
        <v>363.20146996993793</v>
      </c>
      <c r="DI6" s="9">
        <f>IF(管理者入力シート!$B$14=1,DH3*管理者用人口入力シート!BC$3,IF(管理者入力シート!$B$14=2,DH3*管理者用人口入力シート!BC$7))</f>
        <v>159.26812751646915</v>
      </c>
      <c r="DJ6" s="9">
        <f>IF(管理者入力シート!$B$14=1,DI3*管理者用人口入力シート!BD$3,IF(管理者入力シート!$B$14=2,DI3*管理者用人口入力シート!BD$7))</f>
        <v>72.221810232895308</v>
      </c>
      <c r="DK6" s="9">
        <f>IF(管理者入力シート!$B$14=1,DJ3*管理者用人口入力シート!BE$3,IF(管理者入力シート!$B$14=2,DJ3*管理者用人口入力シート!BE$7))</f>
        <v>7.1901852604969108</v>
      </c>
      <c r="DL6" s="9">
        <f>IF(管理者入力シート!$B$14=1,DK3*管理者用人口入力シート!BF$3,IF(管理者入力シート!$B$14=2,DK3*管理者用人口入力シート!BF$7))</f>
        <v>0.12065820952036396</v>
      </c>
      <c r="DM6" s="9">
        <f t="shared" ref="DM6:DM14" si="69">SUM(CR6:DL6)</f>
        <v>8504.5365130155278</v>
      </c>
      <c r="DN6" s="9">
        <f t="shared" si="34"/>
        <v>443.38531125965471</v>
      </c>
      <c r="DO6" s="9">
        <f t="shared" si="35"/>
        <v>232.34473399078433</v>
      </c>
      <c r="DP6" s="9">
        <f t="shared" si="6"/>
        <v>2107.0240198158767</v>
      </c>
      <c r="DQ6" s="9">
        <f t="shared" si="36"/>
        <v>1035.2131073478943</v>
      </c>
      <c r="DR6" s="13">
        <f t="shared" si="37"/>
        <v>0.24775295121506519</v>
      </c>
      <c r="DS6" s="13">
        <f t="shared" si="38"/>
        <v>0.12172481190051705</v>
      </c>
      <c r="DT6" s="9">
        <f t="shared" ref="DT6:DT14" si="70">SUM(CV6:CY6)</f>
        <v>1898.7859224790873</v>
      </c>
      <c r="DV6" s="7" t="s">
        <v>400</v>
      </c>
      <c r="DX6" s="28">
        <f>管理者入力シート!B9</f>
        <v>2030</v>
      </c>
      <c r="DY6" s="3" t="s">
        <v>21</v>
      </c>
      <c r="DZ6" s="9">
        <f>FB7*$AK$13</f>
        <v>489.80213674959998</v>
      </c>
      <c r="EA6" s="129">
        <f>IF(管理者入力シート!$B$14=1,DZ3*管理者用人口入力シート!AM$3,IF(管理者入力シート!$B$14=2,DZ3*管理者用人口入力シート!AM$7))</f>
        <v>366.12995010048917</v>
      </c>
      <c r="EB6" s="9">
        <f>IF(管理者入力シート!$B$14=1,EA3*管理者用人口入力シート!AN$3,IF(管理者入力シート!$B$14=2,EA3*管理者用人口入力シート!AN$7))</f>
        <v>370.91948839552236</v>
      </c>
      <c r="EC6" s="9">
        <f>IF(管理者入力シート!$B$14=1,EB3*管理者用人口入力シート!AO$3,IF(管理者入力シート!$B$14=2,EB3*管理者用人口入力シート!AO$7))</f>
        <v>416.89519913317872</v>
      </c>
      <c r="ED6" s="9">
        <f>IF(管理者入力シート!$B$14=1,EC3*管理者用人口入力シート!AP$3,IF(管理者入力シート!$B$14=2,EC3*管理者用人口入力シート!AP$7))</f>
        <v>523.55987688345465</v>
      </c>
      <c r="EE6" s="9">
        <f>IF(管理者入力シート!$B$14=1,ED3*管理者用人口入力シート!AQ$3,IF(管理者入力シート!$B$14=2,ED3*管理者用人口入力シート!AQ$7))+DX1</f>
        <v>549.22894739960248</v>
      </c>
      <c r="EF6" s="9">
        <f>IF(管理者入力シート!$B$14=1,EE3*管理者用人口入力シート!AR$3,IF(管理者入力シート!$B$14=2,EE3*管理者用人口入力シート!AR$7))+DX1</f>
        <v>612.62017612503894</v>
      </c>
      <c r="EG6" s="9">
        <f>IF(管理者入力シート!$B$14=1,EF3*管理者用人口入力シート!AS$3,IF(管理者入力シート!$B$14=2,EF3*管理者用人口入力シート!AS$7))+DX1</f>
        <v>713.29911614583341</v>
      </c>
      <c r="EH6" s="9">
        <f>IF(管理者入力シート!$B$14=1,EG3*管理者用人口入力シート!AT$3,IF(管理者入力シート!$B$14=2,EG3*管理者用人口入力シート!AT$7))</f>
        <v>629.72215187501274</v>
      </c>
      <c r="EI6" s="9">
        <f>IF(管理者入力シート!$B$14=1,EH3*管理者用人口入力シート!AU$3,IF(管理者入力シート!$B$14=2,EH3*管理者用人口入力シート!AU$7))</f>
        <v>599.3786526232999</v>
      </c>
      <c r="EJ6" s="9">
        <f>IF(管理者入力シート!$B$14=1,EI3*管理者用人口入力シート!AV$3,IF(管理者入力シート!$B$14=2,EI3*管理者用人口入力シート!AV$7))</f>
        <v>607.97102578717943</v>
      </c>
      <c r="EK6" s="9">
        <f>IF(管理者入力シート!$B$14=1,EJ3*管理者用人口入力シート!AW$3,IF(管理者入力シート!$B$14=2,EJ3*管理者用人口入力シート!AW$7))</f>
        <v>674.32542516633112</v>
      </c>
      <c r="EL6" s="9">
        <f>IF(管理者入力シート!$B$14=1,EK3*管理者用人口入力シート!AX$3,IF(管理者入力シート!$B$14=2,EK3*管理者用人口入力シート!AX$7))</f>
        <v>529.4735940038604</v>
      </c>
      <c r="EM6" s="9">
        <f>IF(管理者入力シート!$B$14=1,EL3*管理者用人口入力シート!AY$3,IF(管理者入力シート!$B$14=2,EL3*管理者用人口入力シート!AY$7))</f>
        <v>533.66831790829281</v>
      </c>
      <c r="EN6" s="9">
        <f>IF(管理者入力シート!$B$14=1,EM3*管理者用人口入力シート!AZ$3,IF(管理者入力シート!$B$14=2,EM3*管理者用人口入力シート!AZ$7))</f>
        <v>538.14259455968931</v>
      </c>
      <c r="EO6" s="9">
        <f>IF(管理者入力シート!$B$14=1,EN3*管理者用人口入力シート!BA$3,IF(管理者入力シート!$B$14=2,EN3*管理者用人口入力シート!BA$7))</f>
        <v>433.21085615857459</v>
      </c>
      <c r="EP6" s="9">
        <f>IF(管理者入力シート!$B$14=1,EO3*管理者用人口入力シート!BB$3,IF(管理者入力シート!$B$14=2,EO3*管理者用人口入力シート!BB$7))</f>
        <v>363.20146996993793</v>
      </c>
      <c r="EQ6" s="9">
        <f>IF(管理者入力シート!$B$14=1,EP3*管理者用人口入力シート!BC$3,IF(管理者入力シート!$B$14=2,EP3*管理者用人口入力シート!BC$7))</f>
        <v>159.26812751646915</v>
      </c>
      <c r="ER6" s="9">
        <f>IF(管理者入力シート!$B$14=1,EQ3*管理者用人口入力シート!BD$3,IF(管理者入力シート!$B$14=2,EQ3*管理者用人口入力シート!BD$7))</f>
        <v>72.221810232895308</v>
      </c>
      <c r="ES6" s="9">
        <f>IF(管理者入力シート!$B$14=1,ER3*管理者用人口入力シート!BE$3,IF(管理者入力シート!$B$14=2,ER3*管理者用人口入力シート!BE$7))</f>
        <v>7.1901852604969108</v>
      </c>
      <c r="ET6" s="9">
        <f>IF(管理者入力シート!$B$14=1,ES3*管理者用人口入力シート!BF$3,IF(管理者入力シート!$B$14=2,ES3*管理者用人口入力シート!BF$7))</f>
        <v>0.12065820952036396</v>
      </c>
      <c r="EU6" s="9">
        <f t="shared" ref="EU6:EU14" si="71">SUM(DZ6:ET6)</f>
        <v>9190.3497602042789</v>
      </c>
      <c r="EV6" s="9">
        <f t="shared" si="41"/>
        <v>442.22966309760693</v>
      </c>
      <c r="EW6" s="9">
        <f t="shared" si="42"/>
        <v>231.74683518484471</v>
      </c>
      <c r="EX6" s="9">
        <f t="shared" si="10"/>
        <v>2107.0240198158767</v>
      </c>
      <c r="EY6" s="9">
        <f t="shared" si="43"/>
        <v>1035.2131073478943</v>
      </c>
      <c r="EZ6" s="13">
        <f t="shared" si="44"/>
        <v>0.22926483483138327</v>
      </c>
      <c r="FA6" s="13">
        <f t="shared" si="45"/>
        <v>0.11264131772552735</v>
      </c>
      <c r="FB6" s="9">
        <f t="shared" ref="FB6:FB14" si="72">SUM(ED6:EG6)</f>
        <v>2398.7081165539298</v>
      </c>
    </row>
    <row r="7" spans="1:158" x14ac:dyDescent="0.15">
      <c r="A7" s="7" t="str">
        <f t="shared" si="11"/>
        <v>2010_2</v>
      </c>
      <c r="B7" s="29">
        <v>2010</v>
      </c>
      <c r="C7" s="4" t="s">
        <v>22</v>
      </c>
      <c r="D7" s="10">
        <v>528.36499013144248</v>
      </c>
      <c r="E7" s="10">
        <v>476.74218812959123</v>
      </c>
      <c r="F7" s="10">
        <v>441.39015524467112</v>
      </c>
      <c r="G7" s="10">
        <v>475.06456645713007</v>
      </c>
      <c r="H7" s="10">
        <v>584.03626079616697</v>
      </c>
      <c r="I7" s="10">
        <v>651.62052372474125</v>
      </c>
      <c r="J7" s="10">
        <v>644.92761523485183</v>
      </c>
      <c r="K7" s="10">
        <v>746.32153007287479</v>
      </c>
      <c r="L7" s="10">
        <v>615.5588639756503</v>
      </c>
      <c r="M7" s="10">
        <v>616.46443347467209</v>
      </c>
      <c r="N7" s="10">
        <v>629.60401592008952</v>
      </c>
      <c r="O7" s="10">
        <v>622.63071004836797</v>
      </c>
      <c r="P7" s="10">
        <v>628.51268645837069</v>
      </c>
      <c r="Q7" s="10">
        <v>529.07160140944654</v>
      </c>
      <c r="R7" s="10">
        <v>458.75824367075853</v>
      </c>
      <c r="S7" s="10">
        <v>495.82780372028668</v>
      </c>
      <c r="T7" s="10">
        <v>402.34347934191294</v>
      </c>
      <c r="U7" s="10">
        <v>287.12736162273472</v>
      </c>
      <c r="V7" s="10">
        <v>111.50929406138323</v>
      </c>
      <c r="W7" s="10">
        <v>27.108052103972959</v>
      </c>
      <c r="X7" s="10">
        <v>12.015624400884247</v>
      </c>
      <c r="Y7" s="10">
        <f t="shared" si="68"/>
        <v>9985.0000000000036</v>
      </c>
      <c r="Z7" s="10">
        <f t="shared" si="12"/>
        <v>550.8794060245574</v>
      </c>
      <c r="AA7" s="10">
        <f t="shared" si="13"/>
        <v>271.56897538929445</v>
      </c>
      <c r="AB7" s="10">
        <f t="shared" si="0"/>
        <v>2323.76146033138</v>
      </c>
      <c r="AC7" s="10">
        <f t="shared" si="14"/>
        <v>1335.9316152511749</v>
      </c>
      <c r="AD7" s="14">
        <f t="shared" si="15"/>
        <v>0.23272523388396385</v>
      </c>
      <c r="AE7" s="14">
        <f t="shared" si="16"/>
        <v>0.1337938523035728</v>
      </c>
      <c r="AF7" s="10">
        <f t="shared" si="17"/>
        <v>2626.9059298286347</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0.92608027007966454</v>
      </c>
      <c r="AN7" s="48">
        <f t="shared" si="73"/>
        <v>0.97879209816024826</v>
      </c>
      <c r="AO7" s="48">
        <f t="shared" si="73"/>
        <v>0.98949402969818612</v>
      </c>
      <c r="AP7" s="48">
        <f t="shared" si="73"/>
        <v>0.98486475073134527</v>
      </c>
      <c r="AQ7" s="48">
        <f t="shared" si="73"/>
        <v>0.99897265874248031</v>
      </c>
      <c r="AR7" s="48">
        <f t="shared" si="73"/>
        <v>1.0045083192681166</v>
      </c>
      <c r="AS7" s="48">
        <f t="shared" si="73"/>
        <v>0.98490960858711596</v>
      </c>
      <c r="AT7" s="48">
        <f t="shared" si="73"/>
        <v>0.9890458283546204</v>
      </c>
      <c r="AU7" s="48">
        <f t="shared" si="73"/>
        <v>1.0081684875454975</v>
      </c>
      <c r="AV7" s="48">
        <f t="shared" si="73"/>
        <v>0.97525673741461605</v>
      </c>
      <c r="AW7" s="48">
        <f t="shared" si="73"/>
        <v>0.97127552957524654</v>
      </c>
      <c r="AX7" s="48">
        <f t="shared" si="73"/>
        <v>0.98531918998729551</v>
      </c>
      <c r="AY7" s="48">
        <f t="shared" si="73"/>
        <v>0.96486811846226428</v>
      </c>
      <c r="AZ7" s="48">
        <f t="shared" si="73"/>
        <v>0.9079140795345757</v>
      </c>
      <c r="BA7" s="48">
        <f t="shared" si="73"/>
        <v>0.85434180112587588</v>
      </c>
      <c r="BB7" s="48">
        <f t="shared" si="73"/>
        <v>0.77535639840411186</v>
      </c>
      <c r="BC7" s="48">
        <f t="shared" si="73"/>
        <v>0.61099759796364905</v>
      </c>
      <c r="BD7" s="48">
        <f t="shared" si="73"/>
        <v>0.42749120053328132</v>
      </c>
      <c r="BE7" s="48">
        <f t="shared" si="73"/>
        <v>0.10850884486520235</v>
      </c>
      <c r="BF7" s="48">
        <f t="shared" si="73"/>
        <v>1.4144936718722231E-2</v>
      </c>
      <c r="BH7" s="7" t="str">
        <f t="shared" si="19"/>
        <v>2030_2</v>
      </c>
      <c r="BI7" s="29">
        <f>BI6</f>
        <v>2030</v>
      </c>
      <c r="BJ7" s="4" t="s">
        <v>22</v>
      </c>
      <c r="BK7" s="10">
        <f>CM7*$AK$14</f>
        <v>397.38118373031381</v>
      </c>
      <c r="BL7" s="10">
        <f>IF(管理者入力シート!$B$14=1,BK4*管理者用人口入力シート!AM$4,IF(管理者入力シート!$B$14=2,BK4*管理者用人口入力シート!AM$8))</f>
        <v>371.57125221477253</v>
      </c>
      <c r="BM7" s="10">
        <f>IF(管理者入力シート!$B$14=1,BL4*管理者用人口入力シート!AN$4,IF(管理者入力シート!$B$14=2,BL4*管理者用人口入力シート!AN$8))</f>
        <v>384.13865480367207</v>
      </c>
      <c r="BN7" s="10">
        <f>IF(管理者入力シート!$B$14=1,BM4*管理者用人口入力シート!AO$4,IF(管理者入力シート!$B$14=2,BM4*管理者用人口入力シート!AO$8))</f>
        <v>547.01088380477506</v>
      </c>
      <c r="BO7" s="10">
        <f>IF(管理者入力シート!$B$14=1,BN4*管理者用人口入力シート!AP$4,IF(管理者入力シート!$B$14=2,BN4*管理者用人口入力シート!AP$8))</f>
        <v>592.20311613226193</v>
      </c>
      <c r="BP7" s="10">
        <f>IF(管理者入力シート!$B$14=1,BO4*管理者用人口入力シート!AQ$4,IF(管理者入力シート!$B$14=2,BO4*管理者用人口入力シート!AQ$8))</f>
        <v>562.87495386680632</v>
      </c>
      <c r="BQ7" s="10">
        <f>IF(管理者入力シート!$B$14=1,BP4*管理者用人口入力シート!AR$4,IF(管理者入力シート!$B$14=2,BP4*管理者用人口入力シート!AR$8))</f>
        <v>522.65073488513565</v>
      </c>
      <c r="BR7" s="10">
        <f>IF(管理者入力シート!$B$14=1,BQ4*管理者用人口入力シート!AS$4,IF(管理者入力シート!$B$14=2,BQ4*管理者用人口入力シート!AS$8))</f>
        <v>511.84474784518358</v>
      </c>
      <c r="BS7" s="10">
        <f>IF(管理者入力シート!$B$14=1,BR4*管理者用人口入力シート!AT$4,IF(管理者入力シート!$B$14=2,BR4*管理者用人口入力シート!AT$8))</f>
        <v>573.1900695648909</v>
      </c>
      <c r="BT7" s="10">
        <f>IF(管理者入力シート!$B$14=1,BS4*管理者用人口入力シート!AU$4,IF(管理者入力シート!$B$14=2,BS4*管理者用人口入力シート!AU$8))</f>
        <v>602.12711793683707</v>
      </c>
      <c r="BU7" s="10">
        <f>IF(管理者入力シート!$B$14=1,BT4*管理者用人口入力シート!AV$4,IF(管理者入力シート!$B$14=2,BT4*管理者用人口入力シート!AV$8))</f>
        <v>657.35336477758835</v>
      </c>
      <c r="BV7" s="10">
        <f>IF(管理者入力シート!$B$14=1,BU4*管理者用人口入力シート!AW$4,IF(管理者入力シート!$B$14=2,BU4*管理者用人口入力シート!AW$8))</f>
        <v>706.44665186025316</v>
      </c>
      <c r="BW7" s="10">
        <f>IF(管理者入力シート!$B$14=1,BV4*管理者用人口入力シート!AX$4,IF(管理者入力シート!$B$14=2,BV4*管理者用人口入力シート!AX$8))</f>
        <v>609.48798660703574</v>
      </c>
      <c r="BX7" s="10">
        <f>IF(管理者入力シート!$B$14=1,BW4*管理者用人口入力シート!AY$4,IF(管理者入力シート!$B$14=2,BW4*管理者用人口入力シート!AY$8))</f>
        <v>599.88364540121472</v>
      </c>
      <c r="BY7" s="10">
        <f>IF(管理者入力シート!$B$14=1,BX4*管理者用人口入力シート!AZ$4,IF(管理者入力シート!$B$14=2,BX4*管理者用人口入力シート!AZ$8))</f>
        <v>569.50478309644689</v>
      </c>
      <c r="BZ7" s="10">
        <f>IF(管理者入力シート!$B$14=1,BY4*管理者用人口入力シート!BA$4,IF(管理者入力シート!$B$14=2,BY4*管理者用人口入力シート!BA$8))</f>
        <v>546.24596361110775</v>
      </c>
      <c r="CA7" s="10">
        <f>IF(管理者入力シート!$B$14=1,BZ4*管理者用人口入力シート!BB$4,IF(管理者入力シート!$B$14=2,BZ4*管理者用人口入力シート!BB$8))</f>
        <v>511.16558905525864</v>
      </c>
      <c r="CB7" s="10">
        <f>IF(管理者入力シート!$B$14=1,CA4*管理者用人口入力シート!BC$4,IF(管理者入力シート!$B$14=2,CA4*管理者用人口入力シート!BC$8))</f>
        <v>321.51190126825804</v>
      </c>
      <c r="CC7" s="10">
        <f>IF(管理者入力シート!$B$14=1,CB4*管理者用人口入力シート!BD$4,IF(管理者入力シート!$B$14=2,CB4*管理者用人口入力シート!BD$8))</f>
        <v>150.4232336677845</v>
      </c>
      <c r="CD7" s="10">
        <f>IF(管理者入力シート!$B$14=1,CC4*管理者用人口入力シート!BE$4,IF(管理者入力シート!$B$14=2,CC4*管理者用人口入力シート!BE$8))</f>
        <v>61.465817721472483</v>
      </c>
      <c r="CE7" s="10">
        <f>IF(管理者入力シート!$B$14=1,CD4*管理者用人口入力シート!BF$4,IF(管理者入力シート!$B$14=2,CD4*管理者用人口入力シート!BF$8))</f>
        <v>14.290333180404149</v>
      </c>
      <c r="CF7" s="10">
        <f t="shared" si="2"/>
        <v>9812.7719850314752</v>
      </c>
      <c r="CG7" s="10">
        <f t="shared" si="20"/>
        <v>453.42594421106674</v>
      </c>
      <c r="CH7" s="10">
        <f t="shared" si="21"/>
        <v>263.05763868242383</v>
      </c>
      <c r="CI7" s="10">
        <f t="shared" si="3"/>
        <v>2774.4912670019471</v>
      </c>
      <c r="CJ7" s="10">
        <f t="shared" si="22"/>
        <v>1605.1028385042853</v>
      </c>
      <c r="CK7" s="14">
        <f t="shared" si="23"/>
        <v>0.28274286524074854</v>
      </c>
      <c r="CL7" s="14">
        <f t="shared" si="24"/>
        <v>0.16357282539049406</v>
      </c>
      <c r="CM7" s="10">
        <f t="shared" si="25"/>
        <v>2189.5735527293873</v>
      </c>
      <c r="CO7" s="7" t="str">
        <f t="shared" si="26"/>
        <v>2030_2</v>
      </c>
      <c r="CP7" s="29">
        <f>CP6</f>
        <v>2030</v>
      </c>
      <c r="CQ7" s="4" t="s">
        <v>22</v>
      </c>
      <c r="CR7" s="10">
        <f>DT7*$AK$14+将来予測シート②!$H17</f>
        <v>399.08324589856232</v>
      </c>
      <c r="CS7" s="10">
        <f>IF(管理者入力シート!$B$14=1,CR4*管理者用人口入力シート!AM$4,IF(管理者入力シート!$B$14=2,CR4*管理者用人口入力シート!AM$8))+将来予測シート②!$H18</f>
        <v>372.51535915308142</v>
      </c>
      <c r="CT7" s="10">
        <f>IF(管理者入力シート!$B$14=1,CS4*管理者用人口入力シート!AN$4,IF(管理者入力シート!$B$14=2,CS4*管理者用人口入力シート!AN$8))+将来予測シート②!$H19</f>
        <v>385.13865480367207</v>
      </c>
      <c r="CU7" s="10">
        <f>IF(管理者入力シート!$B$14=1,CT4*管理者用人口入力シート!AO$4,IF(管理者入力シート!$B$14=2,CT4*管理者用人口入力シート!AO$8))+将来予測シート②!$H20</f>
        <v>548.12001752836716</v>
      </c>
      <c r="CV7" s="10">
        <f>IF(管理者入力シート!$B$14=1,CU4*管理者用人口入力シート!AP$4,IF(管理者入力シート!$B$14=2,CU4*管理者用人口入力シート!AP$8))+将来予測シート②!$H21</f>
        <v>592.20311613226193</v>
      </c>
      <c r="CW7" s="10">
        <f>IF(管理者入力シート!$B$14=1,CV4*管理者用人口入力シート!AQ$4,IF(管理者入力シート!$B$14=2,CV4*管理者用人口入力シート!AQ$8))+将来予測シート②!$H22</f>
        <v>564.87495386680632</v>
      </c>
      <c r="CX7" s="10">
        <f>IF(管理者入力シート!$B$14=1,CW4*管理者用人口入力シート!AR$4,IF(管理者入力シート!$B$14=2,CW4*管理者用人口入力シート!AR$8))+将来予測シート②!$H23</f>
        <v>524.51910313936037</v>
      </c>
      <c r="CY7" s="10">
        <f>IF(管理者入力シート!$B$14=1,CX4*管理者用人口入力シート!AS$4,IF(管理者入力シート!$B$14=2,CX4*管理者用人口入力シート!AS$8))+将来予測シート②!$H24</f>
        <v>511.84474784518358</v>
      </c>
      <c r="CZ7" s="10">
        <f>IF(管理者入力シート!$B$14=1,CY4*管理者用人口入力シート!AT$4,IF(管理者入力シート!$B$14=2,CY4*管理者用人口入力シート!AT$8))+将来予測シート②!$H25</f>
        <v>574.1900695648909</v>
      </c>
      <c r="DA7" s="10">
        <f>IF(管理者入力シート!$B$14=1,CZ4*管理者用人口入力シート!AU$4,IF(管理者入力シート!$B$14=2,CZ4*管理者用人口入力シート!AU$8))+将来予測シート②!$H26</f>
        <v>603.13743736657136</v>
      </c>
      <c r="DB7" s="10">
        <f>IF(管理者入力シート!$B$14=1,DA4*管理者用人口入力シート!AV$4,IF(管理者入力シート!$B$14=2,DA4*管理者用人口入力シート!AV$8))+将来予測シート②!$H27</f>
        <v>657.35336477758835</v>
      </c>
      <c r="DC7" s="10">
        <f>IF(管理者入力シート!$B$14=1,DB4*管理者用人口入力シート!AW$4,IF(管理者入力シート!$B$14=2,DB4*管理者用人口入力シート!AW$8))+将来予測シート②!$H28</f>
        <v>706.44665186025316</v>
      </c>
      <c r="DD7" s="10">
        <f>IF(管理者入力シート!$B$14=1,DC4*管理者用人口入力シート!AX$4,IF(管理者入力シート!$B$14=2,DC4*管理者用人口入力シート!AX$8))+将来予測シート②!$H29</f>
        <v>609.48798660703574</v>
      </c>
      <c r="DE7" s="10">
        <f>IF(管理者入力シート!$B$14=1,DD4*管理者用人口入力シート!AY$4,IF(管理者入力シート!$B$14=2,DD4*管理者用人口入力シート!AY$8))</f>
        <v>599.88364540121472</v>
      </c>
      <c r="DF7" s="10">
        <f>IF(管理者入力シート!$B$14=1,DE4*管理者用人口入力シート!AZ$4,IF(管理者入力シート!$B$14=2,DE4*管理者用人口入力シート!AZ$8))</f>
        <v>569.50478309644689</v>
      </c>
      <c r="DG7" s="10">
        <f>IF(管理者入力シート!$B$14=1,DF4*管理者用人口入力シート!BA$4,IF(管理者入力シート!$B$14=2,DF4*管理者用人口入力シート!BA$8))</f>
        <v>546.24596361110775</v>
      </c>
      <c r="DH7" s="10">
        <f>IF(管理者入力シート!$B$14=1,DG4*管理者用人口入力シート!BB$4,IF(管理者入力シート!$B$14=2,DG4*管理者用人口入力シート!BB$8))</f>
        <v>511.16558905525864</v>
      </c>
      <c r="DI7" s="10">
        <f>IF(管理者入力シート!$B$14=1,DH4*管理者用人口入力シート!BC$4,IF(管理者入力シート!$B$14=2,DH4*管理者用人口入力シート!BC$8))</f>
        <v>321.51190126825804</v>
      </c>
      <c r="DJ7" s="10">
        <f>IF(管理者入力シート!$B$14=1,DI4*管理者用人口入力シート!BD$4,IF(管理者入力シート!$B$14=2,DI4*管理者用人口入力シート!BD$8))</f>
        <v>150.4232336677845</v>
      </c>
      <c r="DK7" s="10">
        <f>IF(管理者入力シート!$B$14=1,DJ4*管理者用人口入力シート!BE$4,IF(管理者入力シート!$B$14=2,DJ4*管理者用人口入力シート!BE$8))</f>
        <v>61.465817721472483</v>
      </c>
      <c r="DL7" s="10">
        <f>IF(管理者入力シート!$B$14=1,DK4*管理者用人口入力シート!BF$4,IF(管理者入力シート!$B$14=2,DK4*管理者用人口入力シート!BF$8))</f>
        <v>14.290333180404149</v>
      </c>
      <c r="DM7" s="10">
        <f t="shared" si="69"/>
        <v>9823.4059755455855</v>
      </c>
      <c r="DN7" s="10">
        <f t="shared" si="34"/>
        <v>454.59240837405207</v>
      </c>
      <c r="DO7" s="10">
        <f t="shared" si="35"/>
        <v>263.67946542714225</v>
      </c>
      <c r="DP7" s="10">
        <f t="shared" si="6"/>
        <v>2774.4912670019471</v>
      </c>
      <c r="DQ7" s="10">
        <f t="shared" si="36"/>
        <v>1605.1028385042853</v>
      </c>
      <c r="DR7" s="14">
        <f t="shared" si="37"/>
        <v>0.28243679166968905</v>
      </c>
      <c r="DS7" s="14">
        <f t="shared" si="38"/>
        <v>0.16339575525026989</v>
      </c>
      <c r="DT7" s="10">
        <f t="shared" si="70"/>
        <v>2193.4419209836124</v>
      </c>
      <c r="DV7" s="7" t="s">
        <v>401</v>
      </c>
      <c r="DW7" s="210">
        <f>(SUM(BK12:BW12)-SUM(D12:P12))/4</f>
        <v>-286.51001446079954</v>
      </c>
      <c r="DX7" s="29">
        <f>DX6</f>
        <v>2030</v>
      </c>
      <c r="DY7" s="4" t="s">
        <v>22</v>
      </c>
      <c r="DZ7" s="10">
        <f>FB7*$AK$14</f>
        <v>487.59019917531356</v>
      </c>
      <c r="EA7" s="10">
        <f>IF(管理者入力シート!$B$14=1,DZ4*管理者用人口入力シート!AM$4,IF(管理者入力シート!$B$14=2,DZ4*管理者用人口入力シート!AM$8))</f>
        <v>371.57125221477253</v>
      </c>
      <c r="EB7" s="10">
        <f>IF(管理者入力シート!$B$14=1,EA4*管理者用人口入力シート!AN$4,IF(管理者入力シート!$B$14=2,EA4*管理者用人口入力シート!AN$8))</f>
        <v>384.13865480367207</v>
      </c>
      <c r="EC7" s="10">
        <f>IF(管理者入力シート!$B$14=1,EB4*管理者用人口入力シート!AO$4,IF(管理者入力シート!$B$14=2,EB4*管理者用人口入力シート!AO$8))</f>
        <v>547.01088380477506</v>
      </c>
      <c r="ED7" s="10">
        <f>IF(管理者入力シート!$B$14=1,EC4*管理者用人口入力シート!AP$4,IF(管理者入力シート!$B$14=2,EC4*管理者用人口入力シート!AP$8))</f>
        <v>592.20311613226193</v>
      </c>
      <c r="EE7" s="10">
        <f>IF(管理者入力シート!$B$14=1,ED4*管理者用人口入力シート!AQ$4,IF(管理者入力シート!$B$14=2,ED4*管理者用人口入力シート!AQ$8))+DX1</f>
        <v>663.87495386680632</v>
      </c>
      <c r="EF7" s="10">
        <f>IF(管理者入力シート!$B$14=1,EE4*管理者用人口入力シート!AR$4,IF(管理者入力シート!$B$14=2,EE4*管理者用人口入力シート!AR$8))+DX1</f>
        <v>718.00333172348383</v>
      </c>
      <c r="EG7" s="10">
        <f>IF(管理者入力シート!$B$14=1,EF4*管理者用人口入力シート!AS$4,IF(管理者入力シート!$B$14=2,EF4*管理者用人口入力シート!AS$8))+DX1</f>
        <v>712.54455943233415</v>
      </c>
      <c r="EH7" s="10">
        <f>IF(管理者入力シート!$B$14=1,EG4*管理者用人口入力シート!AT$4,IF(管理者入力シート!$B$14=2,EG4*管理者用人口入力シート!AT$8))</f>
        <v>674.42575697675898</v>
      </c>
      <c r="EI7" s="10">
        <f>IF(管理者入力シート!$B$14=1,EH4*管理者用人口入力シート!AU$4,IF(管理者入力シート!$B$14=2,EH4*管理者用人口入力シート!AU$8))</f>
        <v>602.12711793683707</v>
      </c>
      <c r="EJ7" s="10">
        <f>IF(管理者入力シート!$B$14=1,EI4*管理者用人口入力シート!AV$4,IF(管理者入力シート!$B$14=2,EI4*管理者用人口入力シート!AV$8))</f>
        <v>657.35336477758835</v>
      </c>
      <c r="EK7" s="10">
        <f>IF(管理者入力シート!$B$14=1,EJ4*管理者用人口入力シート!AW$4,IF(管理者入力シート!$B$14=2,EJ4*管理者用人口入力シート!AW$8))</f>
        <v>706.44665186025316</v>
      </c>
      <c r="EL7" s="10">
        <f>IF(管理者入力シート!$B$14=1,EK4*管理者用人口入力シート!AX$4,IF(管理者入力シート!$B$14=2,EK4*管理者用人口入力シート!AX$8))</f>
        <v>609.48798660703574</v>
      </c>
      <c r="EM7" s="10">
        <f>IF(管理者入力シート!$B$14=1,EL4*管理者用人口入力シート!AY$4,IF(管理者入力シート!$B$14=2,EL4*管理者用人口入力シート!AY$8))</f>
        <v>599.88364540121472</v>
      </c>
      <c r="EN7" s="10">
        <f>IF(管理者入力シート!$B$14=1,EM4*管理者用人口入力シート!AZ$4,IF(管理者入力シート!$B$14=2,EM4*管理者用人口入力シート!AZ$8))</f>
        <v>569.50478309644689</v>
      </c>
      <c r="EO7" s="10">
        <f>IF(管理者入力シート!$B$14=1,EN4*管理者用人口入力シート!BA$4,IF(管理者入力シート!$B$14=2,EN4*管理者用人口入力シート!BA$8))</f>
        <v>546.24596361110775</v>
      </c>
      <c r="EP7" s="10">
        <f>IF(管理者入力シート!$B$14=1,EO4*管理者用人口入力シート!BB$4,IF(管理者入力シート!$B$14=2,EO4*管理者用人口入力シート!BB$8))</f>
        <v>511.16558905525864</v>
      </c>
      <c r="EQ7" s="10">
        <f>IF(管理者入力シート!$B$14=1,EP4*管理者用人口入力シート!BC$4,IF(管理者入力シート!$B$14=2,EP4*管理者用人口入力シート!BC$8))</f>
        <v>321.51190126825804</v>
      </c>
      <c r="ER7" s="10">
        <f>IF(管理者入力シート!$B$14=1,EQ4*管理者用人口入力シート!BD$4,IF(管理者入力シート!$B$14=2,EQ4*管理者用人口入力シート!BD$8))</f>
        <v>150.4232336677845</v>
      </c>
      <c r="ES7" s="10">
        <f>IF(管理者入力シート!$B$14=1,ER4*管理者用人口入力シート!BE$4,IF(管理者入力シート!$B$14=2,ER4*管理者用人口入力シート!BE$8))</f>
        <v>61.465817721472483</v>
      </c>
      <c r="ET7" s="10">
        <f>IF(管理者入力シート!$B$14=1,ES4*管理者用人口入力シート!BF$4,IF(管理者入力シート!$B$14=2,ES4*管理者用人口入力シート!BF$8))</f>
        <v>14.290333180404149</v>
      </c>
      <c r="EU7" s="10">
        <f t="shared" si="71"/>
        <v>10501.269096313841</v>
      </c>
      <c r="EV7" s="10">
        <f t="shared" si="41"/>
        <v>453.42594421106674</v>
      </c>
      <c r="EW7" s="10">
        <f t="shared" si="42"/>
        <v>263.05763868242383</v>
      </c>
      <c r="EX7" s="10">
        <f t="shared" si="10"/>
        <v>2774.4912670019471</v>
      </c>
      <c r="EY7" s="10">
        <f t="shared" si="43"/>
        <v>1605.1028385042853</v>
      </c>
      <c r="EZ7" s="14">
        <f t="shared" si="44"/>
        <v>0.26420532999919505</v>
      </c>
      <c r="FA7" s="14">
        <f t="shared" si="45"/>
        <v>0.15284846276986741</v>
      </c>
      <c r="FB7" s="10">
        <f t="shared" si="72"/>
        <v>2686.6259611548862</v>
      </c>
    </row>
    <row r="8" spans="1:158" x14ac:dyDescent="0.15">
      <c r="A8" s="7" t="str">
        <f t="shared" si="11"/>
        <v>2010_3</v>
      </c>
      <c r="B8" s="30">
        <v>2010</v>
      </c>
      <c r="C8" s="5" t="s">
        <v>23</v>
      </c>
      <c r="D8" s="11">
        <v>1141.7830211059982</v>
      </c>
      <c r="E8" s="11">
        <v>965.94383370083665</v>
      </c>
      <c r="F8" s="11">
        <v>896.48868536872612</v>
      </c>
      <c r="G8" s="11">
        <v>1007.4245425446591</v>
      </c>
      <c r="H8" s="11">
        <v>1056.3589833446722</v>
      </c>
      <c r="I8" s="11">
        <v>1270.0252779867649</v>
      </c>
      <c r="J8" s="11">
        <v>1293.3880173248958</v>
      </c>
      <c r="K8" s="11">
        <v>1413.905797731514</v>
      </c>
      <c r="L8" s="11">
        <v>1206.8831361555467</v>
      </c>
      <c r="M8" s="11">
        <v>1204.8628252554724</v>
      </c>
      <c r="N8" s="11">
        <v>1264.0987100685199</v>
      </c>
      <c r="O8" s="11">
        <v>1217.5899273559296</v>
      </c>
      <c r="P8" s="11">
        <v>1268.0689817274406</v>
      </c>
      <c r="Q8" s="11">
        <v>962.21227760898364</v>
      </c>
      <c r="R8" s="11">
        <v>868.57413360056034</v>
      </c>
      <c r="S8" s="11">
        <v>812.56518677442125</v>
      </c>
      <c r="T8" s="11">
        <v>664.78863252127951</v>
      </c>
      <c r="U8" s="11">
        <v>388.08960519288149</v>
      </c>
      <c r="V8" s="11">
        <v>151.805091761151</v>
      </c>
      <c r="W8" s="11">
        <v>32.127708468863162</v>
      </c>
      <c r="X8" s="11">
        <v>12.015624400884247</v>
      </c>
      <c r="Y8" s="11">
        <f t="shared" si="68"/>
        <v>19099</v>
      </c>
      <c r="Z8" s="11">
        <f t="shared" si="12"/>
        <v>1117.4595114417375</v>
      </c>
      <c r="AA8" s="11">
        <f t="shared" si="13"/>
        <v>560.08038265642222</v>
      </c>
      <c r="AB8" s="11">
        <f t="shared" si="0"/>
        <v>3892.1782603290249</v>
      </c>
      <c r="AC8" s="11">
        <f t="shared" si="14"/>
        <v>2061.3918491194809</v>
      </c>
      <c r="AD8" s="15">
        <f t="shared" si="15"/>
        <v>0.20378963612382978</v>
      </c>
      <c r="AE8" s="15">
        <f t="shared" si="16"/>
        <v>0.10793192570917225</v>
      </c>
      <c r="AF8" s="11">
        <f t="shared" si="17"/>
        <v>5033.6780763878469</v>
      </c>
      <c r="AH8" s="7"/>
      <c r="AI8" s="30" t="s">
        <v>88</v>
      </c>
      <c r="AJ8" s="5">
        <f>AJ7</f>
        <v>2010</v>
      </c>
      <c r="AK8" s="5">
        <f>AK7</f>
        <v>2020</v>
      </c>
      <c r="AL8" s="33" t="s">
        <v>22</v>
      </c>
      <c r="AM8" s="47">
        <f t="shared" si="73"/>
        <v>0.9441069383089038</v>
      </c>
      <c r="AN8" s="47">
        <f t="shared" si="73"/>
        <v>0.99883088803150366</v>
      </c>
      <c r="AO8" s="47">
        <f t="shared" si="73"/>
        <v>1.1091337235920624</v>
      </c>
      <c r="AP8" s="47">
        <f t="shared" si="73"/>
        <v>1.0454300739963656</v>
      </c>
      <c r="AQ8" s="47">
        <f t="shared" si="73"/>
        <v>1.0851223451795147</v>
      </c>
      <c r="AR8" s="47">
        <f t="shared" si="73"/>
        <v>0.93418412711235788</v>
      </c>
      <c r="AS8" s="47">
        <f t="shared" si="73"/>
        <v>0.98712684739753054</v>
      </c>
      <c r="AT8" s="47">
        <f t="shared" si="73"/>
        <v>1.0023335387313672</v>
      </c>
      <c r="AU8" s="47">
        <f t="shared" si="73"/>
        <v>1.0103194297342364</v>
      </c>
      <c r="AV8" s="47">
        <f t="shared" si="73"/>
        <v>0.99175935752670519</v>
      </c>
      <c r="AW8" s="47">
        <f t="shared" si="73"/>
        <v>0.97149791748641878</v>
      </c>
      <c r="AX8" s="47">
        <f t="shared" si="73"/>
        <v>1.012155471581651</v>
      </c>
      <c r="AY8" s="47">
        <f t="shared" si="73"/>
        <v>0.99067861809351865</v>
      </c>
      <c r="AZ8" s="47">
        <f t="shared" si="73"/>
        <v>0.92995033645001368</v>
      </c>
      <c r="BA8" s="47">
        <f t="shared" si="73"/>
        <v>0.95133051437421101</v>
      </c>
      <c r="BB8" s="47">
        <f t="shared" si="73"/>
        <v>0.88728493762549865</v>
      </c>
      <c r="BC8" s="47">
        <f t="shared" si="73"/>
        <v>0.75767232359606551</v>
      </c>
      <c r="BD8" s="47">
        <f t="shared" si="73"/>
        <v>0.52766344093619744</v>
      </c>
      <c r="BE8" s="47">
        <f t="shared" si="73"/>
        <v>0.33866009173515332</v>
      </c>
      <c r="BF8" s="47">
        <f t="shared" si="73"/>
        <v>0.23675400217535567</v>
      </c>
      <c r="BH8" s="7" t="str">
        <f t="shared" si="19"/>
        <v>2030_3</v>
      </c>
      <c r="BI8" s="30">
        <f>BI7</f>
        <v>2030</v>
      </c>
      <c r="BJ8" s="5" t="s">
        <v>23</v>
      </c>
      <c r="BK8" s="16">
        <f>BK6+BK7</f>
        <v>796.56507467889037</v>
      </c>
      <c r="BL8" s="16">
        <f t="shared" ref="BL8" si="74">BL6+BL7</f>
        <v>737.70120231526175</v>
      </c>
      <c r="BM8" s="16">
        <f t="shared" ref="BM8" si="75">BM6+BM7</f>
        <v>755.05814319919443</v>
      </c>
      <c r="BN8" s="16">
        <f t="shared" ref="BN8" si="76">BN6+BN7</f>
        <v>963.90608293795378</v>
      </c>
      <c r="BO8" s="16">
        <f t="shared" ref="BO8" si="77">BO6+BO7</f>
        <v>1115.7629930157166</v>
      </c>
      <c r="BP8" s="16">
        <f t="shared" ref="BP8" si="78">BP6+BP7</f>
        <v>1011.1039012664089</v>
      </c>
      <c r="BQ8" s="16">
        <f t="shared" ref="BQ8" si="79">BQ6+BQ7</f>
        <v>932.8155707640949</v>
      </c>
      <c r="BR8" s="16">
        <f t="shared" ref="BR8" si="80">BR6+BR7</f>
        <v>1024.6679935237182</v>
      </c>
      <c r="BS8" s="16">
        <f t="shared" ref="BS8" si="81">BS6+BS7</f>
        <v>1103.018592776087</v>
      </c>
      <c r="BT8" s="16">
        <f t="shared" ref="BT8" si="82">BT6+BT7</f>
        <v>1201.5057705601371</v>
      </c>
      <c r="BU8" s="16">
        <f t="shared" ref="BU8" si="83">BU6+BU7</f>
        <v>1265.3243905647678</v>
      </c>
      <c r="BV8" s="16">
        <f t="shared" ref="BV8" si="84">BV6+BV7</f>
        <v>1380.7720770265842</v>
      </c>
      <c r="BW8" s="16">
        <f t="shared" ref="BW8" si="85">BW6+BW7</f>
        <v>1138.9615806108961</v>
      </c>
      <c r="BX8" s="16">
        <f t="shared" ref="BX8" si="86">BX6+BX7</f>
        <v>1133.5519633095075</v>
      </c>
      <c r="BY8" s="16">
        <f t="shared" ref="BY8" si="87">BY6+BY7</f>
        <v>1107.6473776561361</v>
      </c>
      <c r="BZ8" s="16">
        <f t="shared" ref="BZ8" si="88">BZ6+BZ7</f>
        <v>979.4568197696824</v>
      </c>
      <c r="CA8" s="16">
        <f t="shared" ref="CA8" si="89">CA6+CA7</f>
        <v>874.36705902519657</v>
      </c>
      <c r="CB8" s="16">
        <f t="shared" ref="CB8" si="90">CB6+CB7</f>
        <v>480.78002878472716</v>
      </c>
      <c r="CC8" s="16">
        <f t="shared" ref="CC8" si="91">CC6+CC7</f>
        <v>222.64504390067981</v>
      </c>
      <c r="CD8" s="16">
        <f t="shared" ref="CD8" si="92">CD6+CD7</f>
        <v>68.656002981969394</v>
      </c>
      <c r="CE8" s="16">
        <f t="shared" ref="CE8" si="93">CE6+CE7</f>
        <v>14.410991389924513</v>
      </c>
      <c r="CF8" s="11">
        <f t="shared" si="2"/>
        <v>18308.678660057536</v>
      </c>
      <c r="CG8" s="11">
        <f t="shared" si="20"/>
        <v>895.65560730867355</v>
      </c>
      <c r="CH8" s="11">
        <f t="shared" si="21"/>
        <v>494.80447386726848</v>
      </c>
      <c r="CI8" s="11">
        <f t="shared" si="3"/>
        <v>4881.5152868178229</v>
      </c>
      <c r="CJ8" s="11">
        <f t="shared" si="22"/>
        <v>2640.31594585218</v>
      </c>
      <c r="CK8" s="15">
        <f t="shared" si="23"/>
        <v>0.26662302493010615</v>
      </c>
      <c r="CL8" s="15">
        <f t="shared" si="24"/>
        <v>0.14421116864169611</v>
      </c>
      <c r="CM8" s="11">
        <f t="shared" si="25"/>
        <v>4084.3504585699384</v>
      </c>
      <c r="CO8" s="7" t="str">
        <f t="shared" si="26"/>
        <v>2030_3</v>
      </c>
      <c r="CP8" s="30">
        <f>CP7</f>
        <v>2030</v>
      </c>
      <c r="CQ8" s="5" t="s">
        <v>23</v>
      </c>
      <c r="CR8" s="16">
        <f>CR6+CR7</f>
        <v>799.97238389829124</v>
      </c>
      <c r="CS8" s="16">
        <f t="shared" ref="CS8" si="94">CS6+CS7</f>
        <v>739.57138952365017</v>
      </c>
      <c r="CT8" s="16">
        <f t="shared" ref="CT8" si="95">CT6+CT7</f>
        <v>757.05814319919443</v>
      </c>
      <c r="CU8" s="16">
        <f t="shared" ref="CU8" si="96">CU6+CU7</f>
        <v>966.0047106912441</v>
      </c>
      <c r="CV8" s="16">
        <f t="shared" ref="CV8" si="97">CV6+CV7</f>
        <v>1115.7629930157166</v>
      </c>
      <c r="CW8" s="16">
        <f t="shared" ref="CW8" si="98">CW6+CW7</f>
        <v>1015.1039012664089</v>
      </c>
      <c r="CX8" s="16">
        <f t="shared" ref="CX8" si="99">CX6+CX7</f>
        <v>936.6929556568557</v>
      </c>
      <c r="CY8" s="16">
        <f t="shared" ref="CY8" si="100">CY6+CY7</f>
        <v>1024.6679935237182</v>
      </c>
      <c r="CZ8" s="16">
        <f t="shared" ref="CZ8" si="101">CZ6+CZ7</f>
        <v>1104.018592776087</v>
      </c>
      <c r="DA8" s="16">
        <f t="shared" ref="DA8" si="102">DA6+DA7</f>
        <v>1202.5160899898713</v>
      </c>
      <c r="DB8" s="16">
        <f t="shared" ref="DB8" si="103">DB6+DB7</f>
        <v>1265.3243905647678</v>
      </c>
      <c r="DC8" s="16">
        <f t="shared" ref="DC8" si="104">DC6+DC7</f>
        <v>1380.7720770265842</v>
      </c>
      <c r="DD8" s="16">
        <f t="shared" ref="DD8" si="105">DD6+DD7</f>
        <v>1138.9615806108961</v>
      </c>
      <c r="DE8" s="16">
        <f t="shared" ref="DE8" si="106">DE6+DE7</f>
        <v>1133.5519633095075</v>
      </c>
      <c r="DF8" s="16">
        <f t="shared" ref="DF8" si="107">DF6+DF7</f>
        <v>1107.6473776561361</v>
      </c>
      <c r="DG8" s="16">
        <f t="shared" ref="DG8" si="108">DG6+DG7</f>
        <v>979.4568197696824</v>
      </c>
      <c r="DH8" s="16">
        <f t="shared" ref="DH8" si="109">DH6+DH7</f>
        <v>874.36705902519657</v>
      </c>
      <c r="DI8" s="16">
        <f t="shared" ref="DI8" si="110">DI6+DI7</f>
        <v>480.78002878472716</v>
      </c>
      <c r="DJ8" s="16">
        <f t="shared" ref="DJ8" si="111">DJ6+DJ7</f>
        <v>222.64504390067981</v>
      </c>
      <c r="DK8" s="16">
        <f t="shared" ref="DK8" si="112">DK6+DK7</f>
        <v>68.656002981969394</v>
      </c>
      <c r="DL8" s="16">
        <f t="shared" ref="DL8" si="113">DL6+DL7</f>
        <v>14.410991389924513</v>
      </c>
      <c r="DM8" s="11">
        <f t="shared" si="69"/>
        <v>18327.942488561108</v>
      </c>
      <c r="DN8" s="11">
        <f t="shared" si="34"/>
        <v>897.97771963370667</v>
      </c>
      <c r="DO8" s="11">
        <f t="shared" si="35"/>
        <v>496.02419941792658</v>
      </c>
      <c r="DP8" s="11">
        <f t="shared" si="6"/>
        <v>4881.5152868178229</v>
      </c>
      <c r="DQ8" s="11">
        <f t="shared" si="36"/>
        <v>2640.31594585218</v>
      </c>
      <c r="DR8" s="15">
        <f t="shared" si="37"/>
        <v>0.26634278724218441</v>
      </c>
      <c r="DS8" s="15">
        <f t="shared" si="38"/>
        <v>0.14405959356867593</v>
      </c>
      <c r="DT8" s="11">
        <f t="shared" si="70"/>
        <v>4092.2278434626996</v>
      </c>
      <c r="DV8" s="7" t="s">
        <v>402</v>
      </c>
      <c r="DW8" s="210">
        <f>(SUM(BK13:BW13)-SUM(D13:P13))/4</f>
        <v>-196.71450141742321</v>
      </c>
      <c r="DX8" s="30">
        <f>DX7</f>
        <v>2030</v>
      </c>
      <c r="DY8" s="5" t="s">
        <v>23</v>
      </c>
      <c r="DZ8" s="16">
        <f>DZ6+DZ7</f>
        <v>977.3923359249136</v>
      </c>
      <c r="EA8" s="16">
        <f t="shared" ref="EA8:ET8" si="114">EA6+EA7</f>
        <v>737.70120231526175</v>
      </c>
      <c r="EB8" s="16">
        <f t="shared" si="114"/>
        <v>755.05814319919443</v>
      </c>
      <c r="EC8" s="16">
        <f t="shared" si="114"/>
        <v>963.90608293795378</v>
      </c>
      <c r="ED8" s="16">
        <f t="shared" si="114"/>
        <v>1115.7629930157166</v>
      </c>
      <c r="EE8" s="16">
        <f t="shared" si="114"/>
        <v>1213.1039012664087</v>
      </c>
      <c r="EF8" s="16">
        <f t="shared" si="114"/>
        <v>1330.6235078485229</v>
      </c>
      <c r="EG8" s="16">
        <f t="shared" si="114"/>
        <v>1425.8436755781677</v>
      </c>
      <c r="EH8" s="16">
        <f t="shared" si="114"/>
        <v>1304.1479088517717</v>
      </c>
      <c r="EI8" s="16">
        <f t="shared" si="114"/>
        <v>1201.5057705601371</v>
      </c>
      <c r="EJ8" s="16">
        <f t="shared" si="114"/>
        <v>1265.3243905647678</v>
      </c>
      <c r="EK8" s="16">
        <f t="shared" si="114"/>
        <v>1380.7720770265842</v>
      </c>
      <c r="EL8" s="16">
        <f t="shared" si="114"/>
        <v>1138.9615806108961</v>
      </c>
      <c r="EM8" s="16">
        <f t="shared" si="114"/>
        <v>1133.5519633095075</v>
      </c>
      <c r="EN8" s="16">
        <f t="shared" si="114"/>
        <v>1107.6473776561361</v>
      </c>
      <c r="EO8" s="16">
        <f t="shared" si="114"/>
        <v>979.4568197696824</v>
      </c>
      <c r="EP8" s="16">
        <f t="shared" si="114"/>
        <v>874.36705902519657</v>
      </c>
      <c r="EQ8" s="16">
        <f t="shared" si="114"/>
        <v>480.78002878472716</v>
      </c>
      <c r="ER8" s="16">
        <f t="shared" si="114"/>
        <v>222.64504390067981</v>
      </c>
      <c r="ES8" s="16">
        <f t="shared" si="114"/>
        <v>68.656002981969394</v>
      </c>
      <c r="ET8" s="16">
        <f t="shared" si="114"/>
        <v>14.410991389924513</v>
      </c>
      <c r="EU8" s="11">
        <f t="shared" si="71"/>
        <v>19691.618856518118</v>
      </c>
      <c r="EV8" s="11">
        <f t="shared" si="41"/>
        <v>895.65560730867355</v>
      </c>
      <c r="EW8" s="11">
        <f t="shared" si="42"/>
        <v>494.80447386726848</v>
      </c>
      <c r="EX8" s="11">
        <f t="shared" si="10"/>
        <v>4881.5152868178229</v>
      </c>
      <c r="EY8" s="11">
        <f t="shared" si="43"/>
        <v>2640.31594585218</v>
      </c>
      <c r="EZ8" s="15">
        <f t="shared" si="44"/>
        <v>0.24789811962067271</v>
      </c>
      <c r="FA8" s="15">
        <f t="shared" si="45"/>
        <v>0.13408323434912561</v>
      </c>
      <c r="FB8" s="11">
        <f t="shared" si="72"/>
        <v>5085.334077708816</v>
      </c>
    </row>
    <row r="9" spans="1:158" x14ac:dyDescent="0.15">
      <c r="A9" s="7" t="str">
        <f t="shared" si="11"/>
        <v>2015_1</v>
      </c>
      <c r="B9" s="28">
        <v>2015</v>
      </c>
      <c r="C9" s="3" t="s">
        <v>21</v>
      </c>
      <c r="D9" s="9">
        <v>433.85518187591413</v>
      </c>
      <c r="E9" s="9">
        <v>530.24347007538552</v>
      </c>
      <c r="F9" s="9">
        <v>462.5594548803075</v>
      </c>
      <c r="G9" s="9">
        <v>452.40734472483706</v>
      </c>
      <c r="H9" s="9">
        <v>571.52725616595956</v>
      </c>
      <c r="I9" s="9">
        <v>519.71493728745588</v>
      </c>
      <c r="J9" s="9">
        <v>596.24197921562973</v>
      </c>
      <c r="K9" s="9">
        <v>623.94602564846605</v>
      </c>
      <c r="L9" s="9">
        <v>658.954066641748</v>
      </c>
      <c r="M9" s="9">
        <v>556.33829735715369</v>
      </c>
      <c r="N9" s="9">
        <v>562.76027756924941</v>
      </c>
      <c r="O9" s="9">
        <v>600.08089615441202</v>
      </c>
      <c r="P9" s="9">
        <v>564.24305169778131</v>
      </c>
      <c r="Q9" s="9">
        <v>601.53096229039795</v>
      </c>
      <c r="R9" s="9">
        <v>391.70750467691204</v>
      </c>
      <c r="S9" s="9">
        <v>348.51863263862674</v>
      </c>
      <c r="T9" s="9">
        <v>240.00837066244421</v>
      </c>
      <c r="U9" s="9">
        <v>151.70370604418696</v>
      </c>
      <c r="V9" s="9">
        <v>35.605641543658606</v>
      </c>
      <c r="W9" s="9">
        <v>4.0486138451443567</v>
      </c>
      <c r="X9" s="9">
        <v>1.0043290043290043</v>
      </c>
      <c r="Y9" s="9">
        <f t="shared" si="68"/>
        <v>8907</v>
      </c>
      <c r="Z9" s="9">
        <f t="shared" si="12"/>
        <v>595.68175497341576</v>
      </c>
      <c r="AA9" s="9">
        <f t="shared" si="13"/>
        <v>275.50525089709038</v>
      </c>
      <c r="AB9" s="9">
        <f t="shared" si="0"/>
        <v>1774.1277607056995</v>
      </c>
      <c r="AC9" s="9">
        <f t="shared" si="14"/>
        <v>780.88929373838994</v>
      </c>
      <c r="AD9" s="13">
        <f t="shared" si="15"/>
        <v>0.19918353662352078</v>
      </c>
      <c r="AE9" s="13">
        <f t="shared" si="16"/>
        <v>8.7671415037430103E-2</v>
      </c>
      <c r="AF9" s="9">
        <f t="shared" si="17"/>
        <v>2311.430198317511</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411.33536051030325</v>
      </c>
      <c r="BL9" s="9">
        <f>IF(管理者入力シート!$B$14=1,BK6*管理者用人口入力シート!AM$3,IF(管理者入力シート!$B$14=2,BK6*管理者用人口入力シート!AM$7))</f>
        <v>369.67632554110912</v>
      </c>
      <c r="BM9" s="9">
        <f>IF(管理者入力シート!$B$14=1,BL6*管理者用人口入力シート!AN$3,IF(管理者入力シート!$B$14=2,BL6*管理者用人口入力シート!AN$7))</f>
        <v>358.36510205816478</v>
      </c>
      <c r="BN9" s="9">
        <f>IF(管理者入力シート!$B$14=1,BM6*管理者用人口入力シート!AO$3,IF(管理者入力シート!$B$14=2,BM6*管理者用人口入力シート!AO$7))</f>
        <v>367.02261926607503</v>
      </c>
      <c r="BO9" s="9">
        <f>IF(管理者入力シート!$B$14=1,BN6*管理者用人口入力シート!AP$3,IF(管理者入力シート!$B$14=2,BN6*管理者用人口入力シート!AP$7))</f>
        <v>410.5853863753926</v>
      </c>
      <c r="BP9" s="9">
        <f>IF(管理者入力シート!$B$14=1,BO6*管理者用人口入力シート!AQ$3,IF(管理者入力シート!$B$14=2,BO6*管理者用人口入力シート!AQ$7))</f>
        <v>523.02200222115039</v>
      </c>
      <c r="BQ9" s="9">
        <f>IF(管理者入力シート!$B$14=1,BP6*管理者用人口入力シート!AR$3,IF(管理者入力シート!$B$14=2,BP6*管理者用人口入力シート!AR$7))</f>
        <v>450.24970659969176</v>
      </c>
      <c r="BR9" s="9">
        <f>IF(管理者入力シート!$B$14=1,BQ6*管理者用人口入力シート!AS$3,IF(管理者入力シート!$B$14=2,BQ6*管理者用人口入力シート!AS$7))</f>
        <v>403.97528796174436</v>
      </c>
      <c r="BS9" s="9">
        <f>IF(管理者入力シート!$B$14=1,BR6*管理者用人口入力シート!AT$3,IF(管理者入力シート!$B$14=2,BR6*管理者用人口入力シート!AT$7))</f>
        <v>507.20569182163138</v>
      </c>
      <c r="BT9" s="9">
        <f>IF(管理者入力シート!$B$14=1,BS6*管理者用人口入力シート!AU$3,IF(管理者入力シート!$B$14=2,BS6*管理者用人口入力シート!AU$7))</f>
        <v>534.15642090429606</v>
      </c>
      <c r="BU9" s="9">
        <f>IF(管理者入力シート!$B$14=1,BT6*管理者用人口入力シート!AV$3,IF(管理者入力シート!$B$14=2,BT6*管理者用人口入力シート!AV$7))</f>
        <v>584.54806923336798</v>
      </c>
      <c r="BV9" s="9">
        <f>IF(管理者入力シート!$B$14=1,BU6*管理者用人口入力シート!AW$3,IF(管理者入力シート!$B$14=2,BU6*管理者用人口入力シート!AW$7))</f>
        <v>590.50738003784852</v>
      </c>
      <c r="BW9" s="9">
        <f>IF(管理者入力シート!$B$14=1,BV6*管理者用人口入力シート!AX$3,IF(管理者入力シート!$B$14=2,BV6*管理者用人口入力シート!AX$7))</f>
        <v>664.42578171272805</v>
      </c>
      <c r="BX9" s="9">
        <f>IF(管理者入力シート!$B$14=1,BW6*管理者用人口入力シート!AY$3,IF(管理者入力シート!$B$14=2,BW6*管理者用人口入力シート!AY$7))</f>
        <v>510.87219042195761</v>
      </c>
      <c r="BY9" s="9">
        <f>IF(管理者入力シート!$B$14=1,BX6*管理者用人口入力シート!AZ$3,IF(管理者入力シート!$B$14=2,BX6*管理者用人口入力シート!AZ$7))</f>
        <v>484.52497963047301</v>
      </c>
      <c r="BZ9" s="9">
        <f>IF(管理者入力シート!$B$14=1,BY6*管理者用人口入力シート!BA$3,IF(管理者入力シート!$B$14=2,BY6*管理者用人口入力シート!BA$7))</f>
        <v>459.75771349867694</v>
      </c>
      <c r="CA9" s="9">
        <f>IF(管理者入力シート!$B$14=1,BZ6*管理者用人口入力シート!BB$3,IF(管理者入力シート!$B$14=2,BZ6*管理者用人口入力シート!BB$7))</f>
        <v>335.89280918067413</v>
      </c>
      <c r="CB9" s="9">
        <f>IF(管理者入力シート!$B$14=1,CA6*管理者用人口入力シート!BC$3,IF(管理者入力シート!$B$14=2,CA6*管理者用人口入力シート!BC$7))</f>
        <v>221.91522572849848</v>
      </c>
      <c r="CC9" s="9">
        <f>IF(管理者入力シート!$B$14=1,CB6*管理者用人口入力シート!BD$3,IF(管理者入力シート!$B$14=2,CB6*管理者用人口入力シート!BD$7))</f>
        <v>68.085723038703136</v>
      </c>
      <c r="CD9" s="9">
        <f>IF(管理者入力シート!$B$14=1,CC6*管理者用人口入力シート!BE$3,IF(管理者入力シート!$B$14=2,CC6*管理者用人口入力シート!BE$7))</f>
        <v>7.8367052024453203</v>
      </c>
      <c r="CE9" s="9">
        <f>IF(管理者入力シート!$B$14=1,CD6*管理者用人口入力シート!BF$3,IF(管理者入力シート!$B$14=2,CD6*管理者用人口入力シート!BF$7))</f>
        <v>0.10170471550561813</v>
      </c>
      <c r="CF9" s="9">
        <f t="shared" si="2"/>
        <v>8264.0621856604375</v>
      </c>
      <c r="CG9" s="9">
        <f t="shared" si="20"/>
        <v>436.8248565595643</v>
      </c>
      <c r="CH9" s="9">
        <f t="shared" si="21"/>
        <v>216.75056467648093</v>
      </c>
      <c r="CI9" s="9">
        <f t="shared" si="3"/>
        <v>2088.9870514169343</v>
      </c>
      <c r="CJ9" s="9">
        <f t="shared" si="22"/>
        <v>1093.5898813645035</v>
      </c>
      <c r="CK9" s="13">
        <f t="shared" si="23"/>
        <v>0.25277968685202834</v>
      </c>
      <c r="CL9" s="13">
        <f t="shared" si="24"/>
        <v>0.13233079045098053</v>
      </c>
      <c r="CM9" s="9">
        <f t="shared" si="25"/>
        <v>1787.8323831579792</v>
      </c>
      <c r="CO9" s="7" t="str">
        <f t="shared" si="26"/>
        <v>2035_1</v>
      </c>
      <c r="CP9" s="28">
        <f>管理者入力シート!B10</f>
        <v>2035</v>
      </c>
      <c r="CQ9" s="3" t="s">
        <v>21</v>
      </c>
      <c r="CR9" s="9">
        <f>DT10*$AK$13+将来予測シート②!$G17</f>
        <v>413.58824106071279</v>
      </c>
      <c r="CS9" s="9">
        <f>IF(管理者入力シート!$B$14=1,CR6*管理者用人口入力シート!AM$3,IF(管理者入力シート!$B$14=2,CR6*管理者用人口入力シート!AM$7))+将来予測シート②!$G18</f>
        <v>371.25552119079288</v>
      </c>
      <c r="CT9" s="9">
        <f>IF(管理者入力シート!$B$14=1,CS6*管理者用人口入力シート!AN$3,IF(管理者入力シート!$B$14=2,CS6*管理者用人口入力シート!AN$7))+将来予測シート②!$G19</f>
        <v>360.27154210878086</v>
      </c>
      <c r="CU9" s="9">
        <f>IF(管理者入力シート!$B$14=1,CT6*管理者用人口入力シート!AO$3,IF(管理者入力シート!$B$14=2,CT6*管理者用人口入力シート!AO$7))+将来予測シート②!$G20</f>
        <v>368.01211329577319</v>
      </c>
      <c r="CV9" s="9">
        <f>IF(管理者入力シート!$B$14=1,CU6*管理者用人口入力シート!AP$3,IF(管理者入力シート!$B$14=2,CU6*管理者用人口入力シート!AP$7))+将来予測シート②!$G21</f>
        <v>411.55990416630146</v>
      </c>
      <c r="CW9" s="9">
        <f>IF(管理者入力シート!$B$14=1,CV6*管理者用人口入力シート!AQ$3,IF(管理者入力シート!$B$14=2,CV6*管理者用人口入力シート!AQ$7))+将来予測シート②!$G22</f>
        <v>525.02200222115039</v>
      </c>
      <c r="CX9" s="9">
        <f>IF(管理者入力シート!$B$14=1,CW6*管理者用人口入力シート!AR$3,IF(管理者入力シート!$B$14=2,CW6*管理者用人口入力シート!AR$7))+将来予測シート②!$G23</f>
        <v>452.25872323822801</v>
      </c>
      <c r="CY9" s="9">
        <f>IF(管理者入力シート!$B$14=1,CX6*管理者用人口入力シート!AS$3,IF(管理者入力シート!$B$14=2,CX6*管理者用人口入力シート!AS$7))+将来予測シート②!$G24</f>
        <v>405.95398775285003</v>
      </c>
      <c r="CZ9" s="9">
        <f>IF(管理者入力シート!$B$14=1,CY6*管理者用人口入力シート!AT$3,IF(管理者入力シート!$B$14=2,CY6*管理者用人口入力シート!AT$7))+将来予測シート②!$G25</f>
        <v>507.20569182163138</v>
      </c>
      <c r="DA9" s="9">
        <f>IF(管理者入力シート!$B$14=1,CZ6*管理者用人口入力シート!AU$3,IF(管理者入力シート!$B$14=2,CZ6*管理者用人口入力シート!AU$7))+将来予測シート②!$G26</f>
        <v>534.15642090429606</v>
      </c>
      <c r="DB9" s="9">
        <f>IF(管理者入力シート!$B$14=1,DA6*管理者用人口入力シート!AV$3,IF(管理者入力シート!$B$14=2,DA6*管理者用人口入力シート!AV$7))+将来予測シート②!$G27</f>
        <v>584.54806923336798</v>
      </c>
      <c r="DC9" s="9">
        <f>IF(管理者入力シート!$B$14=1,DB6*管理者用人口入力シート!AW$3,IF(管理者入力シート!$B$14=2,DB6*管理者用人口入力シート!AW$7))+将来予測シート②!$G28</f>
        <v>590.50738003784852</v>
      </c>
      <c r="DD9" s="9">
        <f>IF(管理者入力シート!$B$14=1,DC6*管理者用人口入力シート!AX$3,IF(管理者入力シート!$B$14=2,DC6*管理者用人口入力シート!AX$7))+将来予測シート②!$G29</f>
        <v>664.42578171272805</v>
      </c>
      <c r="DE9" s="9">
        <f>IF(管理者入力シート!$B$14=1,DD6*管理者用人口入力シート!AY$3,IF(管理者入力シート!$B$14=2,DD6*管理者用人口入力シート!AY$7))</f>
        <v>510.87219042195761</v>
      </c>
      <c r="DF9" s="9">
        <f>IF(管理者入力シート!$B$14=1,DE6*管理者用人口入力シート!AZ$3,IF(管理者入力シート!$B$14=2,DE6*管理者用人口入力シート!AZ$7))</f>
        <v>484.52497963047301</v>
      </c>
      <c r="DG9" s="9">
        <f>IF(管理者入力シート!$B$14=1,DF6*管理者用人口入力シート!BA$3,IF(管理者入力シート!$B$14=2,DF6*管理者用人口入力シート!BA$7))</f>
        <v>459.75771349867694</v>
      </c>
      <c r="DH9" s="9">
        <f>IF(管理者入力シート!$B$14=1,DG6*管理者用人口入力シート!BB$3,IF(管理者入力シート!$B$14=2,DG6*管理者用人口入力シート!BB$7))</f>
        <v>335.89280918067413</v>
      </c>
      <c r="DI9" s="9">
        <f>IF(管理者入力シート!$B$14=1,DH6*管理者用人口入力シート!BC$3,IF(管理者入力シート!$B$14=2,DH6*管理者用人口入力シート!BC$7))</f>
        <v>221.91522572849848</v>
      </c>
      <c r="DJ9" s="9">
        <f>IF(管理者入力シート!$B$14=1,DI6*管理者用人口入力シート!BD$3,IF(管理者入力シート!$B$14=2,DI6*管理者用人口入力シート!BD$7))</f>
        <v>68.085723038703136</v>
      </c>
      <c r="DK9" s="9">
        <f>IF(管理者入力シート!$B$14=1,DJ6*管理者用人口入力シート!BE$3,IF(管理者入力シート!$B$14=2,DJ6*管理者用人口入力シート!BE$7))</f>
        <v>7.8367052024453203</v>
      </c>
      <c r="DL9" s="9">
        <f>IF(管理者入力シート!$B$14=1,DK6*管理者用人口入力シート!BF$3,IF(管理者入力シート!$B$14=2,DK6*管理者用人口入力シート!BF$7))</f>
        <v>0.10170471550561813</v>
      </c>
      <c r="DM9" s="9">
        <f t="shared" si="69"/>
        <v>8277.7524301613958</v>
      </c>
      <c r="DN9" s="9">
        <f t="shared" si="34"/>
        <v>438.91623797974421</v>
      </c>
      <c r="DO9" s="9">
        <f t="shared" si="35"/>
        <v>217.71103950266701</v>
      </c>
      <c r="DP9" s="9">
        <f t="shared" si="6"/>
        <v>2088.9870514169343</v>
      </c>
      <c r="DQ9" s="9">
        <f t="shared" si="36"/>
        <v>1093.5898813645035</v>
      </c>
      <c r="DR9" s="13">
        <f t="shared" si="37"/>
        <v>0.25236162461266121</v>
      </c>
      <c r="DS9" s="13">
        <f t="shared" si="38"/>
        <v>0.13211193383602815</v>
      </c>
      <c r="DT9" s="9">
        <f t="shared" si="70"/>
        <v>1794.7946173785299</v>
      </c>
      <c r="DV9" s="7" t="s">
        <v>403</v>
      </c>
      <c r="DW9" s="210">
        <f>DW7+DW8</f>
        <v>-483.22451587822275</v>
      </c>
      <c r="DX9" s="28">
        <f>管理者入力シート!B10</f>
        <v>2035</v>
      </c>
      <c r="DY9" s="3" t="s">
        <v>21</v>
      </c>
      <c r="DZ9" s="9">
        <f>FB10*$AK$13</f>
        <v>518.93370811620866</v>
      </c>
      <c r="EA9" s="129">
        <f>IF(管理者入力シート!$B$14=1,DZ6*管理者用人口入力シート!AM$3,IF(管理者入力シート!$B$14=2,DZ6*管理者用人口入力シート!AM$7))</f>
        <v>453.59609508666631</v>
      </c>
      <c r="EB9" s="9">
        <f>IF(管理者入力シート!$B$14=1,EA6*管理者用人口入力シート!AN$3,IF(管理者入力シート!$B$14=2,EA6*管理者用人口入力シート!AN$7))</f>
        <v>358.36510205816478</v>
      </c>
      <c r="EC9" s="9">
        <f>IF(管理者入力シート!$B$14=1,EB6*管理者用人口入力シート!AO$3,IF(管理者入力シート!$B$14=2,EB6*管理者用人口入力シート!AO$7))</f>
        <v>367.02261926607503</v>
      </c>
      <c r="ED9" s="9">
        <f>IF(管理者入力シート!$B$14=1,EC6*管理者用人口入力シート!AP$3,IF(管理者入力シート!$B$14=2,EC6*管理者用人口入力シート!AP$7))</f>
        <v>410.5853863753926</v>
      </c>
      <c r="EE9" s="9">
        <f>IF(管理者入力シート!$B$14=1,ED6*管理者用人口入力シート!AQ$3,IF(管理者入力シート!$B$14=2,ED6*管理者用人口入力シート!AQ$7))+DX1</f>
        <v>624.02200222115039</v>
      </c>
      <c r="EF9" s="9">
        <f>IF(管理者入力シート!$B$14=1,EE6*管理者用人口入力シート!AR$3,IF(管理者入力シート!$B$14=2,EE6*管理者用人口入力シート!AR$7))+DX1</f>
        <v>652.70504684577145</v>
      </c>
      <c r="EG9" s="9">
        <f>IF(管理者入力シート!$B$14=1,EF6*管理者用人口入力シート!AS$3,IF(管理者入力シート!$B$14=2,EF6*管理者用人口入力シート!AS$7))+DX1</f>
        <v>704.37549787988212</v>
      </c>
      <c r="EH9" s="9">
        <f>IF(管理者入力シート!$B$14=1,EG6*管理者用人口入力シート!AT$3,IF(管理者入力シート!$B$14=2,EG6*管理者用人口入力シート!AT$7))</f>
        <v>705.48551519307443</v>
      </c>
      <c r="EI9" s="9">
        <f>IF(管理者入力シート!$B$14=1,EH6*管理者用人口入力シート!AU$3,IF(管理者入力シート!$B$14=2,EH6*管理者用人口入力シート!AU$7))</f>
        <v>634.86602942972763</v>
      </c>
      <c r="EJ9" s="9">
        <f>IF(管理者入力シート!$B$14=1,EI6*管理者用人口入力シート!AV$3,IF(管理者入力シート!$B$14=2,EI6*管理者用人口入力シート!AV$7))</f>
        <v>584.54806923336798</v>
      </c>
      <c r="EK9" s="9">
        <f>IF(管理者入力シート!$B$14=1,EJ6*管理者用人口入力シート!AW$3,IF(管理者入力シート!$B$14=2,EJ6*管理者用人口入力シート!AW$7))</f>
        <v>590.50738003784852</v>
      </c>
      <c r="EL9" s="9">
        <f>IF(管理者入力シート!$B$14=1,EK6*管理者用人口入力シート!AX$3,IF(管理者入力シート!$B$14=2,EK6*管理者用人口入力シート!AX$7))</f>
        <v>664.42578171272805</v>
      </c>
      <c r="EM9" s="9">
        <f>IF(管理者入力シート!$B$14=1,EL6*管理者用人口入力シート!AY$3,IF(管理者入力シート!$B$14=2,EL6*管理者用人口入力シート!AY$7))</f>
        <v>510.87219042195761</v>
      </c>
      <c r="EN9" s="9">
        <f>IF(管理者入力シート!$B$14=1,EM6*管理者用人口入力シート!AZ$3,IF(管理者入力シート!$B$14=2,EM6*管理者用人口入力シート!AZ$7))</f>
        <v>484.52497963047301</v>
      </c>
      <c r="EO9" s="9">
        <f>IF(管理者入力シート!$B$14=1,EN6*管理者用人口入力シート!BA$3,IF(管理者入力シート!$B$14=2,EN6*管理者用人口入力シート!BA$7))</f>
        <v>459.75771349867694</v>
      </c>
      <c r="EP9" s="9">
        <f>IF(管理者入力シート!$B$14=1,EO6*管理者用人口入力シート!BB$3,IF(管理者入力シート!$B$14=2,EO6*管理者用人口入力シート!BB$7))</f>
        <v>335.89280918067413</v>
      </c>
      <c r="EQ9" s="9">
        <f>IF(管理者入力シート!$B$14=1,EP6*管理者用人口入力シート!BC$3,IF(管理者入力シート!$B$14=2,EP6*管理者用人口入力シート!BC$7))</f>
        <v>221.91522572849848</v>
      </c>
      <c r="ER9" s="9">
        <f>IF(管理者入力シート!$B$14=1,EQ6*管理者用人口入力シート!BD$3,IF(管理者入力シート!$B$14=2,EQ6*管理者用人口入力シート!BD$7))</f>
        <v>68.085723038703136</v>
      </c>
      <c r="ES9" s="9">
        <f>IF(管理者入力シート!$B$14=1,ER6*管理者用人口入力シート!BE$3,IF(管理者入力シート!$B$14=2,ER6*管理者用人口入力シート!BE$7))</f>
        <v>7.8367052024453203</v>
      </c>
      <c r="ET9" s="9">
        <f>IF(管理者入力シート!$B$14=1,ES6*管理者用人口入力シート!BF$3,IF(管理者入力シート!$B$14=2,ES6*管理者用人口入力シート!BF$7))</f>
        <v>0.10170471550561813</v>
      </c>
      <c r="EU9" s="9">
        <f t="shared" si="71"/>
        <v>9358.4252848729921</v>
      </c>
      <c r="EV9" s="9">
        <f t="shared" si="41"/>
        <v>487.17671828689868</v>
      </c>
      <c r="EW9" s="9">
        <f t="shared" si="42"/>
        <v>216.75056467648093</v>
      </c>
      <c r="EX9" s="9">
        <f t="shared" si="10"/>
        <v>2088.9870514169343</v>
      </c>
      <c r="EY9" s="9">
        <f t="shared" si="43"/>
        <v>1093.5898813645035</v>
      </c>
      <c r="EZ9" s="13">
        <f t="shared" si="44"/>
        <v>0.22321993154057487</v>
      </c>
      <c r="FA9" s="13">
        <f t="shared" si="45"/>
        <v>0.11685618553072043</v>
      </c>
      <c r="FB9" s="9">
        <f t="shared" si="72"/>
        <v>2391.6879333221964</v>
      </c>
    </row>
    <row r="10" spans="1:158" x14ac:dyDescent="0.15">
      <c r="A10" s="7" t="str">
        <f t="shared" si="11"/>
        <v>2015_2</v>
      </c>
      <c r="B10" s="29">
        <v>2015</v>
      </c>
      <c r="C10" s="4" t="s">
        <v>22</v>
      </c>
      <c r="D10" s="10">
        <v>509.62725411155674</v>
      </c>
      <c r="E10" s="10">
        <v>486.08135646586339</v>
      </c>
      <c r="F10" s="10">
        <v>452.67310184797338</v>
      </c>
      <c r="G10" s="10">
        <v>495.37823792293852</v>
      </c>
      <c r="H10" s="10">
        <v>498.86055648477253</v>
      </c>
      <c r="I10" s="10">
        <v>618.07843112420085</v>
      </c>
      <c r="J10" s="10">
        <v>606.7221903158719</v>
      </c>
      <c r="K10" s="10">
        <v>641.25322275744554</v>
      </c>
      <c r="L10" s="10">
        <v>732.90245699866648</v>
      </c>
      <c r="M10" s="10">
        <v>628.06123232617858</v>
      </c>
      <c r="N10" s="10">
        <v>614.39345041600461</v>
      </c>
      <c r="O10" s="10">
        <v>610.25424589418367</v>
      </c>
      <c r="P10" s="10">
        <v>629.69605335497431</v>
      </c>
      <c r="Q10" s="10">
        <v>629.09110016952968</v>
      </c>
      <c r="R10" s="10">
        <v>475.31380710879284</v>
      </c>
      <c r="S10" s="10">
        <v>412.64315443839155</v>
      </c>
      <c r="T10" s="10">
        <v>428.10987684816189</v>
      </c>
      <c r="U10" s="10">
        <v>287.47655048532954</v>
      </c>
      <c r="V10" s="10">
        <v>128.94663464810279</v>
      </c>
      <c r="W10" s="10">
        <v>38.383397737737468</v>
      </c>
      <c r="X10" s="10">
        <v>8.0536885433232595</v>
      </c>
      <c r="Y10" s="10">
        <f t="shared" si="68"/>
        <v>9932</v>
      </c>
      <c r="Z10" s="10">
        <f t="shared" si="12"/>
        <v>563.25267498830203</v>
      </c>
      <c r="AA10" s="10">
        <f t="shared" si="13"/>
        <v>280.14488832377708</v>
      </c>
      <c r="AB10" s="10">
        <f t="shared" si="0"/>
        <v>2408.0182099793692</v>
      </c>
      <c r="AC10" s="10">
        <f t="shared" si="14"/>
        <v>1303.6133027010465</v>
      </c>
      <c r="AD10" s="14">
        <f t="shared" si="15"/>
        <v>0.24245048429111651</v>
      </c>
      <c r="AE10" s="14">
        <f t="shared" si="16"/>
        <v>0.13125385649426566</v>
      </c>
      <c r="AF10" s="10">
        <f t="shared" si="17"/>
        <v>2364.9144006822908</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409.47777747568585</v>
      </c>
      <c r="BL10" s="10">
        <f>IF(管理者入力シート!$B$14=1,BK7*管理者用人口入力シート!AM$4,IF(管理者入力シート!$B$14=2,BK7*管理者用人口入力シート!AM$8))</f>
        <v>375.17033271319457</v>
      </c>
      <c r="BM10" s="10">
        <f>IF(管理者入力シート!$B$14=1,BL7*管理者用人口入力シート!AN$4,IF(管理者入力シート!$B$14=2,BL7*管理者用人口入力シート!AN$8))</f>
        <v>371.13684381665905</v>
      </c>
      <c r="BN10" s="10">
        <f>IF(管理者入力シート!$B$14=1,BM7*管理者用人口入力シート!AO$4,IF(管理者入力シート!$B$14=2,BM7*管理者用人口入力シート!AO$8))</f>
        <v>426.06113657804269</v>
      </c>
      <c r="BO10" s="10">
        <f>IF(管理者入力シート!$B$14=1,BN7*管理者用人口入力シート!AP$4,IF(管理者入力シート!$B$14=2,BN7*管理者用人口入力シート!AP$8))</f>
        <v>571.86162873284331</v>
      </c>
      <c r="BP10" s="10">
        <f>IF(管理者入力シート!$B$14=1,BO7*管理者用人口入力シート!AQ$4,IF(管理者入力シート!$B$14=2,BO7*管理者用人口入力シート!AQ$8))</f>
        <v>642.61283420005657</v>
      </c>
      <c r="BQ10" s="10">
        <f>IF(管理者入力シート!$B$14=1,BP7*管理者用人口入力シート!AR$4,IF(管理者入力シート!$B$14=2,BP7*管理者用人口入力シート!AR$8))</f>
        <v>525.82884745147112</v>
      </c>
      <c r="BR10" s="10">
        <f>IF(管理者入力シート!$B$14=1,BQ7*管理者用人口入力シート!AS$4,IF(管理者入力シート!$B$14=2,BQ7*管理者用人口入力シート!AS$8))</f>
        <v>515.92257221716648</v>
      </c>
      <c r="BS10" s="10">
        <f>IF(管理者入力シート!$B$14=1,BR7*管理者用人口入力シート!AT$4,IF(管理者入力シート!$B$14=2,BR7*管理者用人口入力シート!AT$8))</f>
        <v>513.03915738872718</v>
      </c>
      <c r="BT10" s="10">
        <f>IF(管理者入力シート!$B$14=1,BS7*管理者用人口入力シート!AU$4,IF(管理者入力シート!$B$14=2,BS7*管理者用人口入力シート!AU$8))</f>
        <v>579.1050642121279</v>
      </c>
      <c r="BU10" s="10">
        <f>IF(管理者入力シート!$B$14=1,BT7*管理者用人口入力シート!AV$4,IF(管理者入力シート!$B$14=2,BT7*管理者用人口入力シート!AV$8))</f>
        <v>597.1652036344442</v>
      </c>
      <c r="BV10" s="10">
        <f>IF(管理者入力シート!$B$14=1,BU7*管理者用人口入力シート!AW$4,IF(管理者入力シート!$B$14=2,BU7*管理者用人口入力シート!AW$8))</f>
        <v>638.61742493411725</v>
      </c>
      <c r="BW10" s="10">
        <f>IF(管理者入力シート!$B$14=1,BV7*管理者用人口入力シート!AX$4,IF(管理者入力シート!$B$14=2,BV7*管理者用人口入力シート!AX$8))</f>
        <v>715.03384406089299</v>
      </c>
      <c r="BX10" s="10">
        <f>IF(管理者入力シート!$B$14=1,BW7*管理者用人口入力シート!AY$4,IF(管理者入力シート!$B$14=2,BW7*管理者用人口入力シート!AY$8))</f>
        <v>603.80671631645919</v>
      </c>
      <c r="BY10" s="10">
        <f>IF(管理者入力シート!$B$14=1,BX7*管理者用人口入力シート!AZ$4,IF(管理者入力シート!$B$14=2,BX7*管理者用人口入力シート!AZ$8))</f>
        <v>557.86199787172029</v>
      </c>
      <c r="BZ10" s="10">
        <f>IF(管理者入力シート!$B$14=1,BY7*管理者用人口入力シート!BA$4,IF(管理者入力シート!$B$14=2,BY7*管理者用人口入力シート!BA$8))</f>
        <v>541.78727824171631</v>
      </c>
      <c r="CA10" s="10">
        <f>IF(管理者入力シート!$B$14=1,BZ7*管理者用人口入力シート!BB$4,IF(管理者入力シート!$B$14=2,BZ7*管理者用人口入力シート!BB$8))</f>
        <v>484.67581575086217</v>
      </c>
      <c r="CB10" s="10">
        <f>IF(管理者入力シート!$B$14=1,CA7*管理者用人口入力シート!BC$4,IF(管理者入力シート!$B$14=2,CA7*管理者用人口入力シート!BC$8))</f>
        <v>387.29601960184937</v>
      </c>
      <c r="CC10" s="10">
        <f>IF(管理者入力シート!$B$14=1,CB7*管理者用人口入力シート!BD$4,IF(管理者入力シート!$B$14=2,CB7*管理者用人口入力シート!BD$8))</f>
        <v>169.65007612514802</v>
      </c>
      <c r="CD10" s="10">
        <f>IF(管理者入力シート!$B$14=1,CC7*管理者用人口入力シート!BE$4,IF(管理者入力シート!$B$14=2,CC7*管理者用人口入力シート!BE$8))</f>
        <v>50.942346113030304</v>
      </c>
      <c r="CE10" s="10">
        <f>IF(管理者入力シート!$B$14=1,CD7*管理者用人口入力シート!BF$4,IF(管理者入力シート!$B$14=2,CD7*管理者用人口入力シート!BF$8))</f>
        <v>14.552278342539511</v>
      </c>
      <c r="CF10" s="10">
        <f t="shared" si="2"/>
        <v>9691.6051957787586</v>
      </c>
      <c r="CG10" s="10">
        <f t="shared" si="20"/>
        <v>447.78430591791215</v>
      </c>
      <c r="CH10" s="10">
        <f t="shared" si="21"/>
        <v>233.66696484227217</v>
      </c>
      <c r="CI10" s="10">
        <f t="shared" si="3"/>
        <v>2810.5725283633251</v>
      </c>
      <c r="CJ10" s="10">
        <f t="shared" si="22"/>
        <v>1648.9038141751455</v>
      </c>
      <c r="CK10" s="14">
        <f t="shared" si="23"/>
        <v>0.2900007245020142</v>
      </c>
      <c r="CL10" s="14">
        <f t="shared" si="24"/>
        <v>0.170137328220235</v>
      </c>
      <c r="CM10" s="10">
        <f t="shared" si="25"/>
        <v>2256.2258826015373</v>
      </c>
      <c r="CO10" s="7" t="str">
        <f t="shared" si="26"/>
        <v>2035_2</v>
      </c>
      <c r="CP10" s="29">
        <f>CP9</f>
        <v>2035</v>
      </c>
      <c r="CQ10" s="4" t="s">
        <v>22</v>
      </c>
      <c r="CR10" s="10">
        <f>DT10*$AK$14+将来予測シート②!$H17</f>
        <v>411.72500004023209</v>
      </c>
      <c r="CS10" s="10">
        <f>IF(管理者入力シート!$B$14=1,CR7*管理者用人口入力シート!AM$4,IF(管理者入力シート!$B$14=2,CR7*管理者用人口入力シート!AM$8))+将来予測シート②!$H18</f>
        <v>376.77726141567109</v>
      </c>
      <c r="CT10" s="10">
        <f>IF(管理者入力シート!$B$14=1,CS7*管理者用人口入力シート!AN$4,IF(管理者入力シート!$B$14=2,CS7*管理者用人口入力シート!AN$8))+将来予測シート②!$H19</f>
        <v>373.07984698824686</v>
      </c>
      <c r="CU10" s="10">
        <f>IF(管理者入力シート!$B$14=1,CT7*管理者用人口入力シート!AO$4,IF(管理者入力シート!$B$14=2,CT7*管理者用人口入力シート!AO$8))+将来予測シート②!$H20</f>
        <v>427.17027030163473</v>
      </c>
      <c r="CV10" s="10">
        <f>IF(管理者入力シート!$B$14=1,CU7*管理者用人口入力シート!AP$4,IF(管理者入力シート!$B$14=2,CU7*管理者用人口入力シート!AP$8))+将来予測シート②!$H21</f>
        <v>573.02115048357007</v>
      </c>
      <c r="CW10" s="10">
        <f>IF(管理者入力シート!$B$14=1,CV7*管理者用人口入力シート!AQ$4,IF(管理者入力シート!$B$14=2,CV7*管理者用人口入力シート!AQ$8))+将来予測シート②!$H22</f>
        <v>644.61283420005657</v>
      </c>
      <c r="CX10" s="10">
        <f>IF(管理者入力シート!$B$14=1,CW7*管理者用人口入力シート!AR$4,IF(管理者入力シート!$B$14=2,CW7*管理者用人口入力シート!AR$8))+将来予測シート②!$H23</f>
        <v>527.69721570569584</v>
      </c>
      <c r="CY10" s="10">
        <f>IF(管理者入力シート!$B$14=1,CX7*管理者用人口入力シート!AS$4,IF(管理者入力シート!$B$14=2,CX7*管理者用人口入力シート!AS$8))+将来予測シート②!$H24</f>
        <v>517.76688868173699</v>
      </c>
      <c r="CZ10" s="10">
        <f>IF(管理者入力シート!$B$14=1,CY7*管理者用人口入力シート!AT$4,IF(管理者入力シート!$B$14=2,CY7*管理者用人口入力シート!AT$8))+将来予測シート②!$H25</f>
        <v>514.03915738872718</v>
      </c>
      <c r="DA10" s="10">
        <f>IF(管理者入力シート!$B$14=1,CZ7*管理者用人口入力シート!AU$4,IF(管理者入力シート!$B$14=2,CZ7*管理者用人口入力シート!AU$8))+将来予測シート②!$H26</f>
        <v>580.11538364186208</v>
      </c>
      <c r="DB10" s="10">
        <f>IF(管理者入力シート!$B$14=1,DA7*管理者用人口入力シート!AV$4,IF(管理者入力シート!$B$14=2,DA7*管理者用人口入力シート!AV$8))+将来予測シート②!$H27</f>
        <v>598.16719738297422</v>
      </c>
      <c r="DC10" s="10">
        <f>IF(管理者入力シート!$B$14=1,DB7*管理者用人口入力シート!AW$4,IF(管理者入力シート!$B$14=2,DB7*管理者用人口入力シート!AW$8))+将来予測シート②!$H28</f>
        <v>638.61742493411725</v>
      </c>
      <c r="DD10" s="10">
        <f>IF(管理者入力シート!$B$14=1,DC7*管理者用人口入力シート!AX$4,IF(管理者入力シート!$B$14=2,DC7*管理者用人口入力シート!AX$8))+将来予測シート②!$H29</f>
        <v>715.03384406089299</v>
      </c>
      <c r="DE10" s="10">
        <f>IF(管理者入力シート!$B$14=1,DD7*管理者用人口入力シート!AY$4,IF(管理者入力シート!$B$14=2,DD7*管理者用人口入力シート!AY$8))</f>
        <v>603.80671631645919</v>
      </c>
      <c r="DF10" s="10">
        <f>IF(管理者入力シート!$B$14=1,DE7*管理者用人口入力シート!AZ$4,IF(管理者入力シート!$B$14=2,DE7*管理者用人口入力シート!AZ$8))</f>
        <v>557.86199787172029</v>
      </c>
      <c r="DG10" s="10">
        <f>IF(管理者入力シート!$B$14=1,DF7*管理者用人口入力シート!BA$4,IF(管理者入力シート!$B$14=2,DF7*管理者用人口入力シート!BA$8))</f>
        <v>541.78727824171631</v>
      </c>
      <c r="DH10" s="10">
        <f>IF(管理者入力シート!$B$14=1,DG7*管理者用人口入力シート!BB$4,IF(管理者入力シート!$B$14=2,DG7*管理者用人口入力シート!BB$8))</f>
        <v>484.67581575086217</v>
      </c>
      <c r="DI10" s="10">
        <f>IF(管理者入力シート!$B$14=1,DH7*管理者用人口入力シート!BC$4,IF(管理者入力シート!$B$14=2,DH7*管理者用人口入力シート!BC$8))</f>
        <v>387.29601960184937</v>
      </c>
      <c r="DJ10" s="10">
        <f>IF(管理者入力シート!$B$14=1,DI7*管理者用人口入力シート!BD$4,IF(管理者入力シート!$B$14=2,DI7*管理者用人口入力シート!BD$8))</f>
        <v>169.65007612514802</v>
      </c>
      <c r="DK10" s="10">
        <f>IF(管理者入力シート!$B$14=1,DJ7*管理者用人口入力シート!BE$4,IF(管理者入力シート!$B$14=2,DJ7*管理者用人口入力シート!BE$8))</f>
        <v>50.942346113030304</v>
      </c>
      <c r="DL10" s="10">
        <f>IF(管理者入力シート!$B$14=1,DK7*管理者用人口入力シート!BF$4,IF(管理者入力シート!$B$14=2,DK7*管理者用人口入力シート!BF$8))</f>
        <v>14.552278342539511</v>
      </c>
      <c r="DM10" s="10">
        <f t="shared" si="69"/>
        <v>9708.3960035887449</v>
      </c>
      <c r="DN10" s="10">
        <f t="shared" si="34"/>
        <v>449.91426504235079</v>
      </c>
      <c r="DO10" s="10">
        <f t="shared" si="35"/>
        <v>234.66599285562569</v>
      </c>
      <c r="DP10" s="10">
        <f t="shared" si="6"/>
        <v>2810.5725283633251</v>
      </c>
      <c r="DQ10" s="10">
        <f t="shared" si="36"/>
        <v>1648.9038141751455</v>
      </c>
      <c r="DR10" s="14">
        <f t="shared" si="37"/>
        <v>0.28949916415898019</v>
      </c>
      <c r="DS10" s="14">
        <f t="shared" si="38"/>
        <v>0.16984307331155651</v>
      </c>
      <c r="DT10" s="10">
        <f t="shared" si="70"/>
        <v>2263.0980890710593</v>
      </c>
      <c r="DV10" s="62" t="s">
        <v>405</v>
      </c>
      <c r="DW10" s="210">
        <f>((SUM(BL12:BL13)*3/5+SUM(BM12:BM13)+SUM(BN12:BN13)*1/5)-(SUM(E12:E13)*3/5+SUM(F12:F13)+SUM(G12:G13)*1/5))/4</f>
        <v>-110.63359800313413</v>
      </c>
      <c r="DX10" s="29">
        <f>DX9</f>
        <v>2035</v>
      </c>
      <c r="DY10" s="4" t="s">
        <v>22</v>
      </c>
      <c r="DZ10" s="10">
        <f>FB10*$AK$14</f>
        <v>516.59021289349823</v>
      </c>
      <c r="EA10" s="10">
        <f>IF(管理者入力シート!$B$14=1,DZ7*管理者用人口入力シート!AM$4,IF(管理者入力シート!$B$14=2,DZ7*管理者用人口入力シート!AM$8))</f>
        <v>460.33729009283388</v>
      </c>
      <c r="EB10" s="10">
        <f>IF(管理者入力シート!$B$14=1,EA7*管理者用人口入力シート!AN$4,IF(管理者入力シート!$B$14=2,EA7*管理者用人口入力シート!AN$8))</f>
        <v>371.13684381665905</v>
      </c>
      <c r="EC10" s="10">
        <f>IF(管理者入力シート!$B$14=1,EB7*管理者用人口入力シート!AO$4,IF(管理者入力シート!$B$14=2,EB7*管理者用人口入力シート!AO$8))</f>
        <v>426.06113657804269</v>
      </c>
      <c r="ED10" s="10">
        <f>IF(管理者入力シート!$B$14=1,EC7*管理者用人口入力シート!AP$4,IF(管理者入力シート!$B$14=2,EC7*管理者用人口入力シート!AP$8))</f>
        <v>571.86162873284331</v>
      </c>
      <c r="EE10" s="10">
        <f>IF(管理者入力シート!$B$14=1,ED7*管理者用人口入力シート!AQ$4,IF(管理者入力シート!$B$14=2,ED7*管理者用人口入力シート!AQ$8))+DX1</f>
        <v>743.61283420005657</v>
      </c>
      <c r="EF10" s="10">
        <f>IF(管理者入力シート!$B$14=1,EE7*管理者用人口入力シート!AR$4,IF(管理者入力シート!$B$14=2,EE7*管理者用人口入力シート!AR$8))+DX1</f>
        <v>721.1814442898193</v>
      </c>
      <c r="EG10" s="10">
        <f>IF(管理者入力シート!$B$14=1,EF7*管理者用人口入力シート!AS$4,IF(管理者入力シート!$B$14=2,EF7*管理者用人口入力シート!AS$8))+DX1</f>
        <v>809.76036526512587</v>
      </c>
      <c r="EH10" s="10">
        <f>IF(管理者入力シート!$B$14=1,EG7*管理者用人口入力シート!AT$4,IF(管理者入力シート!$B$14=2,EG7*管理者用人口入力シート!AT$8))</f>
        <v>714.20730975959452</v>
      </c>
      <c r="EI10" s="10">
        <f>IF(管理者入力シート!$B$14=1,EH7*管理者用人口入力シート!AU$4,IF(管理者入力シート!$B$14=2,EH7*管理者用人口入力シート!AU$8))</f>
        <v>681.38544618683977</v>
      </c>
      <c r="EJ10" s="10">
        <f>IF(管理者入力シート!$B$14=1,EI7*管理者用人口入力シート!AV$4,IF(管理者入力シート!$B$14=2,EI7*管理者用人口入力シート!AV$8))</f>
        <v>597.1652036344442</v>
      </c>
      <c r="EK10" s="10">
        <f>IF(管理者入力シート!$B$14=1,EJ7*管理者用人口入力シート!AW$4,IF(管理者入力シート!$B$14=2,EJ7*管理者用人口入力シート!AW$8))</f>
        <v>638.61742493411725</v>
      </c>
      <c r="EL10" s="10">
        <f>IF(管理者入力シート!$B$14=1,EK7*管理者用人口入力シート!AX$4,IF(管理者入力シート!$B$14=2,EK7*管理者用人口入力シート!AX$8))</f>
        <v>715.03384406089299</v>
      </c>
      <c r="EM10" s="10">
        <f>IF(管理者入力シート!$B$14=1,EL7*管理者用人口入力シート!AY$4,IF(管理者入力シート!$B$14=2,EL7*管理者用人口入力シート!AY$8))</f>
        <v>603.80671631645919</v>
      </c>
      <c r="EN10" s="10">
        <f>IF(管理者入力シート!$B$14=1,EM7*管理者用人口入力シート!AZ$4,IF(管理者入力シート!$B$14=2,EM7*管理者用人口入力シート!AZ$8))</f>
        <v>557.86199787172029</v>
      </c>
      <c r="EO10" s="10">
        <f>IF(管理者入力シート!$B$14=1,EN7*管理者用人口入力シート!BA$4,IF(管理者入力シート!$B$14=2,EN7*管理者用人口入力シート!BA$8))</f>
        <v>541.78727824171631</v>
      </c>
      <c r="EP10" s="10">
        <f>IF(管理者入力シート!$B$14=1,EO7*管理者用人口入力シート!BB$4,IF(管理者入力シート!$B$14=2,EO7*管理者用人口入力シート!BB$8))</f>
        <v>484.67581575086217</v>
      </c>
      <c r="EQ10" s="10">
        <f>IF(管理者入力シート!$B$14=1,EP7*管理者用人口入力シート!BC$4,IF(管理者入力シート!$B$14=2,EP7*管理者用人口入力シート!BC$8))</f>
        <v>387.29601960184937</v>
      </c>
      <c r="ER10" s="10">
        <f>IF(管理者入力シート!$B$14=1,EQ7*管理者用人口入力シート!BD$4,IF(管理者入力シート!$B$14=2,EQ7*管理者用人口入力シート!BD$8))</f>
        <v>169.65007612514802</v>
      </c>
      <c r="ES10" s="10">
        <f>IF(管理者入力シート!$B$14=1,ER7*管理者用人口入力シート!BE$4,IF(管理者入力シート!$B$14=2,ER7*管理者用人口入力シート!BE$8))</f>
        <v>50.942346113030304</v>
      </c>
      <c r="ET10" s="10">
        <f>IF(管理者入力シート!$B$14=1,ES7*管理者用人口入力シート!BF$4,IF(管理者入力シート!$B$14=2,ES7*管理者用人口入力シート!BF$8))</f>
        <v>14.552278342539511</v>
      </c>
      <c r="EU10" s="10">
        <f t="shared" si="71"/>
        <v>10777.523512808095</v>
      </c>
      <c r="EV10" s="10">
        <f t="shared" si="41"/>
        <v>498.88448034569569</v>
      </c>
      <c r="EW10" s="10">
        <f t="shared" si="42"/>
        <v>233.66696484227217</v>
      </c>
      <c r="EX10" s="10">
        <f t="shared" si="10"/>
        <v>2810.5725283633251</v>
      </c>
      <c r="EY10" s="10">
        <f t="shared" si="43"/>
        <v>1648.9038141751455</v>
      </c>
      <c r="EZ10" s="14">
        <f t="shared" si="44"/>
        <v>0.26078092291083554</v>
      </c>
      <c r="FA10" s="14">
        <f t="shared" si="45"/>
        <v>0.15299468493068699</v>
      </c>
      <c r="FB10" s="10">
        <f t="shared" si="72"/>
        <v>2846.4162724878452</v>
      </c>
    </row>
    <row r="11" spans="1:158" x14ac:dyDescent="0.15">
      <c r="A11" s="7" t="str">
        <f t="shared" si="11"/>
        <v>2015_3</v>
      </c>
      <c r="B11" s="30">
        <v>2015</v>
      </c>
      <c r="C11" s="5" t="s">
        <v>23</v>
      </c>
      <c r="D11" s="11">
        <v>943.48243598747081</v>
      </c>
      <c r="E11" s="11">
        <v>1016.324826541249</v>
      </c>
      <c r="F11" s="11">
        <v>915.23255672828088</v>
      </c>
      <c r="G11" s="11">
        <v>947.78558264777553</v>
      </c>
      <c r="H11" s="11">
        <v>1070.387812650732</v>
      </c>
      <c r="I11" s="11">
        <v>1137.7933684116567</v>
      </c>
      <c r="J11" s="11">
        <v>1202.9641695315017</v>
      </c>
      <c r="K11" s="11">
        <v>1265.1992484059115</v>
      </c>
      <c r="L11" s="11">
        <v>1391.8565236404145</v>
      </c>
      <c r="M11" s="11">
        <v>1184.3995296833323</v>
      </c>
      <c r="N11" s="11">
        <v>1177.1537279852541</v>
      </c>
      <c r="O11" s="11">
        <v>1210.3351420485956</v>
      </c>
      <c r="P11" s="11">
        <v>1193.9391050527556</v>
      </c>
      <c r="Q11" s="11">
        <v>1230.6220624599277</v>
      </c>
      <c r="R11" s="11">
        <v>867.02131178570494</v>
      </c>
      <c r="S11" s="11">
        <v>761.16178707701829</v>
      </c>
      <c r="T11" s="11">
        <v>668.11824751060612</v>
      </c>
      <c r="U11" s="11">
        <v>439.1802565295165</v>
      </c>
      <c r="V11" s="11">
        <v>164.55227619176139</v>
      </c>
      <c r="W11" s="11">
        <v>42.432011582881827</v>
      </c>
      <c r="X11" s="11">
        <v>9.0580175476522644</v>
      </c>
      <c r="Y11" s="11">
        <f t="shared" si="68"/>
        <v>18838.999999999996</v>
      </c>
      <c r="Z11" s="11">
        <f t="shared" si="12"/>
        <v>1158.9344299617178</v>
      </c>
      <c r="AA11" s="11">
        <f t="shared" si="13"/>
        <v>555.65013922086746</v>
      </c>
      <c r="AB11" s="11">
        <f t="shared" si="0"/>
        <v>4182.1459706850692</v>
      </c>
      <c r="AC11" s="11">
        <f t="shared" si="14"/>
        <v>2084.5025964394363</v>
      </c>
      <c r="AD11" s="15">
        <f t="shared" si="15"/>
        <v>0.2219940533300637</v>
      </c>
      <c r="AE11" s="15">
        <f t="shared" si="16"/>
        <v>0.11064826139601022</v>
      </c>
      <c r="AF11" s="11">
        <f t="shared" si="17"/>
        <v>4676.3445989998017</v>
      </c>
      <c r="BH11" s="7" t="str">
        <f t="shared" si="19"/>
        <v>2035_3</v>
      </c>
      <c r="BI11" s="30">
        <f>BI10</f>
        <v>2035</v>
      </c>
      <c r="BJ11" s="5" t="s">
        <v>23</v>
      </c>
      <c r="BK11" s="16">
        <f>BK9+BK10</f>
        <v>820.8131379859891</v>
      </c>
      <c r="BL11" s="16">
        <f t="shared" ref="BL11" si="117">BL9+BL10</f>
        <v>744.84665825430375</v>
      </c>
      <c r="BM11" s="16">
        <f t="shared" ref="BM11" si="118">BM9+BM10</f>
        <v>729.50194587482383</v>
      </c>
      <c r="BN11" s="16">
        <f t="shared" ref="BN11" si="119">BN9+BN10</f>
        <v>793.08375584411772</v>
      </c>
      <c r="BO11" s="16">
        <f t="shared" ref="BO11" si="120">BO9+BO10</f>
        <v>982.44701510823597</v>
      </c>
      <c r="BP11" s="16">
        <f t="shared" ref="BP11" si="121">BP9+BP10</f>
        <v>1165.634836421207</v>
      </c>
      <c r="BQ11" s="16">
        <f t="shared" ref="BQ11" si="122">BQ9+BQ10</f>
        <v>976.07855405116288</v>
      </c>
      <c r="BR11" s="16">
        <f t="shared" ref="BR11" si="123">BR9+BR10</f>
        <v>919.89786017891083</v>
      </c>
      <c r="BS11" s="16">
        <f t="shared" ref="BS11" si="124">BS9+BS10</f>
        <v>1020.2448492103586</v>
      </c>
      <c r="BT11" s="16">
        <f t="shared" ref="BT11" si="125">BT9+BT10</f>
        <v>1113.261485116424</v>
      </c>
      <c r="BU11" s="16">
        <f t="shared" ref="BU11" si="126">BU9+BU10</f>
        <v>1181.7132728678121</v>
      </c>
      <c r="BV11" s="16">
        <f t="shared" ref="BV11" si="127">BV9+BV10</f>
        <v>1229.1248049719657</v>
      </c>
      <c r="BW11" s="16">
        <f t="shared" ref="BW11" si="128">BW9+BW10</f>
        <v>1379.4596257736212</v>
      </c>
      <c r="BX11" s="16">
        <f t="shared" ref="BX11" si="129">BX9+BX10</f>
        <v>1114.6789067384168</v>
      </c>
      <c r="BY11" s="16">
        <f t="shared" ref="BY11" si="130">BY9+BY10</f>
        <v>1042.3869775021933</v>
      </c>
      <c r="BZ11" s="16">
        <f t="shared" ref="BZ11" si="131">BZ9+BZ10</f>
        <v>1001.5449917403932</v>
      </c>
      <c r="CA11" s="16">
        <f t="shared" ref="CA11" si="132">CA9+CA10</f>
        <v>820.56862493153631</v>
      </c>
      <c r="CB11" s="16">
        <f t="shared" ref="CB11" si="133">CB9+CB10</f>
        <v>609.21124533034788</v>
      </c>
      <c r="CC11" s="16">
        <f t="shared" ref="CC11" si="134">CC9+CC10</f>
        <v>237.73579916385114</v>
      </c>
      <c r="CD11" s="16">
        <f t="shared" ref="CD11" si="135">CD9+CD10</f>
        <v>58.779051315475627</v>
      </c>
      <c r="CE11" s="16">
        <f t="shared" ref="CE11" si="136">CE9+CE10</f>
        <v>14.65398305804513</v>
      </c>
      <c r="CF11" s="11">
        <f t="shared" si="2"/>
        <v>17955.667381439194</v>
      </c>
      <c r="CG11" s="11">
        <f t="shared" si="20"/>
        <v>884.6091624774765</v>
      </c>
      <c r="CH11" s="11">
        <f t="shared" si="21"/>
        <v>450.4175295187531</v>
      </c>
      <c r="CI11" s="11">
        <f t="shared" si="3"/>
        <v>4899.5595797802589</v>
      </c>
      <c r="CJ11" s="11">
        <f t="shared" si="22"/>
        <v>2742.4936955396488</v>
      </c>
      <c r="CK11" s="15">
        <f t="shared" si="23"/>
        <v>0.27286981183695475</v>
      </c>
      <c r="CL11" s="15">
        <f t="shared" si="24"/>
        <v>0.15273694022504392</v>
      </c>
      <c r="CM11" s="11">
        <f t="shared" si="25"/>
        <v>4044.0582657595169</v>
      </c>
      <c r="CO11" s="7" t="str">
        <f t="shared" si="26"/>
        <v>2035_3</v>
      </c>
      <c r="CP11" s="30">
        <f>CP10</f>
        <v>2035</v>
      </c>
      <c r="CQ11" s="5" t="s">
        <v>23</v>
      </c>
      <c r="CR11" s="16">
        <f>CR9+CR10</f>
        <v>825.31324110094488</v>
      </c>
      <c r="CS11" s="16">
        <f t="shared" ref="CS11" si="137">CS9+CS10</f>
        <v>748.03278260646402</v>
      </c>
      <c r="CT11" s="16">
        <f t="shared" ref="CT11" si="138">CT9+CT10</f>
        <v>733.35138909702778</v>
      </c>
      <c r="CU11" s="16">
        <f t="shared" ref="CU11" si="139">CU9+CU10</f>
        <v>795.18238359740792</v>
      </c>
      <c r="CV11" s="16">
        <f t="shared" ref="CV11" si="140">CV9+CV10</f>
        <v>984.58105464987148</v>
      </c>
      <c r="CW11" s="16">
        <f t="shared" ref="CW11" si="141">CW9+CW10</f>
        <v>1169.634836421207</v>
      </c>
      <c r="CX11" s="16">
        <f t="shared" ref="CX11" si="142">CX9+CX10</f>
        <v>979.95593894392391</v>
      </c>
      <c r="CY11" s="16">
        <f t="shared" ref="CY11" si="143">CY9+CY10</f>
        <v>923.72087643458701</v>
      </c>
      <c r="CZ11" s="16">
        <f t="shared" ref="CZ11" si="144">CZ9+CZ10</f>
        <v>1021.2448492103586</v>
      </c>
      <c r="DA11" s="16">
        <f t="shared" ref="DA11" si="145">DA9+DA10</f>
        <v>1114.2718045461581</v>
      </c>
      <c r="DB11" s="16">
        <f t="shared" ref="DB11" si="146">DB9+DB10</f>
        <v>1182.7152666163422</v>
      </c>
      <c r="DC11" s="16">
        <f t="shared" ref="DC11" si="147">DC9+DC10</f>
        <v>1229.1248049719657</v>
      </c>
      <c r="DD11" s="16">
        <f t="shared" ref="DD11" si="148">DD9+DD10</f>
        <v>1379.4596257736212</v>
      </c>
      <c r="DE11" s="16">
        <f t="shared" ref="DE11" si="149">DE9+DE10</f>
        <v>1114.6789067384168</v>
      </c>
      <c r="DF11" s="16">
        <f t="shared" ref="DF11" si="150">DF9+DF10</f>
        <v>1042.3869775021933</v>
      </c>
      <c r="DG11" s="16">
        <f t="shared" ref="DG11" si="151">DG9+DG10</f>
        <v>1001.5449917403932</v>
      </c>
      <c r="DH11" s="16">
        <f t="shared" ref="DH11" si="152">DH9+DH10</f>
        <v>820.56862493153631</v>
      </c>
      <c r="DI11" s="16">
        <f t="shared" ref="DI11" si="153">DI9+DI10</f>
        <v>609.21124533034788</v>
      </c>
      <c r="DJ11" s="16">
        <f t="shared" ref="DJ11" si="154">DJ9+DJ10</f>
        <v>237.73579916385114</v>
      </c>
      <c r="DK11" s="16">
        <f t="shared" ref="DK11" si="155">DK9+DK10</f>
        <v>58.779051315475627</v>
      </c>
      <c r="DL11" s="16">
        <f t="shared" ref="DL11" si="156">DL9+DL10</f>
        <v>14.65398305804513</v>
      </c>
      <c r="DM11" s="11">
        <f t="shared" si="69"/>
        <v>17986.148433750139</v>
      </c>
      <c r="DN11" s="11">
        <f t="shared" si="34"/>
        <v>888.83050302209494</v>
      </c>
      <c r="DO11" s="11">
        <f t="shared" si="35"/>
        <v>452.37703235829269</v>
      </c>
      <c r="DP11" s="11">
        <f t="shared" si="6"/>
        <v>4899.5595797802589</v>
      </c>
      <c r="DQ11" s="11">
        <f t="shared" si="36"/>
        <v>2742.4936955396488</v>
      </c>
      <c r="DR11" s="15">
        <f t="shared" si="37"/>
        <v>0.27240738048099683</v>
      </c>
      <c r="DS11" s="15">
        <f t="shared" si="38"/>
        <v>0.15247809755608888</v>
      </c>
      <c r="DT11" s="11">
        <f t="shared" si="70"/>
        <v>4057.8927064495892</v>
      </c>
      <c r="DW11" s="211"/>
      <c r="DX11" s="30">
        <f>DX10</f>
        <v>2035</v>
      </c>
      <c r="DY11" s="5" t="s">
        <v>23</v>
      </c>
      <c r="DZ11" s="16">
        <f>DZ9+DZ10</f>
        <v>1035.523921009707</v>
      </c>
      <c r="EA11" s="16">
        <f t="shared" ref="EA11" si="157">EA9+EA10</f>
        <v>913.93338517950019</v>
      </c>
      <c r="EB11" s="16">
        <f t="shared" ref="EB11" si="158">EB9+EB10</f>
        <v>729.50194587482383</v>
      </c>
      <c r="EC11" s="16">
        <f t="shared" ref="EC11" si="159">EC9+EC10</f>
        <v>793.08375584411772</v>
      </c>
      <c r="ED11" s="16">
        <f t="shared" ref="ED11" si="160">ED9+ED10</f>
        <v>982.44701510823597</v>
      </c>
      <c r="EE11" s="16">
        <f t="shared" ref="EE11" si="161">EE9+EE10</f>
        <v>1367.634836421207</v>
      </c>
      <c r="EF11" s="16">
        <f t="shared" ref="EF11" si="162">EF9+EF10</f>
        <v>1373.8864911355909</v>
      </c>
      <c r="EG11" s="16">
        <f t="shared" ref="EG11" si="163">EG9+EG10</f>
        <v>1514.135863145008</v>
      </c>
      <c r="EH11" s="16">
        <f t="shared" ref="EH11" si="164">EH9+EH10</f>
        <v>1419.6928249526691</v>
      </c>
      <c r="EI11" s="16">
        <f t="shared" ref="EI11" si="165">EI9+EI10</f>
        <v>1316.2514756165674</v>
      </c>
      <c r="EJ11" s="16">
        <f t="shared" ref="EJ11" si="166">EJ9+EJ10</f>
        <v>1181.7132728678121</v>
      </c>
      <c r="EK11" s="16">
        <f t="shared" ref="EK11" si="167">EK9+EK10</f>
        <v>1229.1248049719657</v>
      </c>
      <c r="EL11" s="16">
        <f t="shared" ref="EL11" si="168">EL9+EL10</f>
        <v>1379.4596257736212</v>
      </c>
      <c r="EM11" s="16">
        <f t="shared" ref="EM11" si="169">EM9+EM10</f>
        <v>1114.6789067384168</v>
      </c>
      <c r="EN11" s="16">
        <f t="shared" ref="EN11" si="170">EN9+EN10</f>
        <v>1042.3869775021933</v>
      </c>
      <c r="EO11" s="16">
        <f t="shared" ref="EO11" si="171">EO9+EO10</f>
        <v>1001.5449917403932</v>
      </c>
      <c r="EP11" s="16">
        <f t="shared" ref="EP11" si="172">EP9+EP10</f>
        <v>820.56862493153631</v>
      </c>
      <c r="EQ11" s="16">
        <f t="shared" ref="EQ11" si="173">EQ9+EQ10</f>
        <v>609.21124533034788</v>
      </c>
      <c r="ER11" s="16">
        <f t="shared" ref="ER11" si="174">ER9+ER10</f>
        <v>237.73579916385114</v>
      </c>
      <c r="ES11" s="16">
        <f t="shared" ref="ES11" si="175">ES9+ES10</f>
        <v>58.779051315475627</v>
      </c>
      <c r="ET11" s="16">
        <f t="shared" ref="ET11" si="176">ET9+ET10</f>
        <v>14.65398305804513</v>
      </c>
      <c r="EU11" s="11">
        <f t="shared" si="71"/>
        <v>20135.948797681085</v>
      </c>
      <c r="EV11" s="11">
        <f t="shared" si="41"/>
        <v>986.06119863259437</v>
      </c>
      <c r="EW11" s="11">
        <f t="shared" si="42"/>
        <v>450.4175295187531</v>
      </c>
      <c r="EX11" s="11">
        <f t="shared" si="10"/>
        <v>4899.5595797802589</v>
      </c>
      <c r="EY11" s="11">
        <f t="shared" si="43"/>
        <v>2742.4936955396488</v>
      </c>
      <c r="EZ11" s="15">
        <f t="shared" si="44"/>
        <v>0.24332399873526231</v>
      </c>
      <c r="FA11" s="15">
        <f t="shared" si="45"/>
        <v>0.13619888107062939</v>
      </c>
      <c r="FB11" s="11">
        <f t="shared" si="72"/>
        <v>5238.104205810042</v>
      </c>
    </row>
    <row r="12" spans="1:158" x14ac:dyDescent="0.15">
      <c r="A12" s="7" t="str">
        <f t="shared" si="11"/>
        <v>2020_1</v>
      </c>
      <c r="B12" s="28">
        <v>2020</v>
      </c>
      <c r="C12" s="3" t="s">
        <v>21</v>
      </c>
      <c r="D12" s="9">
        <v>409.20465522614302</v>
      </c>
      <c r="E12" s="9">
        <v>430.45054414555977</v>
      </c>
      <c r="F12" s="9">
        <v>537.25019878310309</v>
      </c>
      <c r="G12" s="9">
        <v>455.585302162255</v>
      </c>
      <c r="H12" s="9">
        <v>408.74390048047098</v>
      </c>
      <c r="I12" s="9">
        <v>518.34365979486154</v>
      </c>
      <c r="J12" s="9">
        <v>543.90436588541809</v>
      </c>
      <c r="K12" s="9">
        <v>601.10693310525755</v>
      </c>
      <c r="L12" s="9">
        <v>618.34493071648114</v>
      </c>
      <c r="M12" s="9">
        <v>711.88219099493813</v>
      </c>
      <c r="N12" s="9">
        <v>553.25445208100882</v>
      </c>
      <c r="O12" s="9">
        <v>561.3406889122565</v>
      </c>
      <c r="P12" s="9">
        <v>614.3058636649148</v>
      </c>
      <c r="Q12" s="9">
        <v>558.49967459875506</v>
      </c>
      <c r="R12" s="9">
        <v>548.29535469410666</v>
      </c>
      <c r="S12" s="9">
        <v>336.19248101269523</v>
      </c>
      <c r="T12" s="9">
        <v>276.50417120269356</v>
      </c>
      <c r="U12" s="9">
        <v>155.00573279453914</v>
      </c>
      <c r="V12" s="9">
        <v>78.6123406389179</v>
      </c>
      <c r="W12" s="9">
        <v>4.1725591056248206</v>
      </c>
      <c r="X12" s="9">
        <v>0</v>
      </c>
      <c r="Y12" s="9">
        <f t="shared" ref="Y12:Y14" si="177">SUM(D12:X12)</f>
        <v>8921.0000000000018</v>
      </c>
      <c r="Z12" s="9">
        <f>E12*3/5+F12*3/5</f>
        <v>580.62044575719779</v>
      </c>
      <c r="AA12" s="9">
        <f>F12*2/5+G12*1/5</f>
        <v>306.01713994569224</v>
      </c>
      <c r="AB12" s="9">
        <f t="shared" ref="AB12:AB14" si="178">SUM(Q12:X12)</f>
        <v>1957.2823140473324</v>
      </c>
      <c r="AC12" s="9">
        <f>SUM(S12:X12)</f>
        <v>850.48728475447058</v>
      </c>
      <c r="AD12" s="13">
        <f>AB12/Y12</f>
        <v>0.21940167179097994</v>
      </c>
      <c r="AE12" s="13">
        <f>AC12/Y12</f>
        <v>9.533542032893963E-2</v>
      </c>
      <c r="AF12" s="9">
        <f>SUM(H12:K12)</f>
        <v>2072.0988592660083</v>
      </c>
      <c r="AK12" s="61">
        <f>管理者入力シート!B5</f>
        <v>2020</v>
      </c>
      <c r="AL12" s="62"/>
      <c r="BH12" s="7" t="str">
        <f t="shared" si="19"/>
        <v>2040_1</v>
      </c>
      <c r="BI12" s="28">
        <f>管理者入力シート!B11</f>
        <v>2040</v>
      </c>
      <c r="BJ12" s="3" t="s">
        <v>21</v>
      </c>
      <c r="BK12" s="9">
        <f>CM13*$AK$13</f>
        <v>398.41123518738738</v>
      </c>
      <c r="BL12" s="9">
        <f>IF(管理者入力シート!$B$14=1,BK9*管理者用人口入力シート!AM$3,IF(管理者入力シート!$B$14=2,BK9*管理者用人口入力シート!AM$7))</f>
        <v>380.92956175469783</v>
      </c>
      <c r="BM12" s="9">
        <f>IF(管理者入力シート!$B$14=1,BL9*管理者用人口入力シート!AN$3,IF(管理者入力シート!$B$14=2,BL9*管理者用人口入力シート!AN$7))</f>
        <v>361.83626631655318</v>
      </c>
      <c r="BN12" s="9">
        <f>IF(管理者入力シート!$B$14=1,BM9*管理者用人口入力シート!AO$3,IF(管理者入力シート!$B$14=2,BM9*管理者用人口入力シート!AO$7))</f>
        <v>354.60012893873522</v>
      </c>
      <c r="BO12" s="9">
        <f>IF(管理者入力シート!$B$14=1,BN9*管理者用人口入力シート!AP$3,IF(管理者入力シート!$B$14=2,BN9*管理者用人口入力シート!AP$7))</f>
        <v>361.46764043624842</v>
      </c>
      <c r="BP12" s="9">
        <f>IF(管理者入力シート!$B$14=1,BO9*管理者用人口入力シート!AQ$3,IF(管理者入力シート!$B$14=2,BO9*管理者用人口入力シート!AQ$7))</f>
        <v>410.16357506823448</v>
      </c>
      <c r="BQ12" s="9">
        <f>IF(管理者入力シート!$B$14=1,BP9*管理者用人口入力シート!AR$3,IF(管理者入力シート!$B$14=2,BP9*管理者用人口入力シート!AR$7))</f>
        <v>525.37995239141287</v>
      </c>
      <c r="BR12" s="9">
        <f>IF(管理者入力シート!$B$14=1,BQ9*管理者用人口入力シート!AS$3,IF(管理者入力シート!$B$14=2,BQ9*管理者用人口入力シート!AS$7))</f>
        <v>443.45526229356619</v>
      </c>
      <c r="BS12" s="9">
        <f>IF(管理者入力シート!$B$14=1,BR9*管理者用人口入力シート!AT$3,IF(管理者入力シート!$B$14=2,BR9*管理者用人口入力シート!AT$7))</f>
        <v>399.55007331691974</v>
      </c>
      <c r="BT12" s="9">
        <f>IF(管理者入力シート!$B$14=1,BS9*管理者用人口入力シート!AU$3,IF(管理者入力シート!$B$14=2,BS9*管理者用人口入力シート!AU$7))</f>
        <v>511.34879519828183</v>
      </c>
      <c r="BU12" s="9">
        <f>IF(管理者入力シート!$B$14=1,BT9*管理者用人口入力シート!AV$3,IF(管理者入力シート!$B$14=2,BT9*管理者用人口入力シート!AV$7))</f>
        <v>520.93964832019219</v>
      </c>
      <c r="BV12" s="9">
        <f>IF(管理者入力シート!$B$14=1,BU9*管理者用人口入力シート!AW$3,IF(管理者入力シート!$B$14=2,BU9*管理者用人口入力シート!AW$7))</f>
        <v>567.75723550682733</v>
      </c>
      <c r="BW12" s="9">
        <f>IF(管理者入力シート!$B$14=1,BV9*管理者用人口入力シート!AX$3,IF(管理者入力シート!$B$14=2,BV9*管理者用人口入力シート!AX$7))</f>
        <v>581.83825338041299</v>
      </c>
      <c r="BX12" s="9">
        <f>IF(管理者入力シート!$B$14=1,BW9*管理者用人口入力シート!AY$3,IF(管理者入力シート!$B$14=2,BW9*管理者用人口入力シート!AY$7))</f>
        <v>641.08325385897899</v>
      </c>
      <c r="BY12" s="9">
        <f>IF(管理者入力シート!$B$14=1,BX9*管理者用人口入力シート!AZ$3,IF(管理者入力シート!$B$14=2,BX9*管理者用人口入力シート!AZ$7))</f>
        <v>463.82805452676411</v>
      </c>
      <c r="BZ12" s="9">
        <f>IF(管理者入力シート!$B$14=1,BY9*管理者用人口入力シート!BA$3,IF(管理者入力シート!$B$14=2,BY9*管理者用人口入力シート!BA$7))</f>
        <v>413.94994378797662</v>
      </c>
      <c r="CA12" s="9">
        <f>IF(管理者入力シート!$B$14=1,BZ9*管理者用人口入力シート!BB$3,IF(管理者入力シート!$B$14=2,BZ9*管理者用人口入力シート!BB$7))</f>
        <v>356.47608487684369</v>
      </c>
      <c r="CB12" s="9">
        <f>IF(管理者入力シート!$B$14=1,CA9*管理者用人口入力シート!BC$3,IF(管理者入力シート!$B$14=2,CA9*管理者用人口入力シート!BC$7))</f>
        <v>205.22969958265423</v>
      </c>
      <c r="CC12" s="9">
        <f>IF(管理者入力シート!$B$14=1,CB9*管理者用人口入力シート!BD$3,IF(管理者入力シート!$B$14=2,CB9*管理者用人口入力シート!BD$7))</f>
        <v>94.866806263289931</v>
      </c>
      <c r="CD12" s="9">
        <f>IF(管理者入力シート!$B$14=1,CC9*管理者用人口入力シート!BE$3,IF(管理者入力シート!$B$14=2,CC9*管理者用人口入力シート!BE$7))</f>
        <v>7.3879031587417723</v>
      </c>
      <c r="CE12" s="9">
        <f>IF(管理者入力シート!$B$14=1,CD9*管理者用人口入力シート!BF$3,IF(管理者入力シート!$B$14=2,CD9*管理者用人口入力シート!BF$7))</f>
        <v>0.11084969917187035</v>
      </c>
      <c r="CF12" s="9">
        <f t="shared" si="2"/>
        <v>8000.6102238638932</v>
      </c>
      <c r="CG12" s="9">
        <f t="shared" si="20"/>
        <v>445.65949684275063</v>
      </c>
      <c r="CH12" s="9">
        <f t="shared" si="21"/>
        <v>215.65453231436831</v>
      </c>
      <c r="CI12" s="9">
        <f t="shared" si="3"/>
        <v>2182.9325957544211</v>
      </c>
      <c r="CJ12" s="9">
        <f t="shared" si="22"/>
        <v>1078.021287368678</v>
      </c>
      <c r="CK12" s="13">
        <f t="shared" si="23"/>
        <v>0.2728457623448845</v>
      </c>
      <c r="CL12" s="13">
        <f t="shared" si="24"/>
        <v>0.13474238304388336</v>
      </c>
      <c r="CM12" s="9">
        <f t="shared" si="25"/>
        <v>1740.466430189462</v>
      </c>
      <c r="CO12" s="7" t="str">
        <f t="shared" si="26"/>
        <v>2040_1</v>
      </c>
      <c r="CP12" s="28">
        <f>管理者入力シート!B11</f>
        <v>2040</v>
      </c>
      <c r="CQ12" s="3" t="s">
        <v>21</v>
      </c>
      <c r="CR12" s="9">
        <f>DT13*$AK$13+将来予測シート②!$G17</f>
        <v>400.89350393843552</v>
      </c>
      <c r="CS12" s="9">
        <f>IF(管理者入力シート!$B$14=1,CR9*管理者用人口入力シート!AM$3,IF(管理者入力シート!$B$14=2,CR9*管理者用人口入力シート!AM$7))+将来予測シート②!$G18</f>
        <v>383.01590998327828</v>
      </c>
      <c r="CT12" s="9">
        <f>IF(管理者入力シート!$B$14=1,CS9*管理者用人口入力シート!AN$3,IF(管理者入力シート!$B$14=2,CS9*管理者用人口入力シート!AN$7))+将来予測シート②!$G19</f>
        <v>364.38197053991269</v>
      </c>
      <c r="CU12" s="9">
        <f>IF(管理者入力シート!$B$14=1,CT9*管理者用人口入力シート!AO$3,IF(管理者入力シート!$B$14=2,CT9*管理者用人口入力シート!AO$7))+将来予測シート②!$G20</f>
        <v>356.48653998679731</v>
      </c>
      <c r="CV12" s="9">
        <f>IF(管理者入力シート!$B$14=1,CU9*管理者用人口入力シート!AP$3,IF(管理者入力シート!$B$14=2,CU9*管理者用人口入力シート!AP$7))+将来予測シート②!$G21</f>
        <v>362.44215822715728</v>
      </c>
      <c r="CW12" s="9">
        <f>IF(管理者入力シート!$B$14=1,CV9*管理者用人口入力シート!AQ$3,IF(管理者入力シート!$B$14=2,CV9*管理者用人口入力シート!AQ$7))+将来予測シート②!$G22</f>
        <v>413.13709169681056</v>
      </c>
      <c r="CX12" s="9">
        <f>IF(管理者入力シート!$B$14=1,CW9*管理者用人口入力シート!AR$3,IF(管理者入力シート!$B$14=2,CW9*管理者用人口入力シート!AR$7))+将来予測シート②!$G23</f>
        <v>527.38896902994918</v>
      </c>
      <c r="CY12" s="9">
        <f>IF(管理者入力シート!$B$14=1,CX9*管理者用人口入力シート!AS$3,IF(管理者入力シート!$B$14=2,CX9*管理者用人口入力シート!AS$7))+将来予測シート②!$G24</f>
        <v>445.43396208467198</v>
      </c>
      <c r="CZ12" s="9">
        <f>IF(管理者入力シート!$B$14=1,CY9*管理者用人口入力シート!AT$3,IF(管理者入力シート!$B$14=2,CY9*管理者用人口入力シート!AT$7))+将来予測シート②!$G25</f>
        <v>401.50709809087897</v>
      </c>
      <c r="DA12" s="9">
        <f>IF(管理者入力シート!$B$14=1,CZ9*管理者用人口入力シート!AU$3,IF(管理者入力シート!$B$14=2,CZ9*管理者用人口入力シート!AU$7))+将来予測シート②!$G26</f>
        <v>511.34879519828183</v>
      </c>
      <c r="DB12" s="9">
        <f>IF(管理者入力シート!$B$14=1,DA9*管理者用人口入力シート!AV$3,IF(管理者入力シート!$B$14=2,DA9*管理者用人口入力シート!AV$7))+将来予測シート②!$G27</f>
        <v>520.93964832019219</v>
      </c>
      <c r="DC12" s="9">
        <f>IF(管理者入力シート!$B$14=1,DB9*管理者用人口入力シート!AW$3,IF(管理者入力シート!$B$14=2,DB9*管理者用人口入力シート!AW$7))+将来予測シート②!$G28</f>
        <v>567.75723550682733</v>
      </c>
      <c r="DD12" s="9">
        <f>IF(管理者入力シート!$B$14=1,DC9*管理者用人口入力シート!AX$3,IF(管理者入力シート!$B$14=2,DC9*管理者用人口入力シート!AX$7))+将来予測シート②!$G29</f>
        <v>581.83825338041299</v>
      </c>
      <c r="DE12" s="9">
        <f>IF(管理者入力シート!$B$14=1,DD9*管理者用人口入力シート!AY$3,IF(管理者入力シート!$B$14=2,DD9*管理者用人口入力シート!AY$7))</f>
        <v>641.08325385897899</v>
      </c>
      <c r="DF12" s="9">
        <f>IF(管理者入力シート!$B$14=1,DE9*管理者用人口入力シート!AZ$3,IF(管理者入力シート!$B$14=2,DE9*管理者用人口入力シート!AZ$7))</f>
        <v>463.82805452676411</v>
      </c>
      <c r="DG12" s="9">
        <f>IF(管理者入力シート!$B$14=1,DF9*管理者用人口入力シート!BA$3,IF(管理者入力シート!$B$14=2,DF9*管理者用人口入力シート!BA$7))</f>
        <v>413.94994378797662</v>
      </c>
      <c r="DH12" s="9">
        <f>IF(管理者入力シート!$B$14=1,DG9*管理者用人口入力シート!BB$3,IF(管理者入力シート!$B$14=2,DG9*管理者用人口入力シート!BB$7))</f>
        <v>356.47608487684369</v>
      </c>
      <c r="DI12" s="9">
        <f>IF(管理者入力シート!$B$14=1,DH9*管理者用人口入力シート!BC$3,IF(管理者入力シート!$B$14=2,DH9*管理者用人口入力シート!BC$7))</f>
        <v>205.22969958265423</v>
      </c>
      <c r="DJ12" s="9">
        <f>IF(管理者入力シート!$B$14=1,DI9*管理者用人口入力シート!BD$3,IF(管理者入力シート!$B$14=2,DI9*管理者用人口入力シート!BD$7))</f>
        <v>94.866806263289931</v>
      </c>
      <c r="DK12" s="9">
        <f>IF(管理者入力シート!$B$14=1,DJ9*管理者用人口入力シート!BE$3,IF(管理者入力シート!$B$14=2,DJ9*管理者用人口入力シート!BE$7))</f>
        <v>7.3879031587417723</v>
      </c>
      <c r="DL12" s="9">
        <f>IF(管理者入力シート!$B$14=1,DK9*管理者用人口入力シート!BF$3,IF(管理者入力シート!$B$14=2,DK9*管理者用人口入力シート!BF$7))</f>
        <v>0.11084969917187035</v>
      </c>
      <c r="DM12" s="9">
        <f t="shared" si="69"/>
        <v>8019.5037317380293</v>
      </c>
      <c r="DN12" s="9">
        <f t="shared" si="34"/>
        <v>448.43872831391457</v>
      </c>
      <c r="DO12" s="9">
        <f t="shared" si="35"/>
        <v>217.05009621332454</v>
      </c>
      <c r="DP12" s="9">
        <f t="shared" si="6"/>
        <v>2182.9325957544211</v>
      </c>
      <c r="DQ12" s="9">
        <f t="shared" si="36"/>
        <v>1078.021287368678</v>
      </c>
      <c r="DR12" s="13">
        <f t="shared" si="37"/>
        <v>0.27220295279809348</v>
      </c>
      <c r="DS12" s="13">
        <f t="shared" si="38"/>
        <v>0.13442493743126466</v>
      </c>
      <c r="DT12" s="9">
        <f t="shared" si="70"/>
        <v>1748.4021810385891</v>
      </c>
      <c r="DV12" s="212"/>
      <c r="DX12" s="28">
        <f>管理者入力シート!B11</f>
        <v>2040</v>
      </c>
      <c r="DY12" s="3" t="s">
        <v>21</v>
      </c>
      <c r="DZ12" s="9">
        <f>FB13*$AK$13</f>
        <v>506.00958279329279</v>
      </c>
      <c r="EA12" s="129">
        <f>IF(管理者入力シート!$B$14=1,DZ9*管理者用人口入力シート!AM$3,IF(管理者入力シート!$B$14=2,DZ9*管理者用人口入力シート!AM$7))</f>
        <v>480.57426856570032</v>
      </c>
      <c r="EB12" s="9">
        <f>IF(管理者入力シート!$B$14=1,EA9*管理者用人口入力シート!AN$3,IF(管理者入力シート!$B$14=2,EA9*管理者用人口入力シート!AN$7))</f>
        <v>443.97627362717361</v>
      </c>
      <c r="EC12" s="9">
        <f>IF(管理者入力シート!$B$14=1,EB9*管理者用人口入力シート!AO$3,IF(管理者入力シート!$B$14=2,EB9*管理者用人口入力シート!AO$7))</f>
        <v>354.60012893873522</v>
      </c>
      <c r="ED12" s="9">
        <f>IF(管理者入力シート!$B$14=1,EC9*管理者用人口入力シート!AP$3,IF(管理者入力シート!$B$14=2,EC9*管理者用人口入力シート!AP$7))</f>
        <v>361.46764043624842</v>
      </c>
      <c r="EE12" s="9">
        <f>IF(管理者入力シート!$B$14=1,ED9*管理者用人口入力シート!AQ$3,IF(管理者入力シート!$B$14=2,ED9*管理者用人口入力シート!AQ$7))+DX1</f>
        <v>511.16357506823448</v>
      </c>
      <c r="EF12" s="9">
        <f>IF(管理者入力シート!$B$14=1,EE9*管理者用人口入力シート!AR$3,IF(管理者入力シート!$B$14=2,EE9*管理者用人口入力シート!AR$7))+DX1</f>
        <v>727.83529263749267</v>
      </c>
      <c r="EG12" s="9">
        <f>IF(管理者入力シート!$B$14=1,EF9*管理者用人口入力シート!AS$3,IF(管理者入力シート!$B$14=2,EF9*管理者用人口入力シート!AS$7))+DX1</f>
        <v>743.85547221170395</v>
      </c>
      <c r="EH12" s="9">
        <f>IF(管理者入力シート!$B$14=1,EG9*管理者用人口入力シート!AT$3,IF(管理者入力シート!$B$14=2,EG9*管理者用人口入力シート!AT$7))</f>
        <v>696.65964777330623</v>
      </c>
      <c r="EI12" s="9">
        <f>IF(管理者入力シート!$B$14=1,EH9*管理者用人口入力シート!AU$3,IF(管理者入力シート!$B$14=2,EH9*管理者用人口入力シート!AU$7))</f>
        <v>711.2482648374579</v>
      </c>
      <c r="EJ12" s="9">
        <f>IF(管理者入力シート!$B$14=1,EI9*管理者用人口入力シート!AV$3,IF(管理者入力シート!$B$14=2,EI9*管理者用人口入力シート!AV$7))</f>
        <v>619.15737255700776</v>
      </c>
      <c r="EK12" s="9">
        <f>IF(管理者入力シート!$B$14=1,EJ9*管理者用人口入力シート!AW$3,IF(管理者入力シート!$B$14=2,EJ9*管理者用人口入力シート!AW$7))</f>
        <v>567.75723550682733</v>
      </c>
      <c r="EL12" s="9">
        <f>IF(管理者入力シート!$B$14=1,EK9*管理者用人口入力シート!AX$3,IF(管理者入力シート!$B$14=2,EK9*管理者用人口入力シート!AX$7))</f>
        <v>581.83825338041299</v>
      </c>
      <c r="EM12" s="9">
        <f>IF(管理者入力シート!$B$14=1,EL9*管理者用人口入力シート!AY$3,IF(管理者入力シート!$B$14=2,EL9*管理者用人口入力シート!AY$7))</f>
        <v>641.08325385897899</v>
      </c>
      <c r="EN12" s="9">
        <f>IF(管理者入力シート!$B$14=1,EM9*管理者用人口入力シート!AZ$3,IF(管理者入力シート!$B$14=2,EM9*管理者用人口入力シート!AZ$7))</f>
        <v>463.82805452676411</v>
      </c>
      <c r="EO12" s="9">
        <f>IF(管理者入力シート!$B$14=1,EN9*管理者用人口入力シート!BA$3,IF(管理者入力シート!$B$14=2,EN9*管理者用人口入力シート!BA$7))</f>
        <v>413.94994378797662</v>
      </c>
      <c r="EP12" s="9">
        <f>IF(管理者入力シート!$B$14=1,EO9*管理者用人口入力シート!BB$3,IF(管理者入力シート!$B$14=2,EO9*管理者用人口入力シート!BB$7))</f>
        <v>356.47608487684369</v>
      </c>
      <c r="EQ12" s="9">
        <f>IF(管理者入力シート!$B$14=1,EP9*管理者用人口入力シート!BC$3,IF(管理者入力シート!$B$14=2,EP9*管理者用人口入力シート!BC$7))</f>
        <v>205.22969958265423</v>
      </c>
      <c r="ER12" s="9">
        <f>IF(管理者入力シート!$B$14=1,EQ9*管理者用人口入力シート!BD$3,IF(管理者入力シート!$B$14=2,EQ9*管理者用人口入力シート!BD$7))</f>
        <v>94.866806263289931</v>
      </c>
      <c r="ES12" s="9">
        <f>IF(管理者入力シート!$B$14=1,ER9*管理者用人口入力シート!BE$3,IF(管理者入力シート!$B$14=2,ER9*管理者用人口入力シート!BE$7))</f>
        <v>7.3879031587417723</v>
      </c>
      <c r="ET12" s="9">
        <f>IF(管理者入力シート!$B$14=1,ES9*管理者用人口入力シート!BF$3,IF(管理者入力シート!$B$14=2,ES9*管理者用人口入力シート!BF$7))</f>
        <v>0.11084969917187035</v>
      </c>
      <c r="EU12" s="9">
        <f t="shared" si="71"/>
        <v>9489.0756040880169</v>
      </c>
      <c r="EV12" s="9">
        <f t="shared" si="41"/>
        <v>554.73032531572437</v>
      </c>
      <c r="EW12" s="9">
        <f t="shared" si="42"/>
        <v>248.51053523861648</v>
      </c>
      <c r="EX12" s="9">
        <f t="shared" si="10"/>
        <v>2182.9325957544211</v>
      </c>
      <c r="EY12" s="9">
        <f t="shared" si="43"/>
        <v>1078.021287368678</v>
      </c>
      <c r="EZ12" s="13">
        <f t="shared" si="44"/>
        <v>0.23004691782769499</v>
      </c>
      <c r="FA12" s="13">
        <f t="shared" si="45"/>
        <v>0.11360656531224732</v>
      </c>
      <c r="FB12" s="9">
        <f t="shared" si="72"/>
        <v>2344.3219803536795</v>
      </c>
    </row>
    <row r="13" spans="1:158" x14ac:dyDescent="0.15">
      <c r="A13" s="7" t="str">
        <f t="shared" si="11"/>
        <v>2020_2</v>
      </c>
      <c r="B13" s="29">
        <v>2020</v>
      </c>
      <c r="C13" s="4" t="s">
        <v>22</v>
      </c>
      <c r="D13" s="10">
        <v>407.35669441798024</v>
      </c>
      <c r="E13" s="10">
        <v>493.76476223657659</v>
      </c>
      <c r="F13" s="10">
        <v>510.73049363766285</v>
      </c>
      <c r="G13" s="10">
        <v>496.17882730964561</v>
      </c>
      <c r="H13" s="10">
        <v>515.58511987743998</v>
      </c>
      <c r="I13" s="10">
        <v>555.05089031929094</v>
      </c>
      <c r="J13" s="10">
        <v>579.3132096742163</v>
      </c>
      <c r="K13" s="10">
        <v>594.58947784000782</v>
      </c>
      <c r="L13" s="10">
        <v>656.04537527503794</v>
      </c>
      <c r="M13" s="10">
        <v>733.21474544939952</v>
      </c>
      <c r="N13" s="10">
        <v>619.83493278419621</v>
      </c>
      <c r="O13" s="10">
        <v>598.25592033567273</v>
      </c>
      <c r="P13" s="10">
        <v>618.16559547340955</v>
      </c>
      <c r="Q13" s="10">
        <v>617.44326505279719</v>
      </c>
      <c r="R13" s="10">
        <v>605.57379516739013</v>
      </c>
      <c r="S13" s="10">
        <v>478.24729358543982</v>
      </c>
      <c r="T13" s="10">
        <v>376.24998542259493</v>
      </c>
      <c r="U13" s="10">
        <v>343.96371967128573</v>
      </c>
      <c r="V13" s="10">
        <v>178.23008065747371</v>
      </c>
      <c r="W13" s="10">
        <v>42.964098693296719</v>
      </c>
      <c r="X13" s="10">
        <v>7.2417171191854814</v>
      </c>
      <c r="Y13" s="10">
        <f t="shared" si="177"/>
        <v>10028.000000000002</v>
      </c>
      <c r="Z13" s="10">
        <f t="shared" ref="Z13:Z14" si="179">E13*3/5+F13*3/5</f>
        <v>602.69715352454364</v>
      </c>
      <c r="AA13" s="10">
        <f t="shared" ref="AA13:AA14" si="180">F13*2/5+G13*1/5</f>
        <v>303.52796291699428</v>
      </c>
      <c r="AB13" s="10">
        <f t="shared" si="178"/>
        <v>2649.9139553694636</v>
      </c>
      <c r="AC13" s="10">
        <f t="shared" ref="AC13:AC14" si="181">SUM(S13:X13)</f>
        <v>1426.8968951492766</v>
      </c>
      <c r="AD13" s="14">
        <f t="shared" ref="AD13:AD14" si="182">AB13/Y13</f>
        <v>0.26425149136113513</v>
      </c>
      <c r="AE13" s="14">
        <f t="shared" ref="AE13:AE14" si="183">AC13/Y13</f>
        <v>0.14229127394787358</v>
      </c>
      <c r="AF13" s="10">
        <f t="shared" ref="AF13:AF14" si="184">SUM(H13:K13)</f>
        <v>2244.5386977109551</v>
      </c>
      <c r="AI13" s="60" t="s">
        <v>47</v>
      </c>
      <c r="AJ13" s="1" t="s">
        <v>21</v>
      </c>
      <c r="AK13" s="8">
        <f>VLOOKUP(AK12&amp;"_1",A:D,4,FALSE)/VLOOKUP(AK12&amp;"_2",A:AF,32,FALSE)</f>
        <v>0.18231124980979907</v>
      </c>
      <c r="AL13" s="63"/>
      <c r="BH13" s="7" t="str">
        <f t="shared" si="19"/>
        <v>2040_2</v>
      </c>
      <c r="BI13" s="29">
        <f>BI12</f>
        <v>2040</v>
      </c>
      <c r="BJ13" s="4" t="s">
        <v>22</v>
      </c>
      <c r="BK13" s="10">
        <f>CM13*$AK$14</f>
        <v>396.61201726854154</v>
      </c>
      <c r="BL13" s="10">
        <f>IF(管理者入力シート!$B$14=1,BK10*管理者用人口入力シート!AM$4,IF(管理者入力シート!$B$14=2,BK10*管理者用人口入力シート!AM$8))</f>
        <v>386.59081079810437</v>
      </c>
      <c r="BM13" s="10">
        <f>IF(管理者入力シート!$B$14=1,BL10*管理者用人口入力シート!AN$4,IF(管理者入力シート!$B$14=2,BL10*管理者用人口入力シート!AN$8))</f>
        <v>374.73171658699482</v>
      </c>
      <c r="BN13" s="10">
        <f>IF(管理者入力シート!$B$14=1,BM10*管理者用人口入力シート!AO$4,IF(管理者入力シート!$B$14=2,BM10*管理者用人口入力シート!AO$8))</f>
        <v>411.64038954457675</v>
      </c>
      <c r="BO13" s="10">
        <f>IF(管理者入力シート!$B$14=1,BN10*管理者用人口入力シート!AP$4,IF(管理者入力シート!$B$14=2,BN10*管理者用人口入力シート!AP$8))</f>
        <v>445.41712553975879</v>
      </c>
      <c r="BP13" s="10">
        <f>IF(管理者入力シート!$B$14=1,BO10*管理者用人口入力シート!AQ$4,IF(管理者入力シート!$B$14=2,BO10*管理者用人口入力シート!AQ$8))</f>
        <v>620.53983168875982</v>
      </c>
      <c r="BQ13" s="10">
        <f>IF(管理者入力シート!$B$14=1,BP10*管理者用人口入力シート!AR$4,IF(管理者入力シート!$B$14=2,BP10*管理者用人口入力シート!AR$8))</f>
        <v>600.31870958837817</v>
      </c>
      <c r="BR13" s="10">
        <f>IF(管理者入力シート!$B$14=1,BQ10*管理者用人口入力シート!AS$4,IF(管理者入力シート!$B$14=2,BQ10*管理者用人口入力シート!AS$8))</f>
        <v>519.05977245544773</v>
      </c>
      <c r="BS13" s="10">
        <f>IF(管理者入力シート!$B$14=1,BR10*管理者用人口入力シート!AT$4,IF(管理者入力シート!$B$14=2,BR10*管理者用人口入力シート!AT$8))</f>
        <v>517.12649752182188</v>
      </c>
      <c r="BT13" s="10">
        <f>IF(管理者入力シート!$B$14=1,BS10*管理者用人口入力シート!AU$4,IF(管理者入力シート!$B$14=2,BS10*管理者用人口入力シート!AU$8))</f>
        <v>518.33342892431199</v>
      </c>
      <c r="BU13" s="10">
        <f>IF(管理者入力シート!$B$14=1,BT10*管理者用人口入力シート!AV$4,IF(管理者入力シート!$B$14=2,BT10*管理者用人口入力シート!AV$8))</f>
        <v>574.33286642348128</v>
      </c>
      <c r="BV13" s="10">
        <f>IF(管理者入力シート!$B$14=1,BU10*管理者用人口入力シート!AW$4,IF(管理者入力シート!$B$14=2,BU10*管理者用人口入力シート!AW$8))</f>
        <v>580.14475172621576</v>
      </c>
      <c r="BW13" s="10">
        <f>IF(管理者入力シート!$B$14=1,BV10*管理者用人口入力シート!AX$4,IF(管理者入力シート!$B$14=2,BV10*管理者用人口入力シート!AX$8))</f>
        <v>646.38012089445101</v>
      </c>
      <c r="BX13" s="10">
        <f>IF(管理者入力シート!$B$14=1,BW10*管理者用人口入力シート!AY$4,IF(管理者入力シート!$B$14=2,BW10*管理者用人口入力シート!AY$8))</f>
        <v>708.368740524342</v>
      </c>
      <c r="BY13" s="10">
        <f>IF(管理者入力シート!$B$14=1,BX10*管理者用人口入力シート!AZ$4,IF(管理者入力シート!$B$14=2,BX10*管理者用人口入力シート!AZ$8))</f>
        <v>561.51025898926923</v>
      </c>
      <c r="BZ13" s="10">
        <f>IF(管理者入力シート!$B$14=1,BY10*管理者用人口入力シート!BA$4,IF(管理者入力シート!$B$14=2,BY10*管理者用人口入力シート!BA$8))</f>
        <v>530.71114138512871</v>
      </c>
      <c r="CA13" s="10">
        <f>IF(管理者入力シート!$B$14=1,BZ10*管理者用人口入力シート!BB$4,IF(管理者入力シート!$B$14=2,BZ10*管理者用人口入力シート!BB$8))</f>
        <v>480.71969138098996</v>
      </c>
      <c r="CB13" s="10">
        <f>IF(管理者入力シート!$B$14=1,CA10*管理者用人口入力シート!BC$4,IF(管理者入力シート!$B$14=2,CA10*管理者用人口入力シート!BC$8))</f>
        <v>367.22545151077429</v>
      </c>
      <c r="CC13" s="10">
        <f>IF(管理者入力シート!$B$14=1,CB10*管理者用人口入力シート!BD$4,IF(管理者入力シート!$B$14=2,CB10*管理者用人口入力シート!BD$8))</f>
        <v>204.3619503640048</v>
      </c>
      <c r="CD13" s="10">
        <f>IF(管理者入力シート!$B$14=1,CC10*管理者用人口入力シート!BE$4,IF(管理者入力シート!$B$14=2,CC10*管理者用人口入力シート!BE$8))</f>
        <v>57.453710343418372</v>
      </c>
      <c r="CE13" s="10">
        <f>IF(管理者入力シート!$B$14=1,CD10*管理者用人口入力シート!BF$4,IF(管理者入力シート!$B$14=2,CD10*管理者用人口入力シート!BF$8))</f>
        <v>12.060804322462097</v>
      </c>
      <c r="CF13" s="10">
        <f t="shared" si="2"/>
        <v>9513.6397877812324</v>
      </c>
      <c r="CG13" s="10">
        <f t="shared" si="20"/>
        <v>456.79351643105952</v>
      </c>
      <c r="CH13" s="10">
        <f t="shared" si="21"/>
        <v>232.2207645437133</v>
      </c>
      <c r="CI13" s="10">
        <f t="shared" si="3"/>
        <v>2922.4117488203892</v>
      </c>
      <c r="CJ13" s="10">
        <f t="shared" si="22"/>
        <v>1652.5327493067782</v>
      </c>
      <c r="CK13" s="14">
        <f t="shared" si="23"/>
        <v>0.30718124860831558</v>
      </c>
      <c r="CL13" s="14">
        <f t="shared" si="24"/>
        <v>0.17370142092505914</v>
      </c>
      <c r="CM13" s="10">
        <f t="shared" si="25"/>
        <v>2185.3354392723445</v>
      </c>
      <c r="CO13" s="7" t="str">
        <f t="shared" si="26"/>
        <v>2040_2</v>
      </c>
      <c r="CP13" s="29">
        <f>CP12</f>
        <v>2040</v>
      </c>
      <c r="CQ13" s="4" t="s">
        <v>22</v>
      </c>
      <c r="CR13" s="10">
        <f>DT13*$AK$14+将来予測シート②!$H17</f>
        <v>399.08759212076887</v>
      </c>
      <c r="CS13" s="10">
        <f>IF(管理者入力シート!$B$14=1,CR10*管理者用人口入力シート!AM$4,IF(管理者入力シート!$B$14=2,CR10*管理者用人口入力シート!AM$8))+将来予測シート②!$H18</f>
        <v>388.71242921321681</v>
      </c>
      <c r="CT13" s="10">
        <f>IF(管理者入力シート!$B$14=1,CS10*管理者用人口入力シート!AN$4,IF(管理者入力シート!$B$14=2,CS10*管理者用人口入力シート!AN$8))+将来予測シート②!$H19</f>
        <v>377.33676660989278</v>
      </c>
      <c r="CU13" s="10">
        <f>IF(管理者入力シート!$B$14=1,CT10*管理者用人口入力シート!AO$4,IF(管理者入力シート!$B$14=2,CT10*管理者用人口入力シート!AO$8))+将来予測シート②!$H20</f>
        <v>413.79543988723111</v>
      </c>
      <c r="CV13" s="10">
        <f>IF(管理者入力シート!$B$14=1,CU10*管理者用人口入力シート!AP$4,IF(管理者入力シート!$B$14=2,CU10*管理者用人口入力シート!AP$8))+将来予測シート②!$H21</f>
        <v>446.57664729048548</v>
      </c>
      <c r="CW13" s="10">
        <f>IF(管理者入力シート!$B$14=1,CV10*管理者用人口入力シート!AQ$4,IF(管理者入力シート!$B$14=2,CV10*管理者用人口入力シート!AQ$8))+将来予測シート②!$H22</f>
        <v>623.79805465019513</v>
      </c>
      <c r="CX13" s="10">
        <f>IF(管理者入力シート!$B$14=1,CW10*管理者用人口入力シート!AR$4,IF(管理者入力シート!$B$14=2,CW10*管理者用人口入力シート!AR$8))+将来予測シート②!$H23</f>
        <v>602.18707784260289</v>
      </c>
      <c r="CY13" s="10">
        <f>IF(管理者入力シート!$B$14=1,CX10*管理者用人口入力シート!AS$4,IF(管理者入力シート!$B$14=2,CX10*管理者用人口入力シート!AS$8))+将来予測シート②!$H24</f>
        <v>520.90408892001813</v>
      </c>
      <c r="CZ13" s="10">
        <f>IF(管理者入力シート!$B$14=1,CY10*管理者用人口入力シート!AT$4,IF(管理者入力シート!$B$14=2,CY10*管理者用人口入力シート!AT$8))+将来予測シート②!$H25</f>
        <v>519.97511777029536</v>
      </c>
      <c r="DA13" s="10">
        <f>IF(管理者入力シート!$B$14=1,CZ10*管理者用人口入力シート!AU$4,IF(管理者入力シート!$B$14=2,CZ10*管理者用人口入力シート!AU$8))+将来予測シート②!$H26</f>
        <v>519.34374835404617</v>
      </c>
      <c r="DB13" s="10">
        <f>IF(管理者入力シート!$B$14=1,DA10*管理者用人口入力シート!AV$4,IF(管理者入力シート!$B$14=2,DA10*管理者用人口入力シート!AV$8))+将来予測シート②!$H27</f>
        <v>575.33486017201119</v>
      </c>
      <c r="DC13" s="10">
        <f>IF(管理者入力シート!$B$14=1,DB10*管理者用人口入力シート!AW$4,IF(管理者入力シート!$B$14=2,DB10*管理者用人口入力シート!AW$8))+将来予測シート②!$H28</f>
        <v>581.11818656624712</v>
      </c>
      <c r="DD13" s="10">
        <f>IF(管理者入力シート!$B$14=1,DC10*管理者用人口入力シート!AX$4,IF(管理者入力シート!$B$14=2,DC10*管理者用人口入力シート!AX$8))+将来予測シート②!$H29</f>
        <v>646.38012089445101</v>
      </c>
      <c r="DE13" s="10">
        <f>IF(管理者入力シート!$B$14=1,DD10*管理者用人口入力シート!AY$4,IF(管理者入力シート!$B$14=2,DD10*管理者用人口入力シート!AY$8))</f>
        <v>708.368740524342</v>
      </c>
      <c r="DF13" s="10">
        <f>IF(管理者入力シート!$B$14=1,DE10*管理者用人口入力シート!AZ$4,IF(管理者入力シート!$B$14=2,DE10*管理者用人口入力シート!AZ$8))</f>
        <v>561.51025898926923</v>
      </c>
      <c r="DG13" s="10">
        <f>IF(管理者入力シート!$B$14=1,DF10*管理者用人口入力シート!BA$4,IF(管理者入力シート!$B$14=2,DF10*管理者用人口入力シート!BA$8))</f>
        <v>530.71114138512871</v>
      </c>
      <c r="DH13" s="10">
        <f>IF(管理者入力シート!$B$14=1,DG10*管理者用人口入力シート!BB$4,IF(管理者入力シート!$B$14=2,DG10*管理者用人口入力シート!BB$8))</f>
        <v>480.71969138098996</v>
      </c>
      <c r="DI13" s="10">
        <f>IF(管理者入力シート!$B$14=1,DH10*管理者用人口入力シート!BC$4,IF(管理者入力シート!$B$14=2,DH10*管理者用人口入力シート!BC$8))</f>
        <v>367.22545151077429</v>
      </c>
      <c r="DJ13" s="10">
        <f>IF(管理者入力シート!$B$14=1,DI10*管理者用人口入力シート!BD$4,IF(管理者入力シート!$B$14=2,DI10*管理者用人口入力シート!BD$8))</f>
        <v>204.3619503640048</v>
      </c>
      <c r="DK13" s="10">
        <f>IF(管理者入力シート!$B$14=1,DJ10*管理者用人口入力シート!BE$4,IF(管理者入力シート!$B$14=2,DJ10*管理者用人口入力シート!BE$8))</f>
        <v>57.453710343418372</v>
      </c>
      <c r="DL13" s="10">
        <f>IF(管理者入力シート!$B$14=1,DK10*管理者用人口入力シート!BF$4,IF(管理者入力シート!$B$14=2,DK10*管理者用人口入力シート!BF$8))</f>
        <v>12.060804322462097</v>
      </c>
      <c r="DM13" s="10">
        <f t="shared" si="69"/>
        <v>9536.9618791118501</v>
      </c>
      <c r="DN13" s="10">
        <f t="shared" si="34"/>
        <v>459.62951749386576</v>
      </c>
      <c r="DO13" s="10">
        <f t="shared" si="35"/>
        <v>233.69379462140333</v>
      </c>
      <c r="DP13" s="10">
        <f t="shared" si="6"/>
        <v>2922.4117488203892</v>
      </c>
      <c r="DQ13" s="10">
        <f t="shared" si="36"/>
        <v>1652.5327493067782</v>
      </c>
      <c r="DR13" s="14">
        <f t="shared" si="37"/>
        <v>0.30643005454610722</v>
      </c>
      <c r="DS13" s="14">
        <f t="shared" si="38"/>
        <v>0.17327664409839016</v>
      </c>
      <c r="DT13" s="10">
        <f t="shared" si="70"/>
        <v>2193.4658687033016</v>
      </c>
      <c r="DV13" s="62"/>
      <c r="DX13" s="29">
        <f>DX12</f>
        <v>2040</v>
      </c>
      <c r="DY13" s="4" t="s">
        <v>22</v>
      </c>
      <c r="DZ13" s="10">
        <f>FB13*$AK$14</f>
        <v>503.72445268635391</v>
      </c>
      <c r="EA13" s="10">
        <f>IF(管理者入力シート!$B$14=1,DZ10*管理者用人口入力シート!AM$4,IF(管理者入力シート!$B$14=2,DZ10*管理者用人口入力シート!AM$8))</f>
        <v>487.71640425522543</v>
      </c>
      <c r="EB13" s="10">
        <f>IF(管理者入力シート!$B$14=1,EA10*管理者用人口入力シート!AN$4,IF(管理者入力シート!$B$14=2,EA10*管理者用人口入力シート!AN$8))</f>
        <v>459.79910425744117</v>
      </c>
      <c r="EC13" s="10">
        <f>IF(管理者入力シート!$B$14=1,EB10*管理者用人口入力シート!AO$4,IF(管理者入力シート!$B$14=2,EB10*管理者用人口入力シート!AO$8))</f>
        <v>411.64038954457675</v>
      </c>
      <c r="ED13" s="10">
        <f>IF(管理者入力シート!$B$14=1,EC10*管理者用人口入力シート!AP$4,IF(管理者入力シート!$B$14=2,EC10*管理者用人口入力シート!AP$8))</f>
        <v>445.41712553975879</v>
      </c>
      <c r="EE13" s="10">
        <f>IF(管理者入力シート!$B$14=1,ED10*管理者用人口入力シート!AQ$4,IF(管理者入力シート!$B$14=2,ED10*管理者用人口入力シート!AQ$8))+DX1</f>
        <v>721.53983168875982</v>
      </c>
      <c r="EF13" s="10">
        <f>IF(管理者入力シート!$B$14=1,EE10*管理者用人口入力シート!AR$4,IF(管理者入力シート!$B$14=2,EE10*管理者用人口入力シート!AR$8))+DX1</f>
        <v>795.67130642672635</v>
      </c>
      <c r="EG13" s="10">
        <f>IF(管理者入力シート!$B$14=1,EF10*管理者用人口入力シート!AS$4,IF(管理者入力シート!$B$14=2,EF10*管理者用人口入力シート!AS$8))+DX1</f>
        <v>812.89756550340712</v>
      </c>
      <c r="EH13" s="10">
        <f>IF(管理者入力シート!$B$14=1,EG10*管理者用人口入力シート!AT$4,IF(管理者入力シート!$B$14=2,EG10*管理者用人口入力シート!AT$8))</f>
        <v>811.64997244059805</v>
      </c>
      <c r="EI13" s="10">
        <f>IF(管理者入力シート!$B$14=1,EH10*管理者用人口入力シート!AU$4,IF(管理者入力シート!$B$14=2,EH10*管理者用人口入力シート!AU$8))</f>
        <v>721.57752190833662</v>
      </c>
      <c r="EJ13" s="10">
        <f>IF(管理者入力シート!$B$14=1,EI10*管理者用人口入力シート!AV$4,IF(管理者入力シート!$B$14=2,EI10*管理者用人口入力シート!AV$8))</f>
        <v>675.7703923383076</v>
      </c>
      <c r="EK13" s="10">
        <f>IF(管理者入力シート!$B$14=1,EJ10*管理者用人口入力シート!AW$4,IF(管理者入力シート!$B$14=2,EJ10*管理者用人口入力シート!AW$8))</f>
        <v>580.14475172621576</v>
      </c>
      <c r="EL13" s="10">
        <f>IF(管理者入力シート!$B$14=1,EK10*管理者用人口入力シート!AX$4,IF(管理者入力シート!$B$14=2,EK10*管理者用人口入力シート!AX$8))</f>
        <v>646.38012089445101</v>
      </c>
      <c r="EM13" s="10">
        <f>IF(管理者入力シート!$B$14=1,EL10*管理者用人口入力シート!AY$4,IF(管理者入力シート!$B$14=2,EL10*管理者用人口入力シート!AY$8))</f>
        <v>708.368740524342</v>
      </c>
      <c r="EN13" s="10">
        <f>IF(管理者入力シート!$B$14=1,EM10*管理者用人口入力シート!AZ$4,IF(管理者入力シート!$B$14=2,EM10*管理者用人口入力シート!AZ$8))</f>
        <v>561.51025898926923</v>
      </c>
      <c r="EO13" s="10">
        <f>IF(管理者入力シート!$B$14=1,EN10*管理者用人口入力シート!BA$4,IF(管理者入力シート!$B$14=2,EN10*管理者用人口入力シート!BA$8))</f>
        <v>530.71114138512871</v>
      </c>
      <c r="EP13" s="10">
        <f>IF(管理者入力シート!$B$14=1,EO10*管理者用人口入力シート!BB$4,IF(管理者入力シート!$B$14=2,EO10*管理者用人口入力シート!BB$8))</f>
        <v>480.71969138098996</v>
      </c>
      <c r="EQ13" s="10">
        <f>IF(管理者入力シート!$B$14=1,EP10*管理者用人口入力シート!BC$4,IF(管理者入力シート!$B$14=2,EP10*管理者用人口入力シート!BC$8))</f>
        <v>367.22545151077429</v>
      </c>
      <c r="ER13" s="10">
        <f>IF(管理者入力シート!$B$14=1,EQ10*管理者用人口入力シート!BD$4,IF(管理者入力シート!$B$14=2,EQ10*管理者用人口入力シート!BD$8))</f>
        <v>204.3619503640048</v>
      </c>
      <c r="ES13" s="10">
        <f>IF(管理者入力シート!$B$14=1,ER10*管理者用人口入力シート!BE$4,IF(管理者入力シート!$B$14=2,ER10*管理者用人口入力シート!BE$8))</f>
        <v>57.453710343418372</v>
      </c>
      <c r="ET13" s="10">
        <f>IF(管理者入力シート!$B$14=1,ES10*管理者用人口入力シート!BF$4,IF(管理者入力シート!$B$14=2,ES10*管理者用人口入力シート!BF$8))</f>
        <v>12.060804322462097</v>
      </c>
      <c r="EU13" s="10">
        <f t="shared" si="71"/>
        <v>10996.340688030548</v>
      </c>
      <c r="EV13" s="10">
        <f t="shared" si="41"/>
        <v>568.50930510759997</v>
      </c>
      <c r="EW13" s="10">
        <f t="shared" si="42"/>
        <v>266.2477196118918</v>
      </c>
      <c r="EX13" s="10">
        <f t="shared" si="10"/>
        <v>2922.4117488203892</v>
      </c>
      <c r="EY13" s="10">
        <f t="shared" si="43"/>
        <v>1652.5327493067782</v>
      </c>
      <c r="EZ13" s="14">
        <f t="shared" si="44"/>
        <v>0.26576220505803511</v>
      </c>
      <c r="FA13" s="14">
        <f t="shared" si="45"/>
        <v>0.15028024287257216</v>
      </c>
      <c r="FB13" s="10">
        <f t="shared" si="72"/>
        <v>2775.5258291586524</v>
      </c>
    </row>
    <row r="14" spans="1:158" x14ac:dyDescent="0.15">
      <c r="A14" s="7" t="str">
        <f t="shared" si="11"/>
        <v>2020_3</v>
      </c>
      <c r="B14" s="30">
        <v>2020</v>
      </c>
      <c r="C14" s="5" t="s">
        <v>23</v>
      </c>
      <c r="D14" s="11">
        <v>816.56134964412331</v>
      </c>
      <c r="E14" s="11">
        <v>924.2153063821363</v>
      </c>
      <c r="F14" s="11">
        <v>1047.980692420766</v>
      </c>
      <c r="G14" s="11">
        <v>951.76412947190056</v>
      </c>
      <c r="H14" s="11">
        <v>924.32902035791096</v>
      </c>
      <c r="I14" s="11">
        <v>1073.3945501141525</v>
      </c>
      <c r="J14" s="11">
        <v>1123.2175755596345</v>
      </c>
      <c r="K14" s="11">
        <v>1195.6964109452654</v>
      </c>
      <c r="L14" s="11">
        <v>1274.3903059915192</v>
      </c>
      <c r="M14" s="11">
        <v>1445.0969364443376</v>
      </c>
      <c r="N14" s="11">
        <v>1173.0893848652049</v>
      </c>
      <c r="O14" s="11">
        <v>1159.5966092479293</v>
      </c>
      <c r="P14" s="11">
        <v>1232.4714591383245</v>
      </c>
      <c r="Q14" s="11">
        <v>1175.9429396515523</v>
      </c>
      <c r="R14" s="11">
        <v>1153.8691498614967</v>
      </c>
      <c r="S14" s="11">
        <v>814.43977459813505</v>
      </c>
      <c r="T14" s="11">
        <v>652.75415662528849</v>
      </c>
      <c r="U14" s="11">
        <v>498.96945246582487</v>
      </c>
      <c r="V14" s="11">
        <v>256.84242129639159</v>
      </c>
      <c r="W14" s="11">
        <v>47.13665779892154</v>
      </c>
      <c r="X14" s="11">
        <v>7.2417171191854814</v>
      </c>
      <c r="Y14" s="11">
        <f t="shared" si="177"/>
        <v>18948.999999999996</v>
      </c>
      <c r="Z14" s="11">
        <f t="shared" si="179"/>
        <v>1183.3175992817414</v>
      </c>
      <c r="AA14" s="11">
        <f t="shared" si="180"/>
        <v>609.54510286268646</v>
      </c>
      <c r="AB14" s="11">
        <f t="shared" si="178"/>
        <v>4607.1962694167969</v>
      </c>
      <c r="AC14" s="11">
        <f t="shared" si="181"/>
        <v>2277.3841799037468</v>
      </c>
      <c r="AD14" s="15">
        <f t="shared" si="182"/>
        <v>0.2431366441193096</v>
      </c>
      <c r="AE14" s="15">
        <f t="shared" si="183"/>
        <v>0.12018492690399216</v>
      </c>
      <c r="AF14" s="11">
        <f t="shared" si="184"/>
        <v>4316.6375569769634</v>
      </c>
      <c r="AI14" s="43"/>
      <c r="AJ14" s="1" t="s">
        <v>22</v>
      </c>
      <c r="AK14" s="8">
        <f>VLOOKUP(AK12&amp;"_2",A:D,4,FALSE)/VLOOKUP(AK12&amp;"_2",A:AF,32,FALSE)</f>
        <v>0.1814879355091602</v>
      </c>
      <c r="AL14" s="63"/>
      <c r="BH14" s="7" t="str">
        <f t="shared" si="19"/>
        <v>2040_3</v>
      </c>
      <c r="BI14" s="30">
        <f>BI13</f>
        <v>2040</v>
      </c>
      <c r="BJ14" s="5" t="s">
        <v>23</v>
      </c>
      <c r="BK14" s="16">
        <f>BK12+BK13</f>
        <v>795.02325245592897</v>
      </c>
      <c r="BL14" s="16">
        <f t="shared" ref="BL14" si="185">BL12+BL13</f>
        <v>767.5203725528022</v>
      </c>
      <c r="BM14" s="16">
        <f t="shared" ref="BM14" si="186">BM12+BM13</f>
        <v>736.567982903548</v>
      </c>
      <c r="BN14" s="16">
        <f t="shared" ref="BN14" si="187">BN12+BN13</f>
        <v>766.24051848331192</v>
      </c>
      <c r="BO14" s="16">
        <f t="shared" ref="BO14" si="188">BO12+BO13</f>
        <v>806.8847659760072</v>
      </c>
      <c r="BP14" s="16">
        <f t="shared" ref="BP14" si="189">BP12+BP13</f>
        <v>1030.7034067569944</v>
      </c>
      <c r="BQ14" s="16">
        <f t="shared" ref="BQ14" si="190">BQ12+BQ13</f>
        <v>1125.698661979791</v>
      </c>
      <c r="BR14" s="16">
        <f t="shared" ref="BR14" si="191">BR12+BR13</f>
        <v>962.51503474901392</v>
      </c>
      <c r="BS14" s="16">
        <f t="shared" ref="BS14" si="192">BS12+BS13</f>
        <v>916.67657083874155</v>
      </c>
      <c r="BT14" s="16">
        <f t="shared" ref="BT14" si="193">BT12+BT13</f>
        <v>1029.6822241225939</v>
      </c>
      <c r="BU14" s="16">
        <f t="shared" ref="BU14" si="194">BU12+BU13</f>
        <v>1095.2725147436736</v>
      </c>
      <c r="BV14" s="16">
        <f t="shared" ref="BV14" si="195">BV12+BV13</f>
        <v>1147.9019872330432</v>
      </c>
      <c r="BW14" s="16">
        <f t="shared" ref="BW14" si="196">BW12+BW13</f>
        <v>1228.2183742748639</v>
      </c>
      <c r="BX14" s="16">
        <f t="shared" ref="BX14" si="197">BX12+BX13</f>
        <v>1349.4519943833211</v>
      </c>
      <c r="BY14" s="16">
        <f t="shared" ref="BY14" si="198">BY12+BY13</f>
        <v>1025.3383135160334</v>
      </c>
      <c r="BZ14" s="16">
        <f t="shared" ref="BZ14" si="199">BZ12+BZ13</f>
        <v>944.66108517310533</v>
      </c>
      <c r="CA14" s="16">
        <f t="shared" ref="CA14" si="200">CA12+CA13</f>
        <v>837.19577625783359</v>
      </c>
      <c r="CB14" s="16">
        <f t="shared" ref="CB14" si="201">CB12+CB13</f>
        <v>572.45515109342853</v>
      </c>
      <c r="CC14" s="16">
        <f t="shared" ref="CC14" si="202">CC12+CC13</f>
        <v>299.22875662729473</v>
      </c>
      <c r="CD14" s="16">
        <f t="shared" ref="CD14" si="203">CD12+CD13</f>
        <v>64.841613502160143</v>
      </c>
      <c r="CE14" s="16">
        <f t="shared" ref="CE14" si="204">CE12+CE13</f>
        <v>12.171654021633968</v>
      </c>
      <c r="CF14" s="11">
        <f t="shared" si="2"/>
        <v>17514.250011645127</v>
      </c>
      <c r="CG14" s="11">
        <f t="shared" si="20"/>
        <v>902.45301327381014</v>
      </c>
      <c r="CH14" s="11">
        <f t="shared" si="21"/>
        <v>447.87529685808158</v>
      </c>
      <c r="CI14" s="11">
        <f t="shared" si="3"/>
        <v>5105.3443445748107</v>
      </c>
      <c r="CJ14" s="11">
        <f t="shared" si="22"/>
        <v>2730.5540366754562</v>
      </c>
      <c r="CK14" s="15">
        <f t="shared" si="23"/>
        <v>0.29149660083533668</v>
      </c>
      <c r="CL14" s="15">
        <f t="shared" si="24"/>
        <v>0.15590470815820981</v>
      </c>
      <c r="CM14" s="11">
        <f t="shared" si="25"/>
        <v>3925.8018694618063</v>
      </c>
      <c r="CO14" s="7" t="str">
        <f t="shared" si="26"/>
        <v>2040_3</v>
      </c>
      <c r="CP14" s="30">
        <f>CP13</f>
        <v>2040</v>
      </c>
      <c r="CQ14" s="5" t="s">
        <v>23</v>
      </c>
      <c r="CR14" s="16">
        <f>CR12+CR13</f>
        <v>799.98109605920445</v>
      </c>
      <c r="CS14" s="16">
        <f t="shared" ref="CS14" si="205">CS12+CS13</f>
        <v>771.72833919649509</v>
      </c>
      <c r="CT14" s="16">
        <f t="shared" ref="CT14" si="206">CT12+CT13</f>
        <v>741.71873714980552</v>
      </c>
      <c r="CU14" s="16">
        <f t="shared" ref="CU14" si="207">CU12+CU13</f>
        <v>770.28197987402837</v>
      </c>
      <c r="CV14" s="16">
        <f t="shared" ref="CV14" si="208">CV12+CV13</f>
        <v>809.0188055176427</v>
      </c>
      <c r="CW14" s="16">
        <f t="shared" ref="CW14" si="209">CW12+CW13</f>
        <v>1036.9351463470057</v>
      </c>
      <c r="CX14" s="16">
        <f t="shared" ref="CX14" si="210">CX12+CX13</f>
        <v>1129.5760468725521</v>
      </c>
      <c r="CY14" s="16">
        <f t="shared" ref="CY14" si="211">CY12+CY13</f>
        <v>966.3380510046901</v>
      </c>
      <c r="CZ14" s="16">
        <f t="shared" ref="CZ14" si="212">CZ12+CZ13</f>
        <v>921.48221586117438</v>
      </c>
      <c r="DA14" s="16">
        <f t="shared" ref="DA14" si="213">DA12+DA13</f>
        <v>1030.6925435523281</v>
      </c>
      <c r="DB14" s="16">
        <f t="shared" ref="DB14" si="214">DB12+DB13</f>
        <v>1096.2745084922035</v>
      </c>
      <c r="DC14" s="16">
        <f t="shared" ref="DC14" si="215">DC12+DC13</f>
        <v>1148.8754220730743</v>
      </c>
      <c r="DD14" s="16">
        <f t="shared" ref="DD14" si="216">DD12+DD13</f>
        <v>1228.2183742748639</v>
      </c>
      <c r="DE14" s="16">
        <f t="shared" ref="DE14" si="217">DE12+DE13</f>
        <v>1349.4519943833211</v>
      </c>
      <c r="DF14" s="16">
        <f t="shared" ref="DF14" si="218">DF12+DF13</f>
        <v>1025.3383135160334</v>
      </c>
      <c r="DG14" s="16">
        <f t="shared" ref="DG14" si="219">DG12+DG13</f>
        <v>944.66108517310533</v>
      </c>
      <c r="DH14" s="16">
        <f t="shared" ref="DH14" si="220">DH12+DH13</f>
        <v>837.19577625783359</v>
      </c>
      <c r="DI14" s="16">
        <f t="shared" ref="DI14" si="221">DI12+DI13</f>
        <v>572.45515109342853</v>
      </c>
      <c r="DJ14" s="16">
        <f t="shared" ref="DJ14" si="222">DJ12+DJ13</f>
        <v>299.22875662729473</v>
      </c>
      <c r="DK14" s="16">
        <f t="shared" ref="DK14" si="223">DK12+DK13</f>
        <v>64.841613502160143</v>
      </c>
      <c r="DL14" s="16">
        <f t="shared" ref="DL14" si="224">DL12+DL13</f>
        <v>12.171654021633968</v>
      </c>
      <c r="DM14" s="11">
        <f t="shared" si="69"/>
        <v>17556.465610849878</v>
      </c>
      <c r="DN14" s="11">
        <f t="shared" si="34"/>
        <v>908.06824580778027</v>
      </c>
      <c r="DO14" s="11">
        <f t="shared" si="35"/>
        <v>450.74389083472784</v>
      </c>
      <c r="DP14" s="11">
        <f t="shared" si="6"/>
        <v>5105.3443445748107</v>
      </c>
      <c r="DQ14" s="11">
        <f t="shared" si="36"/>
        <v>2730.5540366754562</v>
      </c>
      <c r="DR14" s="15">
        <f t="shared" si="37"/>
        <v>0.29079567936610845</v>
      </c>
      <c r="DS14" s="15">
        <f t="shared" si="38"/>
        <v>0.15552982571776727</v>
      </c>
      <c r="DT14" s="11">
        <f t="shared" si="70"/>
        <v>3941.8680497418904</v>
      </c>
      <c r="DX14" s="30">
        <f>DX13</f>
        <v>2040</v>
      </c>
      <c r="DY14" s="5" t="s">
        <v>23</v>
      </c>
      <c r="DZ14" s="16">
        <f>DZ12+DZ13</f>
        <v>1009.7340354796468</v>
      </c>
      <c r="EA14" s="16">
        <f t="shared" ref="EA14" si="225">EA12+EA13</f>
        <v>968.29067282092569</v>
      </c>
      <c r="EB14" s="16">
        <f t="shared" ref="EB14" si="226">EB12+EB13</f>
        <v>903.77537788461473</v>
      </c>
      <c r="EC14" s="16">
        <f t="shared" ref="EC14" si="227">EC12+EC13</f>
        <v>766.24051848331192</v>
      </c>
      <c r="ED14" s="16">
        <f t="shared" ref="ED14" si="228">ED12+ED13</f>
        <v>806.8847659760072</v>
      </c>
      <c r="EE14" s="16">
        <f t="shared" ref="EE14" si="229">EE12+EE13</f>
        <v>1232.7034067569944</v>
      </c>
      <c r="EF14" s="16">
        <f t="shared" ref="EF14" si="230">EF12+EF13</f>
        <v>1523.506599064219</v>
      </c>
      <c r="EG14" s="16">
        <f t="shared" ref="EG14" si="231">EG12+EG13</f>
        <v>1556.7530377151111</v>
      </c>
      <c r="EH14" s="16">
        <f t="shared" ref="EH14" si="232">EH12+EH13</f>
        <v>1508.3096202139043</v>
      </c>
      <c r="EI14" s="16">
        <f t="shared" ref="EI14" si="233">EI12+EI13</f>
        <v>1432.8257867457946</v>
      </c>
      <c r="EJ14" s="16">
        <f t="shared" ref="EJ14" si="234">EJ12+EJ13</f>
        <v>1294.9277648953152</v>
      </c>
      <c r="EK14" s="16">
        <f t="shared" ref="EK14" si="235">EK12+EK13</f>
        <v>1147.9019872330432</v>
      </c>
      <c r="EL14" s="16">
        <f t="shared" ref="EL14" si="236">EL12+EL13</f>
        <v>1228.2183742748639</v>
      </c>
      <c r="EM14" s="16">
        <f t="shared" ref="EM14" si="237">EM12+EM13</f>
        <v>1349.4519943833211</v>
      </c>
      <c r="EN14" s="16">
        <f t="shared" ref="EN14" si="238">EN12+EN13</f>
        <v>1025.3383135160334</v>
      </c>
      <c r="EO14" s="16">
        <f t="shared" ref="EO14" si="239">EO12+EO13</f>
        <v>944.66108517310533</v>
      </c>
      <c r="EP14" s="16">
        <f t="shared" ref="EP14" si="240">EP12+EP13</f>
        <v>837.19577625783359</v>
      </c>
      <c r="EQ14" s="16">
        <f t="shared" ref="EQ14" si="241">EQ12+EQ13</f>
        <v>572.45515109342853</v>
      </c>
      <c r="ER14" s="16">
        <f t="shared" ref="ER14" si="242">ER12+ER13</f>
        <v>299.22875662729473</v>
      </c>
      <c r="ES14" s="16">
        <f t="shared" ref="ES14" si="243">ES12+ES13</f>
        <v>64.841613502160143</v>
      </c>
      <c r="ET14" s="16">
        <f t="shared" ref="ET14" si="244">ET12+ET13</f>
        <v>12.171654021633968</v>
      </c>
      <c r="EU14" s="11">
        <f t="shared" si="71"/>
        <v>20485.416292118563</v>
      </c>
      <c r="EV14" s="11">
        <f t="shared" si="41"/>
        <v>1123.2396304233243</v>
      </c>
      <c r="EW14" s="11">
        <f t="shared" si="42"/>
        <v>514.75825485050825</v>
      </c>
      <c r="EX14" s="11">
        <f t="shared" si="10"/>
        <v>5105.3443445748107</v>
      </c>
      <c r="EY14" s="11">
        <f t="shared" si="43"/>
        <v>2730.5540366754562</v>
      </c>
      <c r="EZ14" s="15">
        <f t="shared" si="44"/>
        <v>0.24921848166390498</v>
      </c>
      <c r="FA14" s="15">
        <f t="shared" si="45"/>
        <v>0.13329258228088794</v>
      </c>
      <c r="FB14" s="11">
        <f t="shared" si="72"/>
        <v>5119.8478095123319</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380.29442951701714</v>
      </c>
      <c r="BL15" s="9">
        <f>IF(管理者入力シート!$B$14=1,BK12*管理者用人口入力シート!AM$3,IF(管理者入力シート!$B$14=2,BK12*管理者用人口入力シート!AM$7))</f>
        <v>368.96078428510845</v>
      </c>
      <c r="BM15" s="9">
        <f>IF(管理者入力シート!$B$14=1,BL12*管理者用人口入力シート!AN$3,IF(管理者入力シート!$B$14=2,BL12*管理者用人口入力シート!AN$7))</f>
        <v>372.85084500114453</v>
      </c>
      <c r="BN15" s="9">
        <f>IF(管理者入力シート!$B$14=1,BM12*管理者用人口入力シート!AO$3,IF(管理者入力シート!$B$14=2,BM12*管理者用人口入力シート!AO$7))</f>
        <v>358.03482524851228</v>
      </c>
      <c r="BO15" s="9">
        <f>IF(管理者入力シート!$B$14=1,BN12*管理者用人口入力シート!AP$3,IF(管理者入力シート!$B$14=2,BN12*管理者用人口入力シート!AP$7))</f>
        <v>349.23316759655035</v>
      </c>
      <c r="BP15" s="9">
        <f>IF(管理者入力シート!$B$14=1,BO12*管理者用人口入力シート!AQ$3,IF(管理者入力シート!$B$14=2,BO12*管理者用人口入力シート!AQ$7))</f>
        <v>361.09628981596995</v>
      </c>
      <c r="BQ15" s="9">
        <f>IF(管理者入力シート!$B$14=1,BP12*管理者用人口入力シート!AR$3,IF(管理者入力シート!$B$14=2,BP12*管理者用人口入力シート!AR$7))</f>
        <v>412.01272341679419</v>
      </c>
      <c r="BR15" s="9">
        <f>IF(管理者入力シート!$B$14=1,BQ12*管理者用人口入力シート!AS$3,IF(管理者入力シート!$B$14=2,BQ12*管理者用人口入力シート!AS$7))</f>
        <v>517.45176326934404</v>
      </c>
      <c r="BS15" s="9">
        <f>IF(管理者入力シート!$B$14=1,BR12*管理者用人口入力シート!AT$3,IF(管理者入力シート!$B$14=2,BR12*管理者用人口入力シート!AT$7))</f>
        <v>438.59757723335565</v>
      </c>
      <c r="BT15" s="9">
        <f>IF(管理者入力シート!$B$14=1,BS12*管理者用人口入力シート!AU$3,IF(管理者入力シート!$B$14=2,BS12*管理者用人口入力シート!AU$7))</f>
        <v>402.8137931146116</v>
      </c>
      <c r="BU15" s="9">
        <f>IF(管理者入力シート!$B$14=1,BT12*管理者用人口入力シート!AV$3,IF(管理者入力シート!$B$14=2,BT12*管理者用人口入力シート!AV$7))</f>
        <v>498.69635768597101</v>
      </c>
      <c r="BV15" s="9">
        <f>IF(管理者入力シート!$B$14=1,BU12*管理者用人口入力シート!AW$3,IF(管理者入力シート!$B$14=2,BU12*管理者用人口入力シート!AW$7))</f>
        <v>505.97593279893738</v>
      </c>
      <c r="BW15" s="9">
        <f>IF(管理者入力シート!$B$14=1,BV12*管理者用人口入力シート!AX$3,IF(管理者入力シート!$B$14=2,BV12*管理者用人口入力シート!AX$7))</f>
        <v>559.42209939901329</v>
      </c>
      <c r="BX15" s="9">
        <f>IF(管理者入力シート!$B$14=1,BW12*管理者用人口入力シート!AY$3,IF(管理者入力シート!$B$14=2,BW12*管理者用人口入力シート!AY$7))</f>
        <v>561.39718078852923</v>
      </c>
      <c r="BY15" s="9">
        <f>IF(管理者入力シート!$B$14=1,BX12*管理者用人口入力シート!AZ$3,IF(管理者入力シート!$B$14=2,BX12*管理者用人口入力シート!AZ$7))</f>
        <v>582.04851233240561</v>
      </c>
      <c r="BZ15" s="9">
        <f>IF(管理者入力シート!$B$14=1,BY12*管理者用人口入力シート!BA$3,IF(管理者入力シート!$B$14=2,BY12*管理者用人口入力シート!BA$7))</f>
        <v>396.26769551710663</v>
      </c>
      <c r="CA15" s="9">
        <f>IF(管理者入力シート!$B$14=1,BZ12*管理者用人口入力シート!BB$3,IF(管理者入力シート!$B$14=2,BZ12*管理者用人口入力シート!BB$7))</f>
        <v>320.95873753503008</v>
      </c>
      <c r="CB15" s="9">
        <f>IF(管理者入力シート!$B$14=1,CA12*管理者用人口入力シート!BC$3,IF(管理者入力シート!$B$14=2,CA12*管理者用人口入力シート!BC$7))</f>
        <v>217.80603159123737</v>
      </c>
      <c r="CC15" s="9">
        <f>IF(管理者入力シート!$B$14=1,CB12*管理者用人口入力シート!BD$3,IF(管理者入力シート!$B$14=2,CB12*管理者用人口入力シート!BD$7))</f>
        <v>87.73389065967352</v>
      </c>
      <c r="CD15" s="9">
        <f>IF(管理者入力シート!$B$14=1,CC12*管理者用人口入力シート!BE$3,IF(管理者入力シート!$B$14=2,CC12*管理者用人口入力シート!BE$7))</f>
        <v>10.293887563680533</v>
      </c>
      <c r="CE15" s="9">
        <f>IF(管理者入力シート!$B$14=1,CD12*管理者用人口入力シート!BF$3,IF(管理者入力シート!$B$14=2,CD12*管理者用人口入力シート!BF$7))</f>
        <v>0.10450142266445045</v>
      </c>
      <c r="CF15" s="9">
        <f t="shared" ref="CF15:CF20" si="252">SUM(BK15:CE15)</f>
        <v>7702.0510257926571</v>
      </c>
      <c r="CG15" s="9">
        <f t="shared" ref="CG15:CG20" si="253">BL15*3/5+BM15*3/5</f>
        <v>445.08697757175179</v>
      </c>
      <c r="CH15" s="9">
        <f t="shared" ref="CH15:CH20" si="254">BM15*2/5+BN15*1/5</f>
        <v>220.74730305016027</v>
      </c>
      <c r="CI15" s="9">
        <f t="shared" ref="CI15:CI20" si="255">SUM(BX15:CE15)</f>
        <v>2176.610437410327</v>
      </c>
      <c r="CJ15" s="9">
        <f t="shared" ref="CJ15:CJ20" si="256">SUM(BZ15:CE15)</f>
        <v>1033.1647442893927</v>
      </c>
      <c r="CK15" s="13">
        <f t="shared" ref="CK15:CK20" si="257">CI15/CF15</f>
        <v>0.28260140449878685</v>
      </c>
      <c r="CL15" s="13">
        <f t="shared" ref="CL15:CL20" si="258">CJ15/CF15</f>
        <v>0.13414150864873872</v>
      </c>
      <c r="CM15" s="9">
        <f t="shared" ref="CM15:CM20" si="259">SUM(BO15:BR15)</f>
        <v>1639.7939440986584</v>
      </c>
      <c r="CO15" s="7" t="str">
        <f t="shared" si="26"/>
        <v>2045_1</v>
      </c>
      <c r="CP15" s="28">
        <f>管理者入力シート!B12</f>
        <v>2045</v>
      </c>
      <c r="CQ15" s="3" t="s">
        <v>21</v>
      </c>
      <c r="CR15" s="9">
        <f>DT16*$AK$13+将来予測シート②!$G17</f>
        <v>383.19033416406489</v>
      </c>
      <c r="CS15" s="9">
        <f>IF(管理者入力シート!$B$14=1,CR12*管理者用人口入力シート!AM$3,IF(管理者入力シート!$B$14=2,CR12*管理者用人口入力シート!AM$7))+将来予測シート②!$G18</f>
        <v>371.25956440048941</v>
      </c>
      <c r="CT15" s="9">
        <f>IF(管理者入力シート!$B$14=1,CS12*管理者用人口入力シート!AN$3,IF(管理者入力シート!$B$14=2,CS12*管理者用人口入力シート!AN$7))+将来予測シート②!$G19</f>
        <v>375.89294616128973</v>
      </c>
      <c r="CU15" s="9">
        <f>IF(管理者入力シート!$B$14=1,CT12*管理者用人口入力シート!AO$3,IF(管理者入力シート!$B$14=2,CT12*管理者用人口入力シート!AO$7))+将来予測シート②!$G20</f>
        <v>360.55378437890397</v>
      </c>
      <c r="CV15" s="9">
        <f>IF(管理者入力シート!$B$14=1,CU12*管理者用人口入力シート!AP$3,IF(管理者入力シート!$B$14=2,CU12*管理者用人口入力シート!AP$7))+将来予測シート②!$G21</f>
        <v>351.0910273431769</v>
      </c>
      <c r="CW15" s="9">
        <f>IF(管理者入力シート!$B$14=1,CV12*管理者用人口入力シート!AQ$3,IF(管理者入力シート!$B$14=2,CV12*管理者用人口入力シート!AQ$7))+将来予測シート②!$G22</f>
        <v>364.06980644454603</v>
      </c>
      <c r="CX15" s="9">
        <f>IF(管理者入力シート!$B$14=1,CW12*管理者用人口入力シート!AR$3,IF(管理者入力シート!$B$14=2,CW12*管理者用人口入力シート!AR$7))+将来予測シート②!$G23</f>
        <v>414.99964560768092</v>
      </c>
      <c r="CY15" s="9">
        <f>IF(管理者入力シート!$B$14=1,CX12*管理者用人口入力シート!AS$3,IF(管理者入力シート!$B$14=2,CX12*管理者用人口入力シート!AS$7))+将来予測シート②!$G24</f>
        <v>519.43046306044982</v>
      </c>
      <c r="CZ15" s="9">
        <f>IF(管理者入力シート!$B$14=1,CY12*管理者用人口入力シート!AT$3,IF(管理者入力シート!$B$14=2,CY12*管理者用人口入力シート!AT$7))+将来予測シート②!$G25</f>
        <v>440.554602007315</v>
      </c>
      <c r="DA15" s="9">
        <f>IF(管理者入力シート!$B$14=1,CZ12*管理者用人口入力シート!AU$3,IF(管理者入力シート!$B$14=2,CZ12*管理者用人口入力シート!AU$7))+将来予測シート②!$G26</f>
        <v>404.78680382106313</v>
      </c>
      <c r="DB15" s="9">
        <f>IF(管理者入力シート!$B$14=1,DA12*管理者用人口入力シート!AV$3,IF(管理者入力シート!$B$14=2,DA12*管理者用人口入力シート!AV$7))+将来予測シート②!$G27</f>
        <v>498.69635768597101</v>
      </c>
      <c r="DC15" s="9">
        <f>IF(管理者入力シート!$B$14=1,DB12*管理者用人口入力シート!AW$3,IF(管理者入力シート!$B$14=2,DB12*管理者用人口入力シート!AW$7))+将来予測シート②!$G28</f>
        <v>505.97593279893738</v>
      </c>
      <c r="DD15" s="9">
        <f>IF(管理者入力シート!$B$14=1,DC12*管理者用人口入力シート!AX$3,IF(管理者入力シート!$B$14=2,DC12*管理者用人口入力シート!AX$7))+将来予測シート②!$G29</f>
        <v>559.42209939901329</v>
      </c>
      <c r="DE15" s="9">
        <f>IF(管理者入力シート!$B$14=1,DD12*管理者用人口入力シート!AY$3,IF(管理者入力シート!$B$14=2,DD12*管理者用人口入力シート!AY$7))</f>
        <v>561.39718078852923</v>
      </c>
      <c r="DF15" s="9">
        <f>IF(管理者入力シート!$B$14=1,DE12*管理者用人口入力シート!AZ$3,IF(管理者入力シート!$B$14=2,DE12*管理者用人口入力シート!AZ$7))</f>
        <v>582.04851233240561</v>
      </c>
      <c r="DG15" s="9">
        <f>IF(管理者入力シート!$B$14=1,DF12*管理者用人口入力シート!BA$3,IF(管理者入力シート!$B$14=2,DF12*管理者用人口入力シート!BA$7))</f>
        <v>396.26769551710663</v>
      </c>
      <c r="DH15" s="9">
        <f>IF(管理者入力シート!$B$14=1,DG12*管理者用人口入力シート!BB$3,IF(管理者入力シート!$B$14=2,DG12*管理者用人口入力シート!BB$7))</f>
        <v>320.95873753503008</v>
      </c>
      <c r="DI15" s="9">
        <f>IF(管理者入力シート!$B$14=1,DH12*管理者用人口入力シート!BC$3,IF(管理者入力シート!$B$14=2,DH12*管理者用人口入力シート!BC$7))</f>
        <v>217.80603159123737</v>
      </c>
      <c r="DJ15" s="9">
        <f>IF(管理者入力シート!$B$14=1,DI12*管理者用人口入力シート!BD$3,IF(管理者入力シート!$B$14=2,DI12*管理者用人口入力シート!BD$7))</f>
        <v>87.73389065967352</v>
      </c>
      <c r="DK15" s="9">
        <f>IF(管理者入力シート!$B$14=1,DJ12*管理者用人口入力シート!BE$3,IF(管理者入力シート!$B$14=2,DJ12*管理者用人口入力シート!BE$7))</f>
        <v>10.293887563680533</v>
      </c>
      <c r="DL15" s="9">
        <f>IF(管理者入力シート!$B$14=1,DK12*管理者用人口入力シート!BF$3,IF(管理者入力シート!$B$14=2,DK12*管理者用人口入力シート!BF$7))</f>
        <v>0.10450142266445045</v>
      </c>
      <c r="DM15" s="9">
        <f t="shared" ref="DM15:DM20" si="260">SUM(CR15:DL15)</f>
        <v>7726.5338046832285</v>
      </c>
      <c r="DN15" s="9">
        <f t="shared" ref="DN15:DN20" si="261">CS15*3/5+CT15*3/5</f>
        <v>448.29150633706752</v>
      </c>
      <c r="DO15" s="9">
        <f t="shared" ref="DO15:DO20" si="262">CT15*2/5+CU15*1/5</f>
        <v>222.46793534029669</v>
      </c>
      <c r="DP15" s="9">
        <f t="shared" ref="DP15:DP20" si="263">SUM(DE15:DL15)</f>
        <v>2176.610437410327</v>
      </c>
      <c r="DQ15" s="9">
        <f t="shared" ref="DQ15:DQ20" si="264">SUM(DG15:DL15)</f>
        <v>1033.1647442893927</v>
      </c>
      <c r="DR15" s="13">
        <f t="shared" ref="DR15:DR20" si="265">DP15/DM15</f>
        <v>0.281705935990474</v>
      </c>
      <c r="DS15" s="13">
        <f t="shared" ref="DS15:DS20" si="266">DQ15/DM15</f>
        <v>0.13371645946377247</v>
      </c>
      <c r="DT15" s="9">
        <f t="shared" ref="DT15:DT20" si="267">SUM(CV15:CY15)</f>
        <v>1649.5909424558536</v>
      </c>
      <c r="DV15" s="62" t="s">
        <v>404</v>
      </c>
      <c r="DW15" s="211">
        <f>AK13+AK14</f>
        <v>0.36379918531895927</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378.57702676429994</v>
      </c>
      <c r="BL16" s="10">
        <f>IF(管理者入力シート!$B$14=1,BK13*管理者用人口入力シート!AM$4,IF(管理者入力シート!$B$14=2,BK13*管理者用人口入力シート!AM$8))</f>
        <v>374.44415731992081</v>
      </c>
      <c r="BM16" s="10">
        <f>IF(管理者入力シート!$B$14=1,BL13*管理者用人口入力シート!AN$4,IF(管理者入力シート!$B$14=2,BL13*管理者用人口入力シート!AN$8))</f>
        <v>386.13884285428958</v>
      </c>
      <c r="BN16" s="10">
        <f>IF(管理者入力シート!$B$14=1,BM13*管理者用人口入力シート!AO$4,IF(管理者入力シート!$B$14=2,BM13*管理者用人口入力シート!AO$8))</f>
        <v>415.62758416617896</v>
      </c>
      <c r="BO16" s="10">
        <f>IF(管理者入力シート!$B$14=1,BN13*管理者用人口入力シート!AP$4,IF(管理者入力シート!$B$14=2,BN13*管理者用人口入力シート!AP$8))</f>
        <v>430.34124290147963</v>
      </c>
      <c r="BP16" s="10">
        <f>IF(管理者入力シート!$B$14=1,BO13*管理者用人口入力シート!AQ$4,IF(管理者入力シート!$B$14=2,BO13*管理者用人口入力シート!AQ$8))</f>
        <v>483.33207584882138</v>
      </c>
      <c r="BQ16" s="10">
        <f>IF(管理者入力シート!$B$14=1,BP13*管理者用人口入力シート!AR$4,IF(管理者入力シート!$B$14=2,BP13*管理者用人口入力シート!AR$8))</f>
        <v>579.69846100461359</v>
      </c>
      <c r="BR16" s="10">
        <f>IF(管理者入力シート!$B$14=1,BQ13*管理者用人口入力シート!AS$4,IF(管理者入力シート!$B$14=2,BQ13*管理者用人口入力シート!AS$8))</f>
        <v>592.59071522972943</v>
      </c>
      <c r="BS16" s="10">
        <f>IF(管理者入力シート!$B$14=1,BR13*管理者用人口入力シート!AT$4,IF(管理者入力シート!$B$14=2,BR13*管理者用人口入力シート!AT$8))</f>
        <v>520.27101853836712</v>
      </c>
      <c r="BT16" s="10">
        <f>IF(管理者入力シート!$B$14=1,BS13*管理者用人口入力シート!AU$4,IF(管理者入力シート!$B$14=2,BS13*管理者用人口入力シート!AU$8))</f>
        <v>522.46294807671006</v>
      </c>
      <c r="BU16" s="10">
        <f>IF(管理者入力シート!$B$14=1,BT13*管理者用人口入力シート!AV$4,IF(管理者入力シート!$B$14=2,BT13*管理者用人口入力シート!AV$8))</f>
        <v>514.06202845458972</v>
      </c>
      <c r="BV16" s="10">
        <f>IF(管理者入力シート!$B$14=1,BU13*管理者用人口入力シート!AW$4,IF(管理者入力シート!$B$14=2,BU13*管理者用人口入力シート!AW$8))</f>
        <v>557.96318367441756</v>
      </c>
      <c r="BW16" s="10">
        <f>IF(管理者入力シート!$B$14=1,BV13*管理者用人口入力シート!AX$4,IF(管理者入力シート!$B$14=2,BV13*管理者用人口入力シート!AX$8))</f>
        <v>587.1966847690677</v>
      </c>
      <c r="BX16" s="10">
        <f>IF(管理者入力シート!$B$14=1,BW13*管理者用人口入力シート!AY$4,IF(管理者入力シート!$B$14=2,BW13*管理者用人口入力シート!AY$8))</f>
        <v>640.35496493083622</v>
      </c>
      <c r="BY16" s="10">
        <f>IF(管理者入力シート!$B$14=1,BX13*管理者用人口入力シート!AZ$4,IF(管理者入力シート!$B$14=2,BX13*管理者用人口入力シート!AZ$8))</f>
        <v>658.74774858128433</v>
      </c>
      <c r="BZ16" s="10">
        <f>IF(管理者入力シート!$B$14=1,BY13*管理者用人口入力シート!BA$4,IF(管理者入力シート!$B$14=2,BY13*管理者用人口入力シート!BA$8))</f>
        <v>534.18184351065793</v>
      </c>
      <c r="CA16" s="10">
        <f>IF(管理者入力シート!$B$14=1,BZ13*管理者用人口入力シート!BB$4,IF(管理者入力シート!$B$14=2,BZ13*管理者用人口入力シート!BB$8))</f>
        <v>470.89200198106113</v>
      </c>
      <c r="CB16" s="10">
        <f>IF(管理者入力シート!$B$14=1,CA13*管理者用人口入力シート!BC$4,IF(管理者入力シート!$B$14=2,CA13*管理者用人口入力シート!BC$8))</f>
        <v>364.22800556701816</v>
      </c>
      <c r="CC16" s="10">
        <f>IF(管理者入力シート!$B$14=1,CB13*管理者用人口入力シート!BD$4,IF(管理者入力シート!$B$14=2,CB13*管理者用人口入力シート!BD$8))</f>
        <v>193.77144534352388</v>
      </c>
      <c r="CD16" s="10">
        <f>IF(管理者入力シート!$B$14=1,CC13*管理者用人口入力シート!BE$4,IF(管理者入力シート!$B$14=2,CC13*管理者用人口入力シート!BE$8))</f>
        <v>69.209236857448715</v>
      </c>
      <c r="CE16" s="10">
        <f>IF(管理者入力シート!$B$14=1,CD13*管理者用人口入力シート!BF$4,IF(管理者入力シート!$B$14=2,CD13*管理者用人口入力シート!BF$8))</f>
        <v>13.602395863627928</v>
      </c>
      <c r="CF16" s="10">
        <f t="shared" si="252"/>
        <v>9287.6936122379429</v>
      </c>
      <c r="CG16" s="10">
        <f t="shared" si="253"/>
        <v>456.34980010452625</v>
      </c>
      <c r="CH16" s="10">
        <f t="shared" si="254"/>
        <v>237.58105397495163</v>
      </c>
      <c r="CI16" s="10">
        <f t="shared" si="255"/>
        <v>2944.9876426354576</v>
      </c>
      <c r="CJ16" s="10">
        <f t="shared" si="256"/>
        <v>1645.8849291233378</v>
      </c>
      <c r="CK16" s="14">
        <f t="shared" si="257"/>
        <v>0.31708492609564448</v>
      </c>
      <c r="CL16" s="14">
        <f t="shared" si="258"/>
        <v>0.17721137214890845</v>
      </c>
      <c r="CM16" s="10">
        <f t="shared" si="259"/>
        <v>2085.9624949846439</v>
      </c>
      <c r="CO16" s="7" t="str">
        <f t="shared" si="26"/>
        <v>2045_2</v>
      </c>
      <c r="CP16" s="29">
        <f>CP15</f>
        <v>2045</v>
      </c>
      <c r="CQ16" s="4" t="s">
        <v>22</v>
      </c>
      <c r="CR16" s="10">
        <f>DT16*$AK$14+将来予測シート②!$H17</f>
        <v>381.46436954031572</v>
      </c>
      <c r="CS16" s="10">
        <f>IF(管理者入力シート!$B$14=1,CR13*管理者用人口入力シート!AM$4,IF(管理者入力シート!$B$14=2,CR13*管理者用人口入力シート!AM$8))+将来予測シート②!$H18</f>
        <v>376.78136471421169</v>
      </c>
      <c r="CT16" s="10">
        <f>IF(管理者入力シート!$B$14=1,CS13*管理者用人口入力シート!AN$4,IF(管理者入力シート!$B$14=2,CS13*管理者用人口入力シート!AN$8))+将来予測シート②!$H19</f>
        <v>389.25798085992034</v>
      </c>
      <c r="CU16" s="10">
        <f>IF(管理者入力シート!$B$14=1,CT13*管理者用人口入力シート!AO$4,IF(管理者入力シート!$B$14=2,CT13*管理者用人口入力シート!AO$8))+将来予測シート②!$H20</f>
        <v>418.51693299821937</v>
      </c>
      <c r="CV16" s="10">
        <f>IF(管理者入力シート!$B$14=1,CU13*管理者用人口入力シート!AP$4,IF(管理者入力シート!$B$14=2,CU13*管理者用人口入力シート!AP$8))+将来予測シート②!$H21</f>
        <v>432.59419734066665</v>
      </c>
      <c r="CW16" s="10">
        <f>IF(管理者入力シート!$B$14=1,CV13*管理者用人口入力シート!AQ$4,IF(管理者入力シート!$B$14=2,CV13*管理者用人口入力シート!AQ$8))+将来予測シート②!$H22</f>
        <v>486.59029881025657</v>
      </c>
      <c r="CX16" s="10">
        <f>IF(管理者入力シート!$B$14=1,CW13*管理者用人口入力シート!AR$4,IF(管理者入力シート!$B$14=2,CW13*管理者用人口入力シート!AR$8))+将来予測シート②!$H23</f>
        <v>582.74224117777942</v>
      </c>
      <c r="CY16" s="10">
        <f>IF(管理者入力シート!$B$14=1,CX13*管理者用人口入力シート!AS$4,IF(管理者入力シート!$B$14=2,CX13*管理者用人口入力シート!AS$8))+将来予測シート②!$H24</f>
        <v>594.43503169429994</v>
      </c>
      <c r="CZ16" s="10">
        <f>IF(管理者入力シート!$B$14=1,CY13*管理者用人口入力シート!AT$4,IF(管理者入力シート!$B$14=2,CY13*管理者用人口入力シート!AT$8))+将来予測シート②!$H25</f>
        <v>523.11963878684048</v>
      </c>
      <c r="DA16" s="10">
        <f>IF(管理者入力シート!$B$14=1,CZ13*管理者用人口入力シート!AU$4,IF(管理者入力シート!$B$14=2,CZ13*管理者用人口入力シート!AU$8))+将来予測シート②!$H26</f>
        <v>525.34096446167723</v>
      </c>
      <c r="DB16" s="10">
        <f>IF(管理者入力シート!$B$14=1,DA13*管理者用人口入力シート!AV$4,IF(管理者入力シート!$B$14=2,DA13*管理者用人口入力シート!AV$8))+将来予測シート②!$H27</f>
        <v>515.06402220311963</v>
      </c>
      <c r="DC16" s="10">
        <f>IF(管理者入力シート!$B$14=1,DB13*管理者用人口入力シート!AW$4,IF(管理者入力シート!$B$14=2,DB13*管理者用人口入力シート!AW$8))+将来予測シート②!$H28</f>
        <v>558.93661851444881</v>
      </c>
      <c r="DD16" s="10">
        <f>IF(管理者入力シート!$B$14=1,DC13*管理者用人口入力シート!AX$4,IF(管理者入力シート!$B$14=2,DC13*管理者用人口入力シート!AX$8))+将来予測シート②!$H29</f>
        <v>588.18195216863364</v>
      </c>
      <c r="DE16" s="10">
        <f>IF(管理者入力シート!$B$14=1,DD13*管理者用人口入力シート!AY$4,IF(管理者入力シート!$B$14=2,DD13*管理者用人口入力シート!AY$8))</f>
        <v>640.35496493083622</v>
      </c>
      <c r="DF16" s="10">
        <f>IF(管理者入力シート!$B$14=1,DE13*管理者用人口入力シート!AZ$4,IF(管理者入力シート!$B$14=2,DE13*管理者用人口入力シート!AZ$8))</f>
        <v>658.74774858128433</v>
      </c>
      <c r="DG16" s="10">
        <f>IF(管理者入力シート!$B$14=1,DF13*管理者用人口入力シート!BA$4,IF(管理者入力シート!$B$14=2,DF13*管理者用人口入力シート!BA$8))</f>
        <v>534.18184351065793</v>
      </c>
      <c r="DH16" s="10">
        <f>IF(管理者入力シート!$B$14=1,DG13*管理者用人口入力シート!BB$4,IF(管理者入力シート!$B$14=2,DG13*管理者用人口入力シート!BB$8))</f>
        <v>470.89200198106113</v>
      </c>
      <c r="DI16" s="10">
        <f>IF(管理者入力シート!$B$14=1,DH13*管理者用人口入力シート!BC$4,IF(管理者入力シート!$B$14=2,DH13*管理者用人口入力シート!BC$8))</f>
        <v>364.22800556701816</v>
      </c>
      <c r="DJ16" s="10">
        <f>IF(管理者入力シート!$B$14=1,DI13*管理者用人口入力シート!BD$4,IF(管理者入力シート!$B$14=2,DI13*管理者用人口入力シート!BD$8))</f>
        <v>193.77144534352388</v>
      </c>
      <c r="DK16" s="10">
        <f>IF(管理者入力シート!$B$14=1,DJ13*管理者用人口入力シート!BE$4,IF(管理者入力シート!$B$14=2,DJ13*管理者用人口入力シート!BE$8))</f>
        <v>69.209236857448715</v>
      </c>
      <c r="DL16" s="10">
        <f>IF(管理者入力シート!$B$14=1,DK13*管理者用人口入力シート!BF$4,IF(管理者入力シート!$B$14=2,DK13*管理者用人口入力シート!BF$8))</f>
        <v>13.602395863627928</v>
      </c>
      <c r="DM16" s="10">
        <f t="shared" si="260"/>
        <v>9318.0132559058475</v>
      </c>
      <c r="DN16" s="10">
        <f t="shared" si="261"/>
        <v>459.6236073444793</v>
      </c>
      <c r="DO16" s="10">
        <f t="shared" si="262"/>
        <v>239.40657894361203</v>
      </c>
      <c r="DP16" s="10">
        <f t="shared" si="263"/>
        <v>2944.9876426354576</v>
      </c>
      <c r="DQ16" s="10">
        <f t="shared" si="264"/>
        <v>1645.8849291233378</v>
      </c>
      <c r="DR16" s="14">
        <f t="shared" si="265"/>
        <v>0.3160531716102567</v>
      </c>
      <c r="DS16" s="14">
        <f t="shared" si="266"/>
        <v>0.17663474862306724</v>
      </c>
      <c r="DT16" s="10">
        <f t="shared" si="267"/>
        <v>2096.3617690230026</v>
      </c>
      <c r="DV16" s="212" t="s">
        <v>406</v>
      </c>
      <c r="DW16" s="7">
        <f>IF(DW10&lt;0,ABS(DW10)/DW15,0)</f>
        <v>304.10622801735144</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758.87145628131702</v>
      </c>
      <c r="BL17" s="16">
        <f t="shared" ref="BL17:CE17" si="268">BL15+BL16</f>
        <v>743.40494160502931</v>
      </c>
      <c r="BM17" s="16">
        <f t="shared" si="268"/>
        <v>758.98968785543411</v>
      </c>
      <c r="BN17" s="16">
        <f t="shared" si="268"/>
        <v>773.66240941469118</v>
      </c>
      <c r="BO17" s="16">
        <f t="shared" si="268"/>
        <v>779.57441049802992</v>
      </c>
      <c r="BP17" s="16">
        <f t="shared" si="268"/>
        <v>844.42836566479127</v>
      </c>
      <c r="BQ17" s="16">
        <f t="shared" si="268"/>
        <v>991.71118442140778</v>
      </c>
      <c r="BR17" s="16">
        <f t="shared" si="268"/>
        <v>1110.0424784990735</v>
      </c>
      <c r="BS17" s="16">
        <f t="shared" si="268"/>
        <v>958.86859577172277</v>
      </c>
      <c r="BT17" s="16">
        <f t="shared" si="268"/>
        <v>925.27674119132166</v>
      </c>
      <c r="BU17" s="16">
        <f t="shared" si="268"/>
        <v>1012.7583861405608</v>
      </c>
      <c r="BV17" s="16">
        <f t="shared" si="268"/>
        <v>1063.9391164733549</v>
      </c>
      <c r="BW17" s="16">
        <f t="shared" si="268"/>
        <v>1146.618784168081</v>
      </c>
      <c r="BX17" s="16">
        <f t="shared" si="268"/>
        <v>1201.7521457193654</v>
      </c>
      <c r="BY17" s="16">
        <f t="shared" si="268"/>
        <v>1240.7962609136898</v>
      </c>
      <c r="BZ17" s="16">
        <f t="shared" si="268"/>
        <v>930.44953902776456</v>
      </c>
      <c r="CA17" s="16">
        <f t="shared" si="268"/>
        <v>791.85073951609115</v>
      </c>
      <c r="CB17" s="16">
        <f t="shared" si="268"/>
        <v>582.0340371582555</v>
      </c>
      <c r="CC17" s="16">
        <f t="shared" si="268"/>
        <v>281.50533600319739</v>
      </c>
      <c r="CD17" s="16">
        <f t="shared" si="268"/>
        <v>79.503124421129243</v>
      </c>
      <c r="CE17" s="16">
        <f t="shared" si="268"/>
        <v>13.706897286292378</v>
      </c>
      <c r="CF17" s="11">
        <f t="shared" si="252"/>
        <v>16989.744638030596</v>
      </c>
      <c r="CG17" s="11">
        <f t="shared" si="253"/>
        <v>901.4367776762781</v>
      </c>
      <c r="CH17" s="11">
        <f t="shared" si="254"/>
        <v>458.32835702511193</v>
      </c>
      <c r="CI17" s="11">
        <f t="shared" si="255"/>
        <v>5121.5980800457855</v>
      </c>
      <c r="CJ17" s="11">
        <f t="shared" si="256"/>
        <v>2679.0496734127305</v>
      </c>
      <c r="CK17" s="15">
        <f t="shared" si="257"/>
        <v>0.30145232839941422</v>
      </c>
      <c r="CL17" s="15">
        <f t="shared" si="258"/>
        <v>0.15768628254811007</v>
      </c>
      <c r="CM17" s="11">
        <f t="shared" si="259"/>
        <v>3725.7564390833022</v>
      </c>
      <c r="CO17" s="7" t="str">
        <f t="shared" si="26"/>
        <v>2045_3</v>
      </c>
      <c r="CP17" s="30">
        <f>CP16</f>
        <v>2045</v>
      </c>
      <c r="CQ17" s="5" t="s">
        <v>23</v>
      </c>
      <c r="CR17" s="16">
        <f>CR15+CR16</f>
        <v>764.65470370438061</v>
      </c>
      <c r="CS17" s="16">
        <f>CS15+CS16</f>
        <v>748.04092911470116</v>
      </c>
      <c r="CT17" s="16">
        <f t="shared" ref="CT17:DL17" si="269">CT15+CT16</f>
        <v>765.15092702121001</v>
      </c>
      <c r="CU17" s="16">
        <f t="shared" si="269"/>
        <v>779.0707173771234</v>
      </c>
      <c r="CV17" s="16">
        <f t="shared" si="269"/>
        <v>783.68522468384356</v>
      </c>
      <c r="CW17" s="16">
        <f t="shared" si="269"/>
        <v>850.6601052548026</v>
      </c>
      <c r="CX17" s="16">
        <f t="shared" si="269"/>
        <v>997.74188678546034</v>
      </c>
      <c r="CY17" s="16">
        <f t="shared" si="269"/>
        <v>1113.8654947547498</v>
      </c>
      <c r="CZ17" s="16">
        <f t="shared" si="269"/>
        <v>963.67424079415548</v>
      </c>
      <c r="DA17" s="16">
        <f t="shared" si="269"/>
        <v>930.12776828274036</v>
      </c>
      <c r="DB17" s="16">
        <f t="shared" si="269"/>
        <v>1013.7603798890907</v>
      </c>
      <c r="DC17" s="16">
        <f t="shared" si="269"/>
        <v>1064.9125513133863</v>
      </c>
      <c r="DD17" s="16">
        <f t="shared" si="269"/>
        <v>1147.6040515676468</v>
      </c>
      <c r="DE17" s="16">
        <f t="shared" si="269"/>
        <v>1201.7521457193654</v>
      </c>
      <c r="DF17" s="16">
        <f t="shared" si="269"/>
        <v>1240.7962609136898</v>
      </c>
      <c r="DG17" s="16">
        <f t="shared" si="269"/>
        <v>930.44953902776456</v>
      </c>
      <c r="DH17" s="16">
        <f t="shared" si="269"/>
        <v>791.85073951609115</v>
      </c>
      <c r="DI17" s="16">
        <f t="shared" si="269"/>
        <v>582.0340371582555</v>
      </c>
      <c r="DJ17" s="16">
        <f t="shared" si="269"/>
        <v>281.50533600319739</v>
      </c>
      <c r="DK17" s="16">
        <f t="shared" si="269"/>
        <v>79.503124421129243</v>
      </c>
      <c r="DL17" s="16">
        <f t="shared" si="269"/>
        <v>13.706897286292378</v>
      </c>
      <c r="DM17" s="11">
        <f t="shared" si="260"/>
        <v>17044.54706058907</v>
      </c>
      <c r="DN17" s="11">
        <f t="shared" si="261"/>
        <v>907.9151136815467</v>
      </c>
      <c r="DO17" s="11">
        <f t="shared" si="262"/>
        <v>461.87451428390864</v>
      </c>
      <c r="DP17" s="11">
        <f t="shared" si="263"/>
        <v>5121.5980800457855</v>
      </c>
      <c r="DQ17" s="11">
        <f t="shared" si="264"/>
        <v>2679.0496734127305</v>
      </c>
      <c r="DR17" s="15">
        <f t="shared" si="265"/>
        <v>0.3004830848153251</v>
      </c>
      <c r="DS17" s="15">
        <f t="shared" si="266"/>
        <v>0.15717928225897609</v>
      </c>
      <c r="DT17" s="11">
        <f t="shared" si="267"/>
        <v>3745.9527114788561</v>
      </c>
      <c r="DV17" s="62" t="s">
        <v>407</v>
      </c>
      <c r="DW17" s="7">
        <f>IF(DW9&gt;=0,0,IF(AND(DW10&lt;=0,DW9&lt;=0,DW16*2&gt;=ABS(DW9)),ROUND(DW16/3,0),ROUND(ABS(DW9)/6,0)))</f>
        <v>101</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350.99282716355316</v>
      </c>
      <c r="BL18" s="9">
        <f>IF(管理者入力シート!$B$14=1,BK15*管理者用人口入力シート!AM$3,IF(管理者入力シート!$B$14=2,BK15*管理者用人口入力シート!AM$7))</f>
        <v>352.18316799691115</v>
      </c>
      <c r="BM18" s="9">
        <f>IF(管理者入力シート!$B$14=1,BL15*管理者用人口入力シート!AN$3,IF(管理者入力シート!$B$14=2,BL15*管理者用人口入力シート!AN$7))</f>
        <v>361.13590018927204</v>
      </c>
      <c r="BN18" s="9">
        <f>IF(管理者入力シート!$B$14=1,BM15*管理者用人口入力シート!AO$3,IF(管理者入力シート!$B$14=2,BM15*管理者用人口入力シート!AO$7))</f>
        <v>368.9336850965563</v>
      </c>
      <c r="BO18" s="9">
        <f>IF(管理者入力シート!$B$14=1,BN15*管理者用人口入力シート!AP$3,IF(管理者入力シート!$B$14=2,BN15*管理者用人口入力シート!AP$7))</f>
        <v>352.61587892151681</v>
      </c>
      <c r="BP18" s="9">
        <f>IF(管理者入力シート!$B$14=1,BO15*管理者用人口入力シート!AQ$3,IF(管理者入力シート!$B$14=2,BO15*管理者用人口入力シート!AQ$7))</f>
        <v>348.87438595498412</v>
      </c>
      <c r="BQ18" s="9">
        <f>IF(管理者入力シート!$B$14=1,BP15*管理者用人口入力シート!AR$3,IF(管理者入力シート!$B$14=2,BP15*管理者用人口入力シート!AR$7))</f>
        <v>362.72422717699271</v>
      </c>
      <c r="BR18" s="9">
        <f>IF(管理者入力シート!$B$14=1,BQ15*管理者用人口入力シート!AS$3,IF(管理者入力シート!$B$14=2,BQ15*管理者用人口入力シート!AS$7))</f>
        <v>405.79529015334646</v>
      </c>
      <c r="BS18" s="9">
        <f>IF(管理者入力シート!$B$14=1,BR15*管理者用人口入力シート!AT$3,IF(管理者入力シート!$B$14=2,BR15*管理者用人口入力シート!AT$7))</f>
        <v>511.7835078362873</v>
      </c>
      <c r="BT18" s="9">
        <f>IF(管理者入力シート!$B$14=1,BS15*管理者用人口入力シート!AU$3,IF(管理者入力シート!$B$14=2,BS15*管理者用人口入力シート!AU$7))</f>
        <v>442.18025608047168</v>
      </c>
      <c r="BU18" s="9">
        <f>IF(管理者入力シート!$B$14=1,BT15*管理者用人口入力シート!AV$3,IF(管理者入力シート!$B$14=2,BT15*管理者用人口入力シート!AV$7))</f>
        <v>392.84686565856225</v>
      </c>
      <c r="BV18" s="9">
        <f>IF(管理者入力シート!$B$14=1,BU15*管理者用人口入力シート!AW$3,IF(管理者入力シート!$B$14=2,BU15*管理者用人口入力シート!AW$7))</f>
        <v>484.37156890868806</v>
      </c>
      <c r="BW18" s="9">
        <f>IF(管理者入力シート!$B$14=1,BV15*管理者用人口入力シート!AX$3,IF(管理者入力シート!$B$14=2,BV15*管理者用人口入力シート!AX$7))</f>
        <v>498.54779625851523</v>
      </c>
      <c r="BX18" s="9">
        <f>IF(管理者入力シート!$B$14=1,BW15*管理者用人口入力シート!AY$3,IF(管理者入力シート!$B$14=2,BW15*管理者用人口入力シート!AY$7))</f>
        <v>539.76854847333573</v>
      </c>
      <c r="BY18" s="9">
        <f>IF(管理者入力シート!$B$14=1,BX15*管理者用人口入力シート!AZ$3,IF(管理者入力シート!$B$14=2,BX15*管理者用人口入力シート!AZ$7))</f>
        <v>509.70040464892332</v>
      </c>
      <c r="BZ18" s="9">
        <f>IF(管理者入力シート!$B$14=1,BY15*管理者用人口入力シート!BA$3,IF(管理者入力シート!$B$14=2,BY15*管理者用人口入力シート!BA$7))</f>
        <v>497.26837436870397</v>
      </c>
      <c r="CA18" s="9">
        <f>IF(管理者入力シート!$B$14=1,BZ15*管理者用人口入力シート!BB$3,IF(管理者入力シート!$B$14=2,BZ15*管理者用人口入力シート!BB$7))</f>
        <v>307.24869320004103</v>
      </c>
      <c r="CB18" s="9">
        <f>IF(管理者入力シート!$B$14=1,CA15*管理者用人口入力シート!BC$3,IF(管理者入力シート!$B$14=2,CA15*管理者用人口入力シート!BC$7))</f>
        <v>196.10501767934866</v>
      </c>
      <c r="CC18" s="9">
        <f>IF(管理者入力シート!$B$14=1,CB15*管理者用人口入力シート!BD$3,IF(管理者入力シート!$B$14=2,CB15*管理者用人口入力シート!BD$7))</f>
        <v>93.110161928327855</v>
      </c>
      <c r="CD18" s="9">
        <f>IF(管理者入力シート!$B$14=1,CC15*管理者用人口入力シート!BE$3,IF(管理者入力シート!$B$14=2,CC15*管理者用人口入力シート!BE$7))</f>
        <v>9.5199031310111391</v>
      </c>
      <c r="CE18" s="9">
        <f>IF(管理者入力シート!$B$14=1,CD15*管理者用人口入力シート!BF$3,IF(管理者入力シート!$B$14=2,CD15*管理者用人口入力シート!BF$7))</f>
        <v>0.14560638817790292</v>
      </c>
      <c r="CF18" s="9">
        <f t="shared" si="252"/>
        <v>7385.8520672135282</v>
      </c>
      <c r="CG18" s="9">
        <f t="shared" si="253"/>
        <v>427.9914409117099</v>
      </c>
      <c r="CH18" s="9">
        <f t="shared" si="254"/>
        <v>218.24109709502008</v>
      </c>
      <c r="CI18" s="9">
        <f t="shared" si="255"/>
        <v>2152.8667098178694</v>
      </c>
      <c r="CJ18" s="9">
        <f t="shared" si="256"/>
        <v>1103.3977566956105</v>
      </c>
      <c r="CK18" s="13">
        <f t="shared" si="257"/>
        <v>0.29148521933909849</v>
      </c>
      <c r="CL18" s="13">
        <f t="shared" si="258"/>
        <v>0.1493934276850323</v>
      </c>
      <c r="CM18" s="9">
        <f t="shared" si="259"/>
        <v>1470.0097822068403</v>
      </c>
      <c r="CO18" s="7" t="str">
        <f t="shared" si="26"/>
        <v>2050_1</v>
      </c>
      <c r="CP18" s="28">
        <f>管理者入力シート!B13</f>
        <v>2050</v>
      </c>
      <c r="CQ18" s="3" t="s">
        <v>21</v>
      </c>
      <c r="CR18" s="9">
        <f>DT19*$AK$13+将来予測シート②!$G17</f>
        <v>354.45653046804176</v>
      </c>
      <c r="CS18" s="9">
        <f>IF(管理者入力シート!$B$14=1,CR15*管理者用人口入力シート!AM$3,IF(管理者入力シート!$B$14=2,CR15*管理者用人口入力シート!AM$7))+将来予測シート②!$G18</f>
        <v>354.86500815457413</v>
      </c>
      <c r="CT18" s="9">
        <f>IF(管理者入力シート!$B$14=1,CS15*管理者用人口入力シート!AN$3,IF(管理者入力シート!$B$14=2,CS15*管理者用人口入力シート!AN$7))+将来予測シート②!$G19</f>
        <v>364.38592800161484</v>
      </c>
      <c r="CU18" s="9">
        <f>IF(管理者入力シート!$B$14=1,CT15*管理者用人口入力シート!AO$3,IF(管理者入力シート!$B$14=2,CT15*管理者用人口入力シート!AO$7))+将来予測シート②!$G20</f>
        <v>371.9438260322579</v>
      </c>
      <c r="CV18" s="9">
        <f>IF(管理者入力シート!$B$14=1,CU15*管理者用人口入力シート!AP$3,IF(管理者入力シート!$B$14=2,CU15*管理者用人口入力シート!AP$7))+将来予測シート②!$G21</f>
        <v>355.09671297757245</v>
      </c>
      <c r="CW18" s="9">
        <f>IF(管理者入力シート!$B$14=1,CV15*管理者用人口入力シート!AQ$3,IF(管理者入力シート!$B$14=2,CV15*管理者用人口入力シート!AQ$7))+将来予測シート②!$G22</f>
        <v>352.73033704564227</v>
      </c>
      <c r="CX18" s="9">
        <f>IF(管理者入力シート!$B$14=1,CW15*管理者用人口入力シート!AR$3,IF(管理者入力シート!$B$14=2,CW15*管理者用人口入力シート!AR$7))+将来予測シート②!$G23</f>
        <v>365.71114936787944</v>
      </c>
      <c r="CY18" s="9">
        <f>IF(管理者入力シート!$B$14=1,CX15*管理者用人口入力シート!AS$3,IF(管理者入力シート!$B$14=2,CX15*管理者用人口入力シート!AS$7))+将来予測シート②!$G24</f>
        <v>408.73713851925282</v>
      </c>
      <c r="CZ18" s="9">
        <f>IF(管理者入力シート!$B$14=1,CY15*管理者用人口入力シート!AT$3,IF(管理者入力シート!$B$14=2,CY15*管理者用人口入力シート!AT$7))+将来予測シート②!$G25</f>
        <v>513.74053261024665</v>
      </c>
      <c r="DA18" s="9">
        <f>IF(管理者入力シート!$B$14=1,CZ15*管理者用人口入力シート!AU$3,IF(管理者入力シート!$B$14=2,CZ15*管理者用人口入力シート!AU$7))+将来予測シート②!$G26</f>
        <v>444.15326678692333</v>
      </c>
      <c r="DB18" s="9">
        <f>IF(管理者入力シート!$B$14=1,DA15*管理者用人口入力シート!AV$3,IF(管理者入力シート!$B$14=2,DA15*管理者用人口入力シート!AV$7))+将来予測シート②!$G27</f>
        <v>394.77105764302024</v>
      </c>
      <c r="DC18" s="9">
        <f>IF(管理者入力シート!$B$14=1,DB15*管理者用人口入力シート!AW$3,IF(管理者入力シート!$B$14=2,DB15*管理者用人口入力シート!AW$7))+将来予測シート②!$G28</f>
        <v>484.37156890868806</v>
      </c>
      <c r="DD18" s="9">
        <f>IF(管理者入力シート!$B$14=1,DC15*管理者用人口入力シート!AX$3,IF(管理者入力シート!$B$14=2,DC15*管理者用人口入力シート!AX$7))+将来予測シート②!$G29</f>
        <v>498.54779625851523</v>
      </c>
      <c r="DE18" s="9">
        <f>IF(管理者入力シート!$B$14=1,DD15*管理者用人口入力シート!AY$3,IF(管理者入力シート!$B$14=2,DD15*管理者用人口入力シート!AY$7))</f>
        <v>539.76854847333573</v>
      </c>
      <c r="DF18" s="9">
        <f>IF(管理者入力シート!$B$14=1,DE15*管理者用人口入力シート!AZ$3,IF(管理者入力シート!$B$14=2,DE15*管理者用人口入力シート!AZ$7))</f>
        <v>509.70040464892332</v>
      </c>
      <c r="DG18" s="9">
        <f>IF(管理者入力シート!$B$14=1,DF15*管理者用人口入力シート!BA$3,IF(管理者入力シート!$B$14=2,DF15*管理者用人口入力シート!BA$7))</f>
        <v>497.26837436870397</v>
      </c>
      <c r="DH18" s="9">
        <f>IF(管理者入力シート!$B$14=1,DG15*管理者用人口入力シート!BB$3,IF(管理者入力シート!$B$14=2,DG15*管理者用人口入力シート!BB$7))</f>
        <v>307.24869320004103</v>
      </c>
      <c r="DI18" s="9">
        <f>IF(管理者入力シート!$B$14=1,DH15*管理者用人口入力シート!BC$3,IF(管理者入力シート!$B$14=2,DH15*管理者用人口入力シート!BC$7))</f>
        <v>196.10501767934866</v>
      </c>
      <c r="DJ18" s="9">
        <f>IF(管理者入力シート!$B$14=1,DI15*管理者用人口入力シート!BD$3,IF(管理者入力シート!$B$14=2,DI15*管理者用人口入力シート!BD$7))</f>
        <v>93.110161928327855</v>
      </c>
      <c r="DK18" s="9">
        <f>IF(管理者入力シート!$B$14=1,DJ15*管理者用人口入力シート!BE$3,IF(管理者入力シート!$B$14=2,DJ15*管理者用人口入力シート!BE$7))</f>
        <v>9.5199031310111391</v>
      </c>
      <c r="DL18" s="9">
        <f>IF(管理者入力シート!$B$14=1,DK15*管理者用人口入力シート!BF$3,IF(管理者入力シート!$B$14=2,DK15*管理者用人口入力シート!BF$7))</f>
        <v>0.14560638817790292</v>
      </c>
      <c r="DM18" s="9">
        <f t="shared" si="260"/>
        <v>7416.3775625920998</v>
      </c>
      <c r="DN18" s="9">
        <f t="shared" si="261"/>
        <v>431.55056169371335</v>
      </c>
      <c r="DO18" s="9">
        <f t="shared" si="262"/>
        <v>220.14313640709753</v>
      </c>
      <c r="DP18" s="9">
        <f t="shared" si="263"/>
        <v>2152.8667098178694</v>
      </c>
      <c r="DQ18" s="9">
        <f t="shared" si="264"/>
        <v>1103.3977566956105</v>
      </c>
      <c r="DR18" s="13">
        <f t="shared" si="265"/>
        <v>0.2902854785437084</v>
      </c>
      <c r="DS18" s="13">
        <f t="shared" si="266"/>
        <v>0.14877853067528585</v>
      </c>
      <c r="DT18" s="9">
        <f t="shared" si="267"/>
        <v>1482.2753379103469</v>
      </c>
      <c r="DX18" s="287">
        <f>DX1</f>
        <v>101</v>
      </c>
      <c r="DY18" s="288"/>
      <c r="DZ18" s="284" t="s">
        <v>0</v>
      </c>
      <c r="EA18" s="284" t="s">
        <v>1</v>
      </c>
      <c r="EB18" s="284" t="s">
        <v>2</v>
      </c>
      <c r="EC18" s="284" t="s">
        <v>3</v>
      </c>
      <c r="ED18" s="284" t="s">
        <v>4</v>
      </c>
      <c r="EE18" s="284" t="s">
        <v>5</v>
      </c>
      <c r="EF18" s="284" t="s">
        <v>6</v>
      </c>
      <c r="EG18" s="284" t="s">
        <v>7</v>
      </c>
      <c r="EH18" s="284" t="s">
        <v>8</v>
      </c>
      <c r="EI18" s="284" t="s">
        <v>9</v>
      </c>
      <c r="EJ18" s="284" t="s">
        <v>10</v>
      </c>
      <c r="EK18" s="284" t="s">
        <v>11</v>
      </c>
      <c r="EL18" s="284" t="s">
        <v>12</v>
      </c>
      <c r="EM18" s="284" t="s">
        <v>13</v>
      </c>
      <c r="EN18" s="284" t="s">
        <v>14</v>
      </c>
      <c r="EO18" s="284" t="s">
        <v>15</v>
      </c>
      <c r="EP18" s="284" t="s">
        <v>16</v>
      </c>
      <c r="EQ18" s="284" t="s">
        <v>17</v>
      </c>
      <c r="ER18" s="284" t="s">
        <v>18</v>
      </c>
      <c r="ES18" s="284" t="s">
        <v>19</v>
      </c>
      <c r="ET18" s="284" t="s">
        <v>20</v>
      </c>
      <c r="EU18" s="284" t="s">
        <v>23</v>
      </c>
      <c r="EV18" s="283" t="s">
        <v>50</v>
      </c>
      <c r="EW18" s="283" t="s">
        <v>51</v>
      </c>
      <c r="EX18" s="285" t="s">
        <v>79</v>
      </c>
      <c r="EY18" s="285" t="s">
        <v>80</v>
      </c>
      <c r="EZ18" s="283" t="s">
        <v>48</v>
      </c>
      <c r="FA18" s="283" t="s">
        <v>49</v>
      </c>
      <c r="FB18" s="283"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349.40774991611562</v>
      </c>
      <c r="BL19" s="10">
        <f>IF(管理者入力シート!$B$14=1,BK16*管理者用人口入力シート!AM$4,IF(管理者入力シート!$B$14=2,BK16*管理者用人口入力シート!AM$8))</f>
        <v>357.41719765253117</v>
      </c>
      <c r="BM19" s="10">
        <f>IF(管理者入力シート!$B$14=1,BL16*管理者用人口入力シート!AN$4,IF(管理者入力シート!$B$14=2,BL16*管理者用人口入力シート!AN$8))</f>
        <v>374.00639017406456</v>
      </c>
      <c r="BN19" s="10">
        <f>IF(管理者入力シート!$B$14=1,BM16*管理者用人口入力シート!AO$4,IF(管理者入力シート!$B$14=2,BM16*管理者用人口入力シート!AO$8))</f>
        <v>428.27961259850844</v>
      </c>
      <c r="BO19" s="10">
        <f>IF(管理者入力シート!$B$14=1,BN16*管理者用人口入力シート!AP$4,IF(管理者入力シート!$B$14=2,BN16*管理者用人口入力シート!AP$8))</f>
        <v>434.50957606977914</v>
      </c>
      <c r="BP19" s="10">
        <f>IF(管理者入力シート!$B$14=1,BO16*管理者用人口入力シート!AQ$4,IF(管理者入力シート!$B$14=2,BO16*管理者用人口入力シート!AQ$8))</f>
        <v>466.97289872472072</v>
      </c>
      <c r="BQ19" s="10">
        <f>IF(管理者入力シート!$B$14=1,BP16*管理者用人口入力シート!AR$4,IF(管理者入力シート!$B$14=2,BP16*管理者用人口入力シート!AR$8))</f>
        <v>451.52115338223513</v>
      </c>
      <c r="BR19" s="10">
        <f>IF(管理者入力シート!$B$14=1,BQ16*管理者用人口入力シート!AS$4,IF(管理者入力シート!$B$14=2,BQ16*管理者用人口入力シート!AS$8))</f>
        <v>572.23591425268455</v>
      </c>
      <c r="BS19" s="10">
        <f>IF(管理者入力シート!$B$14=1,BR16*管理者用人口入力シート!AT$4,IF(管理者入力シート!$B$14=2,BR16*管理者用人口入力シート!AT$8))</f>
        <v>593.97354861556664</v>
      </c>
      <c r="BT19" s="10">
        <f>IF(管理者入力シート!$B$14=1,BS16*管理者用人口入力シート!AU$4,IF(管理者入力シート!$B$14=2,BS16*管理者用人口入力シート!AU$8))</f>
        <v>525.63991875693341</v>
      </c>
      <c r="BU19" s="10">
        <f>IF(管理者入力シート!$B$14=1,BT16*管理者用人口入力シート!AV$4,IF(管理者入力シート!$B$14=2,BT16*管理者用人口入力シート!AV$8))</f>
        <v>518.15751771606631</v>
      </c>
      <c r="BV19" s="10">
        <f>IF(管理者入力シート!$B$14=1,BU16*管理者用人口入力シート!AW$4,IF(管理者入力シート!$B$14=2,BU16*管理者用人口入力シート!AW$8))</f>
        <v>499.41019010247805</v>
      </c>
      <c r="BW19" s="10">
        <f>IF(管理者入力シート!$B$14=1,BV16*管理者用人口入力シート!AX$4,IF(管理者入力シート!$B$14=2,BV16*管理者用人口入力シート!AX$8))</f>
        <v>564.74548929717946</v>
      </c>
      <c r="BX19" s="10">
        <f>IF(管理者入力シート!$B$14=1,BW16*管理者用人口入力シート!AY$4,IF(管理者入力シート!$B$14=2,BW16*管理者用人口入力シート!AY$8))</f>
        <v>581.72320021611552</v>
      </c>
      <c r="BY19" s="10">
        <f>IF(管理者入力シート!$B$14=1,BX16*管理者用人口入力シート!AZ$4,IF(管理者入力シート!$B$14=2,BX16*管理者用人口入力シート!AZ$8))</f>
        <v>595.49831508486784</v>
      </c>
      <c r="BZ19" s="10">
        <f>IF(管理者入力シート!$B$14=1,BY16*管理者用人口入力シート!BA$4,IF(管理者入力シート!$B$14=2,BY16*管理者用人口入力シート!BA$8))</f>
        <v>626.6868345006867</v>
      </c>
      <c r="CA19" s="10">
        <f>IF(管理者入力シート!$B$14=1,BZ16*管理者用人口入力シート!BB$4,IF(管理者入力シート!$B$14=2,BZ16*管理者用人口入力シート!BB$8))</f>
        <v>473.97150370002799</v>
      </c>
      <c r="CB19" s="10">
        <f>IF(管理者入力シート!$B$14=1,CA16*管理者用人口入力シート!BC$4,IF(管理者入力シート!$B$14=2,CA16*管理者用人口入力シート!BC$8))</f>
        <v>356.78183730379368</v>
      </c>
      <c r="CC19" s="10">
        <f>IF(管理者入力シート!$B$14=1,CB16*管理者用人口入力シート!BD$4,IF(管理者入力シート!$B$14=2,CB16*管理者用人口入力シート!BD$8))</f>
        <v>192.18980270282128</v>
      </c>
      <c r="CD19" s="10">
        <f>IF(管理者入力シート!$B$14=1,CC16*管理者用人口入力シート!BE$4,IF(管理者入力シート!$B$14=2,CC16*管理者用人口入力シート!BE$8))</f>
        <v>65.622655455691046</v>
      </c>
      <c r="CE19" s="10">
        <f>IF(管理者入力シート!$B$14=1,CD16*管理者用人口入力シート!BF$4,IF(管理者入力シート!$B$14=2,CD16*管理者用人口入力シート!BF$8))</f>
        <v>16.385563813503119</v>
      </c>
      <c r="CF19" s="10">
        <f t="shared" si="252"/>
        <v>9045.136870036371</v>
      </c>
      <c r="CG19" s="10">
        <f t="shared" si="253"/>
        <v>438.8541526959574</v>
      </c>
      <c r="CH19" s="10">
        <f t="shared" si="254"/>
        <v>235.25847858932752</v>
      </c>
      <c r="CI19" s="10">
        <f t="shared" si="255"/>
        <v>2908.8597127775074</v>
      </c>
      <c r="CJ19" s="10">
        <f t="shared" si="256"/>
        <v>1731.6381974765238</v>
      </c>
      <c r="CK19" s="14">
        <f t="shared" si="257"/>
        <v>0.32159377514934284</v>
      </c>
      <c r="CL19" s="14">
        <f t="shared" si="258"/>
        <v>0.19144411216295512</v>
      </c>
      <c r="CM19" s="10">
        <f t="shared" si="259"/>
        <v>1925.2395424294195</v>
      </c>
      <c r="CO19" s="7" t="str">
        <f t="shared" si="26"/>
        <v>2050_2</v>
      </c>
      <c r="CP19" s="29">
        <f>CP18</f>
        <v>2050</v>
      </c>
      <c r="CQ19" s="4" t="s">
        <v>22</v>
      </c>
      <c r="CR19" s="10">
        <f>DT19*$AK$14+将来予測シート②!$H17</f>
        <v>352.86032718112369</v>
      </c>
      <c r="CS19" s="10">
        <f>IF(管理者入力シート!$B$14=1,CR16*管理者用人口入力シート!AM$4,IF(管理者入力シート!$B$14=2,CR16*管理者用人口入力シート!AM$8))+将来予測シート②!$H18</f>
        <v>360.14315800064372</v>
      </c>
      <c r="CT19" s="10">
        <f>IF(管理者入力シート!$B$14=1,CS16*管理者用人口入力シート!AN$4,IF(管理者入力シート!$B$14=2,CS16*管理者用人口入力シート!AN$8))+将来予測シート②!$H19</f>
        <v>377.34086511121791</v>
      </c>
      <c r="CU19" s="10">
        <f>IF(管理者入力シート!$B$14=1,CT16*管理者用人口入力シート!AO$4,IF(管理者入力シート!$B$14=2,CT16*管理者用人口入力シート!AO$8))+将来予測シート②!$H20</f>
        <v>431.7391537490912</v>
      </c>
      <c r="CV19" s="10">
        <f>IF(管理者入力シート!$B$14=1,CU16*管理者用人口入力シート!AP$4,IF(管理者入力シート!$B$14=2,CU16*管理者用人口入力シート!AP$8))+将来予測シート②!$H21</f>
        <v>437.53018823306047</v>
      </c>
      <c r="CW19" s="10">
        <f>IF(管理者入力シート!$B$14=1,CV16*管理者用人口入力シート!AQ$4,IF(管理者入力シート!$B$14=2,CV16*管理者用人口入力シート!AQ$8))+将来予測シート②!$H22</f>
        <v>471.41762992935395</v>
      </c>
      <c r="CX19" s="10">
        <f>IF(管理者入力シート!$B$14=1,CW16*管理者用人口入力シート!AR$4,IF(管理者入力シート!$B$14=2,CW16*管理者用人口入力シート!AR$8))+将来予測シート②!$H23</f>
        <v>454.5649335554009</v>
      </c>
      <c r="CY19" s="10">
        <f>IF(管理者入力シート!$B$14=1,CX16*管理者用人口入力シート!AS$4,IF(管理者入力シート!$B$14=2,CX16*管理者用人口入力シート!AS$8))+将来予測シート②!$H24</f>
        <v>575.24051137919275</v>
      </c>
      <c r="CZ19" s="10">
        <f>IF(管理者入力シート!$B$14=1,CY16*管理者用人口入力シート!AT$4,IF(管理者入力シート!$B$14=2,CY16*管理者用人口入力シート!AT$8))+将来予測シート②!$H25</f>
        <v>596.82216886404012</v>
      </c>
      <c r="DA19" s="10">
        <f>IF(管理者入力シート!$B$14=1,CZ16*管理者用人口入力シート!AU$4,IF(管理者入力シート!$B$14=2,CZ16*管理者用人口入力シート!AU$8))+将来予測シート②!$H26</f>
        <v>528.51793514190035</v>
      </c>
      <c r="DB19" s="10">
        <f>IF(管理者入力シート!$B$14=1,DA16*管理者用人口入力シート!AV$4,IF(管理者入力シート!$B$14=2,DA16*管理者用人口入力シート!AV$8))+将来予測シート②!$H27</f>
        <v>521.01181739697267</v>
      </c>
      <c r="DC19" s="10">
        <f>IF(管理者入力シート!$B$14=1,DB16*管理者用人口入力シート!AW$4,IF(管理者入力シート!$B$14=2,DB16*管理者用人口入力シート!AW$8))+将来予測シート②!$H28</f>
        <v>500.3836249425093</v>
      </c>
      <c r="DD19" s="10">
        <f>IF(管理者入力シート!$B$14=1,DC16*管理者用人口入力シート!AX$4,IF(管理者入力シート!$B$14=2,DC16*管理者用人口入力シート!AX$8))+将来予測シート②!$H29</f>
        <v>565.73075669674529</v>
      </c>
      <c r="DE19" s="10">
        <f>IF(管理者入力シート!$B$14=1,DD16*管理者用人口入力シート!AY$4,IF(管理者入力シート!$B$14=2,DD16*管理者用人口入力シート!AY$8))</f>
        <v>582.69928356197011</v>
      </c>
      <c r="DF19" s="10">
        <f>IF(管理者入力シート!$B$14=1,DE16*管理者用人口入力シート!AZ$4,IF(管理者入力シート!$B$14=2,DE16*管理者用人口入力シート!AZ$8))</f>
        <v>595.49831508486784</v>
      </c>
      <c r="DG19" s="10">
        <f>IF(管理者入力シート!$B$14=1,DF16*管理者用人口入力シート!BA$4,IF(管理者入力シート!$B$14=2,DF16*管理者用人口入力シート!BA$8))</f>
        <v>626.6868345006867</v>
      </c>
      <c r="DH19" s="10">
        <f>IF(管理者入力シート!$B$14=1,DG16*管理者用人口入力シート!BB$4,IF(管理者入力シート!$B$14=2,DG16*管理者用人口入力シート!BB$8))</f>
        <v>473.97150370002799</v>
      </c>
      <c r="DI19" s="10">
        <f>IF(管理者入力シート!$B$14=1,DH16*管理者用人口入力シート!BC$4,IF(管理者入力シート!$B$14=2,DH16*管理者用人口入力シート!BC$8))</f>
        <v>356.78183730379368</v>
      </c>
      <c r="DJ19" s="10">
        <f>IF(管理者入力シート!$B$14=1,DI16*管理者用人口入力シート!BD$4,IF(管理者入力シート!$B$14=2,DI16*管理者用人口入力シート!BD$8))</f>
        <v>192.18980270282128</v>
      </c>
      <c r="DK19" s="10">
        <f>IF(管理者入力シート!$B$14=1,DJ16*管理者用人口入力シート!BE$4,IF(管理者入力シート!$B$14=2,DJ16*管理者用人口入力シート!BE$8))</f>
        <v>65.622655455691046</v>
      </c>
      <c r="DL19" s="10">
        <f>IF(管理者入力シート!$B$14=1,DK16*管理者用人口入力シート!BF$4,IF(管理者入力シート!$B$14=2,DK16*管理者用人口入力シート!BF$8))</f>
        <v>16.385563813503119</v>
      </c>
      <c r="DM19" s="10">
        <f t="shared" si="260"/>
        <v>9083.1388663046146</v>
      </c>
      <c r="DN19" s="10">
        <f t="shared" si="261"/>
        <v>442.49041386711701</v>
      </c>
      <c r="DO19" s="10">
        <f t="shared" si="262"/>
        <v>237.28417679430538</v>
      </c>
      <c r="DP19" s="10">
        <f t="shared" si="263"/>
        <v>2909.8357961233619</v>
      </c>
      <c r="DQ19" s="10">
        <f t="shared" si="264"/>
        <v>1731.6381974765238</v>
      </c>
      <c r="DR19" s="14">
        <f t="shared" si="265"/>
        <v>0.32035575355099682</v>
      </c>
      <c r="DS19" s="14">
        <f t="shared" si="266"/>
        <v>0.19064314913210434</v>
      </c>
      <c r="DT19" s="10">
        <f t="shared" si="267"/>
        <v>1938.7532630970081</v>
      </c>
      <c r="DX19" s="289"/>
      <c r="DY19" s="290"/>
      <c r="DZ19" s="284"/>
      <c r="EA19" s="284"/>
      <c r="EB19" s="284"/>
      <c r="EC19" s="284"/>
      <c r="ED19" s="284"/>
      <c r="EE19" s="284"/>
      <c r="EF19" s="284"/>
      <c r="EG19" s="284"/>
      <c r="EH19" s="284"/>
      <c r="EI19" s="284"/>
      <c r="EJ19" s="284"/>
      <c r="EK19" s="284"/>
      <c r="EL19" s="284"/>
      <c r="EM19" s="284"/>
      <c r="EN19" s="284"/>
      <c r="EO19" s="284"/>
      <c r="EP19" s="284"/>
      <c r="EQ19" s="284"/>
      <c r="ER19" s="284"/>
      <c r="ES19" s="284"/>
      <c r="ET19" s="284"/>
      <c r="EU19" s="284"/>
      <c r="EV19" s="283"/>
      <c r="EW19" s="283"/>
      <c r="EX19" s="286"/>
      <c r="EY19" s="286"/>
      <c r="EZ19" s="283"/>
      <c r="FA19" s="283"/>
      <c r="FB19" s="283"/>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700.40057707966878</v>
      </c>
      <c r="BL20" s="16">
        <f t="shared" ref="BL20:CE20" si="276">BL18+BL19</f>
        <v>709.60036564944232</v>
      </c>
      <c r="BM20" s="16">
        <f t="shared" si="276"/>
        <v>735.14229036333654</v>
      </c>
      <c r="BN20" s="16">
        <f t="shared" si="276"/>
        <v>797.21329769506474</v>
      </c>
      <c r="BO20" s="16">
        <f t="shared" si="276"/>
        <v>787.12545499129601</v>
      </c>
      <c r="BP20" s="16">
        <f t="shared" si="276"/>
        <v>815.8472846797049</v>
      </c>
      <c r="BQ20" s="16">
        <f t="shared" si="276"/>
        <v>814.2453805592279</v>
      </c>
      <c r="BR20" s="16">
        <f t="shared" si="276"/>
        <v>978.03120440603107</v>
      </c>
      <c r="BS20" s="16">
        <f t="shared" si="276"/>
        <v>1105.7570564518539</v>
      </c>
      <c r="BT20" s="16">
        <f t="shared" si="276"/>
        <v>967.82017483740515</v>
      </c>
      <c r="BU20" s="16">
        <f t="shared" si="276"/>
        <v>911.00438337462856</v>
      </c>
      <c r="BV20" s="16">
        <f t="shared" si="276"/>
        <v>983.78175901116606</v>
      </c>
      <c r="BW20" s="16">
        <f t="shared" si="276"/>
        <v>1063.2932855556946</v>
      </c>
      <c r="BX20" s="16">
        <f t="shared" si="276"/>
        <v>1121.4917486894512</v>
      </c>
      <c r="BY20" s="16">
        <f t="shared" si="276"/>
        <v>1105.1987197337912</v>
      </c>
      <c r="BZ20" s="16">
        <f t="shared" si="276"/>
        <v>1123.9552088693906</v>
      </c>
      <c r="CA20" s="16">
        <f t="shared" si="276"/>
        <v>781.22019690006903</v>
      </c>
      <c r="CB20" s="16">
        <f t="shared" si="276"/>
        <v>552.88685498314237</v>
      </c>
      <c r="CC20" s="16">
        <f t="shared" si="276"/>
        <v>285.29996463114912</v>
      </c>
      <c r="CD20" s="16">
        <f t="shared" si="276"/>
        <v>75.142558586702179</v>
      </c>
      <c r="CE20" s="16">
        <f t="shared" si="276"/>
        <v>16.531170201681022</v>
      </c>
      <c r="CF20" s="11">
        <f t="shared" si="252"/>
        <v>16430.988937249895</v>
      </c>
      <c r="CG20" s="11">
        <f t="shared" si="253"/>
        <v>866.8455936076673</v>
      </c>
      <c r="CH20" s="11">
        <f t="shared" si="254"/>
        <v>453.49957568434758</v>
      </c>
      <c r="CI20" s="11">
        <f t="shared" si="255"/>
        <v>5061.7264225953759</v>
      </c>
      <c r="CJ20" s="11">
        <f t="shared" si="256"/>
        <v>2835.0359541721346</v>
      </c>
      <c r="CK20" s="15">
        <f t="shared" si="257"/>
        <v>0.30805975476741893</v>
      </c>
      <c r="CL20" s="15">
        <f t="shared" si="258"/>
        <v>0.17254201588225543</v>
      </c>
      <c r="CM20" s="11">
        <f t="shared" si="259"/>
        <v>3395.2493246362601</v>
      </c>
      <c r="CO20" s="7" t="str">
        <f t="shared" si="26"/>
        <v>2050_3</v>
      </c>
      <c r="CP20" s="30">
        <f>CP19</f>
        <v>2050</v>
      </c>
      <c r="CQ20" s="5" t="s">
        <v>23</v>
      </c>
      <c r="CR20" s="16">
        <f>CR18+CR19</f>
        <v>707.31685764916551</v>
      </c>
      <c r="CS20" s="16">
        <f t="shared" ref="CS20:DL20" si="277">CS18+CS19</f>
        <v>715.00816615521785</v>
      </c>
      <c r="CT20" s="16">
        <f t="shared" si="277"/>
        <v>741.72679311283275</v>
      </c>
      <c r="CU20" s="16">
        <f t="shared" si="277"/>
        <v>803.6829797813491</v>
      </c>
      <c r="CV20" s="16">
        <f t="shared" si="277"/>
        <v>792.62690121063292</v>
      </c>
      <c r="CW20" s="16">
        <f t="shared" si="277"/>
        <v>824.14796697499628</v>
      </c>
      <c r="CX20" s="16">
        <f t="shared" si="277"/>
        <v>820.27608292328034</v>
      </c>
      <c r="CY20" s="16">
        <f t="shared" si="277"/>
        <v>983.97764989844563</v>
      </c>
      <c r="CZ20" s="16">
        <f t="shared" si="277"/>
        <v>1110.5627014742868</v>
      </c>
      <c r="DA20" s="16">
        <f t="shared" si="277"/>
        <v>972.67120192882362</v>
      </c>
      <c r="DB20" s="16">
        <f t="shared" si="277"/>
        <v>915.78287503999286</v>
      </c>
      <c r="DC20" s="16">
        <f t="shared" si="277"/>
        <v>984.75519385119742</v>
      </c>
      <c r="DD20" s="16">
        <f t="shared" si="277"/>
        <v>1064.2785529552605</v>
      </c>
      <c r="DE20" s="16">
        <f t="shared" si="277"/>
        <v>1122.4678320353059</v>
      </c>
      <c r="DF20" s="16">
        <f t="shared" si="277"/>
        <v>1105.1987197337912</v>
      </c>
      <c r="DG20" s="16">
        <f t="shared" si="277"/>
        <v>1123.9552088693906</v>
      </c>
      <c r="DH20" s="16">
        <f t="shared" si="277"/>
        <v>781.22019690006903</v>
      </c>
      <c r="DI20" s="16">
        <f t="shared" si="277"/>
        <v>552.88685498314237</v>
      </c>
      <c r="DJ20" s="16">
        <f t="shared" si="277"/>
        <v>285.29996463114912</v>
      </c>
      <c r="DK20" s="16">
        <f t="shared" si="277"/>
        <v>75.142558586702179</v>
      </c>
      <c r="DL20" s="16">
        <f t="shared" si="277"/>
        <v>16.531170201681022</v>
      </c>
      <c r="DM20" s="11">
        <f t="shared" si="260"/>
        <v>16499.516428896717</v>
      </c>
      <c r="DN20" s="11">
        <f t="shared" si="261"/>
        <v>874.04097556083047</v>
      </c>
      <c r="DO20" s="11">
        <f t="shared" si="262"/>
        <v>457.42731320140291</v>
      </c>
      <c r="DP20" s="11">
        <f t="shared" si="263"/>
        <v>5062.7025059412308</v>
      </c>
      <c r="DQ20" s="11">
        <f t="shared" si="264"/>
        <v>2835.0359541721346</v>
      </c>
      <c r="DR20" s="15">
        <f t="shared" si="265"/>
        <v>0.30683944755341908</v>
      </c>
      <c r="DS20" s="15">
        <f t="shared" si="266"/>
        <v>0.17182539660416621</v>
      </c>
      <c r="DT20" s="11">
        <f t="shared" si="267"/>
        <v>3421.0286010073551</v>
      </c>
      <c r="DX20" s="28">
        <f>DX3</f>
        <v>2025</v>
      </c>
      <c r="DY20" s="3" t="s">
        <v>21</v>
      </c>
      <c r="DZ20" s="9">
        <f t="shared" ref="DZ20:ET20" si="278">ROUND(DZ3,0)</f>
        <v>395</v>
      </c>
      <c r="EA20" s="9">
        <f t="shared" si="278"/>
        <v>379</v>
      </c>
      <c r="EB20" s="9">
        <f t="shared" si="278"/>
        <v>421</v>
      </c>
      <c r="EC20" s="9">
        <f t="shared" si="278"/>
        <v>532</v>
      </c>
      <c r="ED20" s="9">
        <f t="shared" si="278"/>
        <v>449</v>
      </c>
      <c r="EE20" s="9">
        <f t="shared" si="278"/>
        <v>509</v>
      </c>
      <c r="EF20" s="9">
        <f t="shared" si="278"/>
        <v>622</v>
      </c>
      <c r="EG20" s="9">
        <f t="shared" si="278"/>
        <v>637</v>
      </c>
      <c r="EH20" s="9">
        <f t="shared" si="278"/>
        <v>595</v>
      </c>
      <c r="EI20" s="9">
        <f t="shared" si="278"/>
        <v>623</v>
      </c>
      <c r="EJ20" s="9">
        <f t="shared" si="278"/>
        <v>694</v>
      </c>
      <c r="EK20" s="9">
        <f t="shared" si="278"/>
        <v>537</v>
      </c>
      <c r="EL20" s="9">
        <f t="shared" si="278"/>
        <v>553</v>
      </c>
      <c r="EM20" s="9">
        <f t="shared" si="278"/>
        <v>593</v>
      </c>
      <c r="EN20" s="9">
        <f t="shared" si="278"/>
        <v>507</v>
      </c>
      <c r="EO20" s="9">
        <f t="shared" si="278"/>
        <v>468</v>
      </c>
      <c r="EP20" s="9">
        <f t="shared" si="278"/>
        <v>261</v>
      </c>
      <c r="EQ20" s="9">
        <f t="shared" si="278"/>
        <v>169</v>
      </c>
      <c r="ER20" s="9">
        <f t="shared" si="278"/>
        <v>66</v>
      </c>
      <c r="ES20" s="9">
        <f t="shared" si="278"/>
        <v>9</v>
      </c>
      <c r="ET20" s="9">
        <f t="shared" si="278"/>
        <v>0</v>
      </c>
      <c r="EU20" s="9">
        <f t="shared" ref="EU20:EU21" si="279">SUM(DZ20:ET20)</f>
        <v>9019</v>
      </c>
      <c r="EV20" s="9">
        <f>EA20*3/5+EB20*3/5</f>
        <v>480</v>
      </c>
      <c r="EW20" s="9">
        <f>EB20*2/5+EC20*1/5</f>
        <v>274.8</v>
      </c>
      <c r="EX20" s="9">
        <f t="shared" ref="EX20:EX31" si="280">SUM(EM20:ET20)</f>
        <v>2073</v>
      </c>
      <c r="EY20" s="9">
        <f>SUM(EO20:ET20)</f>
        <v>973</v>
      </c>
      <c r="EZ20" s="13">
        <f>EX20/EU20</f>
        <v>0.22984809845880919</v>
      </c>
      <c r="FA20" s="13">
        <f>EY20/EU20</f>
        <v>0.10788335735669143</v>
      </c>
      <c r="FB20" s="9">
        <f>SUM(ED20:EG20)</f>
        <v>2217</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394</v>
      </c>
      <c r="EA21" s="10">
        <f t="shared" si="281"/>
        <v>385</v>
      </c>
      <c r="EB21" s="10">
        <f t="shared" si="281"/>
        <v>493</v>
      </c>
      <c r="EC21" s="10">
        <f t="shared" si="281"/>
        <v>566</v>
      </c>
      <c r="ED21" s="10">
        <f t="shared" si="281"/>
        <v>519</v>
      </c>
      <c r="EE21" s="10">
        <f t="shared" si="281"/>
        <v>660</v>
      </c>
      <c r="EF21" s="10">
        <f t="shared" si="281"/>
        <v>620</v>
      </c>
      <c r="EG21" s="10">
        <f t="shared" si="281"/>
        <v>673</v>
      </c>
      <c r="EH21" s="10">
        <f t="shared" si="281"/>
        <v>596</v>
      </c>
      <c r="EI21" s="10">
        <f t="shared" si="281"/>
        <v>663</v>
      </c>
      <c r="EJ21" s="10">
        <f t="shared" si="281"/>
        <v>727</v>
      </c>
      <c r="EK21" s="10">
        <f t="shared" si="281"/>
        <v>602</v>
      </c>
      <c r="EL21" s="10">
        <f t="shared" si="281"/>
        <v>606</v>
      </c>
      <c r="EM21" s="10">
        <f t="shared" si="281"/>
        <v>612</v>
      </c>
      <c r="EN21" s="10">
        <f t="shared" si="281"/>
        <v>574</v>
      </c>
      <c r="EO21" s="10">
        <f t="shared" si="281"/>
        <v>576</v>
      </c>
      <c r="EP21" s="10">
        <f t="shared" si="281"/>
        <v>424</v>
      </c>
      <c r="EQ21" s="10">
        <f t="shared" si="281"/>
        <v>285</v>
      </c>
      <c r="ER21" s="10">
        <f t="shared" si="281"/>
        <v>181</v>
      </c>
      <c r="ES21" s="10">
        <f t="shared" si="281"/>
        <v>60</v>
      </c>
      <c r="ET21" s="10">
        <f t="shared" si="281"/>
        <v>10</v>
      </c>
      <c r="EU21" s="10">
        <f t="shared" si="279"/>
        <v>10226</v>
      </c>
      <c r="EV21" s="10">
        <f t="shared" ref="EV21:EV31" si="282">EA21*3/5+EB21*3/5</f>
        <v>526.79999999999995</v>
      </c>
      <c r="EW21" s="10">
        <f t="shared" ref="EW21:EW31" si="283">EB21*2/5+EC21*1/5</f>
        <v>310.39999999999998</v>
      </c>
      <c r="EX21" s="10">
        <f t="shared" si="280"/>
        <v>2722</v>
      </c>
      <c r="EY21" s="10">
        <f t="shared" ref="EY21:EY31" si="284">SUM(EO21:ET21)</f>
        <v>1536</v>
      </c>
      <c r="EZ21" s="14">
        <f t="shared" ref="EZ21:EZ31" si="285">EX21/EU21</f>
        <v>0.26618423626051241</v>
      </c>
      <c r="FA21" s="14">
        <f t="shared" ref="FA21:FA31" si="286">EY21/EU21</f>
        <v>0.15020535888910619</v>
      </c>
      <c r="FB21" s="10">
        <f>SUM(ED21:EG21)</f>
        <v>2472</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789</v>
      </c>
      <c r="EA22" s="16">
        <f t="shared" ref="EA22:ET22" si="287">EA20+EA21</f>
        <v>764</v>
      </c>
      <c r="EB22" s="16">
        <f t="shared" si="287"/>
        <v>914</v>
      </c>
      <c r="EC22" s="16">
        <f t="shared" si="287"/>
        <v>1098</v>
      </c>
      <c r="ED22" s="16">
        <f t="shared" si="287"/>
        <v>968</v>
      </c>
      <c r="EE22" s="16">
        <f t="shared" si="287"/>
        <v>1169</v>
      </c>
      <c r="EF22" s="16">
        <f t="shared" si="287"/>
        <v>1242</v>
      </c>
      <c r="EG22" s="16">
        <f t="shared" si="287"/>
        <v>1310</v>
      </c>
      <c r="EH22" s="16">
        <f t="shared" si="287"/>
        <v>1191</v>
      </c>
      <c r="EI22" s="16">
        <f t="shared" si="287"/>
        <v>1286</v>
      </c>
      <c r="EJ22" s="16">
        <f t="shared" si="287"/>
        <v>1421</v>
      </c>
      <c r="EK22" s="16">
        <f t="shared" si="287"/>
        <v>1139</v>
      </c>
      <c r="EL22" s="16">
        <f t="shared" si="287"/>
        <v>1159</v>
      </c>
      <c r="EM22" s="16">
        <f t="shared" si="287"/>
        <v>1205</v>
      </c>
      <c r="EN22" s="16">
        <f t="shared" si="287"/>
        <v>1081</v>
      </c>
      <c r="EO22" s="16">
        <f t="shared" si="287"/>
        <v>1044</v>
      </c>
      <c r="EP22" s="16">
        <f t="shared" si="287"/>
        <v>685</v>
      </c>
      <c r="EQ22" s="16">
        <f t="shared" si="287"/>
        <v>454</v>
      </c>
      <c r="ER22" s="16">
        <f t="shared" si="287"/>
        <v>247</v>
      </c>
      <c r="ES22" s="16">
        <f t="shared" si="287"/>
        <v>69</v>
      </c>
      <c r="ET22" s="16">
        <f t="shared" si="287"/>
        <v>10</v>
      </c>
      <c r="EU22" s="11">
        <f>SUM(DZ22:ET22)</f>
        <v>19245</v>
      </c>
      <c r="EV22" s="11">
        <f t="shared" si="282"/>
        <v>1006.8</v>
      </c>
      <c r="EW22" s="11">
        <f t="shared" si="283"/>
        <v>585.20000000000005</v>
      </c>
      <c r="EX22" s="11">
        <f t="shared" si="280"/>
        <v>4795</v>
      </c>
      <c r="EY22" s="11">
        <f t="shared" si="284"/>
        <v>2509</v>
      </c>
      <c r="EZ22" s="15">
        <f t="shared" si="285"/>
        <v>0.24915562483762016</v>
      </c>
      <c r="FA22" s="15">
        <f t="shared" si="286"/>
        <v>0.13037152507144714</v>
      </c>
      <c r="FB22" s="11">
        <f>SUM(ED22:EG22)</f>
        <v>4689</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490</v>
      </c>
      <c r="EA23" s="9">
        <f t="shared" si="288"/>
        <v>366</v>
      </c>
      <c r="EB23" s="9">
        <f t="shared" si="288"/>
        <v>371</v>
      </c>
      <c r="EC23" s="9">
        <f t="shared" si="288"/>
        <v>417</v>
      </c>
      <c r="ED23" s="9">
        <f t="shared" si="288"/>
        <v>524</v>
      </c>
      <c r="EE23" s="9">
        <f t="shared" si="288"/>
        <v>549</v>
      </c>
      <c r="EF23" s="9">
        <f t="shared" si="288"/>
        <v>613</v>
      </c>
      <c r="EG23" s="9">
        <f t="shared" si="288"/>
        <v>713</v>
      </c>
      <c r="EH23" s="9">
        <f t="shared" si="288"/>
        <v>630</v>
      </c>
      <c r="EI23" s="9">
        <f t="shared" si="288"/>
        <v>599</v>
      </c>
      <c r="EJ23" s="9">
        <f t="shared" si="288"/>
        <v>608</v>
      </c>
      <c r="EK23" s="9">
        <f t="shared" si="288"/>
        <v>674</v>
      </c>
      <c r="EL23" s="9">
        <f t="shared" si="288"/>
        <v>529</v>
      </c>
      <c r="EM23" s="9">
        <f t="shared" si="288"/>
        <v>534</v>
      </c>
      <c r="EN23" s="9">
        <f t="shared" si="288"/>
        <v>538</v>
      </c>
      <c r="EO23" s="9">
        <f t="shared" si="288"/>
        <v>433</v>
      </c>
      <c r="EP23" s="9">
        <f t="shared" si="288"/>
        <v>363</v>
      </c>
      <c r="EQ23" s="9">
        <f t="shared" si="288"/>
        <v>159</v>
      </c>
      <c r="ER23" s="9">
        <f t="shared" si="288"/>
        <v>72</v>
      </c>
      <c r="ES23" s="9">
        <f t="shared" si="288"/>
        <v>7</v>
      </c>
      <c r="ET23" s="9">
        <f t="shared" si="288"/>
        <v>0</v>
      </c>
      <c r="EU23" s="9">
        <f t="shared" ref="EU23:EU31" si="289">SUM(DZ23:ET23)</f>
        <v>9189</v>
      </c>
      <c r="EV23" s="9">
        <f t="shared" si="282"/>
        <v>442.2</v>
      </c>
      <c r="EW23" s="9">
        <f t="shared" si="283"/>
        <v>231.8</v>
      </c>
      <c r="EX23" s="9">
        <f t="shared" si="280"/>
        <v>2106</v>
      </c>
      <c r="EY23" s="9">
        <f t="shared" si="284"/>
        <v>1034</v>
      </c>
      <c r="EZ23" s="13">
        <f t="shared" si="285"/>
        <v>0.22918707149853085</v>
      </c>
      <c r="FA23" s="13">
        <f t="shared" si="286"/>
        <v>0.1125258461203613</v>
      </c>
      <c r="FB23" s="9">
        <f t="shared" ref="FB23:FB31" si="290">SUM(ED23:EG23)</f>
        <v>2399</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488</v>
      </c>
      <c r="EA24" s="10">
        <f t="shared" si="291"/>
        <v>372</v>
      </c>
      <c r="EB24" s="10">
        <f t="shared" si="291"/>
        <v>384</v>
      </c>
      <c r="EC24" s="10">
        <f t="shared" si="291"/>
        <v>547</v>
      </c>
      <c r="ED24" s="10">
        <f t="shared" si="291"/>
        <v>592</v>
      </c>
      <c r="EE24" s="10">
        <f t="shared" si="291"/>
        <v>664</v>
      </c>
      <c r="EF24" s="10">
        <f t="shared" si="291"/>
        <v>718</v>
      </c>
      <c r="EG24" s="10">
        <f t="shared" si="291"/>
        <v>713</v>
      </c>
      <c r="EH24" s="10">
        <f t="shared" si="291"/>
        <v>674</v>
      </c>
      <c r="EI24" s="10">
        <f t="shared" si="291"/>
        <v>602</v>
      </c>
      <c r="EJ24" s="10">
        <f t="shared" si="291"/>
        <v>657</v>
      </c>
      <c r="EK24" s="10">
        <f t="shared" si="291"/>
        <v>706</v>
      </c>
      <c r="EL24" s="10">
        <f t="shared" si="291"/>
        <v>609</v>
      </c>
      <c r="EM24" s="10">
        <f t="shared" si="291"/>
        <v>600</v>
      </c>
      <c r="EN24" s="10">
        <f t="shared" si="291"/>
        <v>570</v>
      </c>
      <c r="EO24" s="10">
        <f t="shared" si="291"/>
        <v>546</v>
      </c>
      <c r="EP24" s="10">
        <f t="shared" si="291"/>
        <v>511</v>
      </c>
      <c r="EQ24" s="10">
        <f t="shared" si="291"/>
        <v>322</v>
      </c>
      <c r="ER24" s="10">
        <f t="shared" si="291"/>
        <v>150</v>
      </c>
      <c r="ES24" s="10">
        <f t="shared" si="291"/>
        <v>61</v>
      </c>
      <c r="ET24" s="10">
        <f t="shared" si="291"/>
        <v>14</v>
      </c>
      <c r="EU24" s="10">
        <f t="shared" si="289"/>
        <v>10500</v>
      </c>
      <c r="EV24" s="10">
        <f t="shared" si="282"/>
        <v>453.6</v>
      </c>
      <c r="EW24" s="10">
        <f t="shared" si="283"/>
        <v>263</v>
      </c>
      <c r="EX24" s="10">
        <f t="shared" si="280"/>
        <v>2774</v>
      </c>
      <c r="EY24" s="10">
        <f t="shared" si="284"/>
        <v>1604</v>
      </c>
      <c r="EZ24" s="14">
        <f t="shared" si="285"/>
        <v>0.2641904761904762</v>
      </c>
      <c r="FA24" s="14">
        <f t="shared" si="286"/>
        <v>0.15276190476190477</v>
      </c>
      <c r="FB24" s="10">
        <f t="shared" si="290"/>
        <v>2687</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978</v>
      </c>
      <c r="EA25" s="16">
        <f t="shared" ref="EA25:ET25" si="292">EA23+EA24</f>
        <v>738</v>
      </c>
      <c r="EB25" s="16">
        <f t="shared" si="292"/>
        <v>755</v>
      </c>
      <c r="EC25" s="16">
        <f t="shared" si="292"/>
        <v>964</v>
      </c>
      <c r="ED25" s="16">
        <f t="shared" si="292"/>
        <v>1116</v>
      </c>
      <c r="EE25" s="16">
        <f t="shared" si="292"/>
        <v>1213</v>
      </c>
      <c r="EF25" s="16">
        <f t="shared" si="292"/>
        <v>1331</v>
      </c>
      <c r="EG25" s="16">
        <f t="shared" si="292"/>
        <v>1426</v>
      </c>
      <c r="EH25" s="16">
        <f t="shared" si="292"/>
        <v>1304</v>
      </c>
      <c r="EI25" s="16">
        <f t="shared" si="292"/>
        <v>1201</v>
      </c>
      <c r="EJ25" s="16">
        <f t="shared" si="292"/>
        <v>1265</v>
      </c>
      <c r="EK25" s="16">
        <f t="shared" si="292"/>
        <v>1380</v>
      </c>
      <c r="EL25" s="16">
        <f t="shared" si="292"/>
        <v>1138</v>
      </c>
      <c r="EM25" s="16">
        <f t="shared" si="292"/>
        <v>1134</v>
      </c>
      <c r="EN25" s="16">
        <f t="shared" si="292"/>
        <v>1108</v>
      </c>
      <c r="EO25" s="16">
        <f t="shared" si="292"/>
        <v>979</v>
      </c>
      <c r="EP25" s="16">
        <f t="shared" si="292"/>
        <v>874</v>
      </c>
      <c r="EQ25" s="16">
        <f t="shared" si="292"/>
        <v>481</v>
      </c>
      <c r="ER25" s="16">
        <f t="shared" si="292"/>
        <v>222</v>
      </c>
      <c r="ES25" s="16">
        <f t="shared" si="292"/>
        <v>68</v>
      </c>
      <c r="ET25" s="16">
        <f t="shared" si="292"/>
        <v>14</v>
      </c>
      <c r="EU25" s="11">
        <f t="shared" si="289"/>
        <v>19689</v>
      </c>
      <c r="EV25" s="11">
        <f t="shared" si="282"/>
        <v>895.8</v>
      </c>
      <c r="EW25" s="11">
        <f t="shared" si="283"/>
        <v>494.8</v>
      </c>
      <c r="EX25" s="11">
        <f t="shared" si="280"/>
        <v>4880</v>
      </c>
      <c r="EY25" s="11">
        <f t="shared" si="284"/>
        <v>2638</v>
      </c>
      <c r="EZ25" s="15">
        <f t="shared" si="285"/>
        <v>0.24785413174869217</v>
      </c>
      <c r="FA25" s="15">
        <f t="shared" si="286"/>
        <v>0.13398344253136268</v>
      </c>
      <c r="FB25" s="11">
        <f t="shared" si="290"/>
        <v>5086</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519</v>
      </c>
      <c r="EA26" s="9">
        <f t="shared" si="293"/>
        <v>454</v>
      </c>
      <c r="EB26" s="9">
        <f t="shared" si="293"/>
        <v>358</v>
      </c>
      <c r="EC26" s="9">
        <f t="shared" si="293"/>
        <v>367</v>
      </c>
      <c r="ED26" s="9">
        <f t="shared" si="293"/>
        <v>411</v>
      </c>
      <c r="EE26" s="9">
        <f t="shared" si="293"/>
        <v>624</v>
      </c>
      <c r="EF26" s="9">
        <f t="shared" si="293"/>
        <v>653</v>
      </c>
      <c r="EG26" s="9">
        <f t="shared" si="293"/>
        <v>704</v>
      </c>
      <c r="EH26" s="9">
        <f t="shared" si="293"/>
        <v>705</v>
      </c>
      <c r="EI26" s="9">
        <f t="shared" si="293"/>
        <v>635</v>
      </c>
      <c r="EJ26" s="9">
        <f t="shared" si="293"/>
        <v>585</v>
      </c>
      <c r="EK26" s="9">
        <f t="shared" si="293"/>
        <v>591</v>
      </c>
      <c r="EL26" s="9">
        <f t="shared" si="293"/>
        <v>664</v>
      </c>
      <c r="EM26" s="9">
        <f t="shared" si="293"/>
        <v>511</v>
      </c>
      <c r="EN26" s="9">
        <f t="shared" si="293"/>
        <v>485</v>
      </c>
      <c r="EO26" s="9">
        <f t="shared" si="293"/>
        <v>460</v>
      </c>
      <c r="EP26" s="9">
        <f t="shared" si="293"/>
        <v>336</v>
      </c>
      <c r="EQ26" s="9">
        <f t="shared" si="293"/>
        <v>222</v>
      </c>
      <c r="ER26" s="9">
        <f t="shared" si="293"/>
        <v>68</v>
      </c>
      <c r="ES26" s="9">
        <f t="shared" si="293"/>
        <v>8</v>
      </c>
      <c r="ET26" s="9">
        <f t="shared" si="293"/>
        <v>0</v>
      </c>
      <c r="EU26" s="9">
        <f t="shared" si="289"/>
        <v>9360</v>
      </c>
      <c r="EV26" s="9">
        <f t="shared" si="282"/>
        <v>487.2</v>
      </c>
      <c r="EW26" s="9">
        <f t="shared" si="283"/>
        <v>216.6</v>
      </c>
      <c r="EX26" s="9">
        <f t="shared" si="280"/>
        <v>2090</v>
      </c>
      <c r="EY26" s="9">
        <f t="shared" si="284"/>
        <v>1094</v>
      </c>
      <c r="EZ26" s="13">
        <f t="shared" si="285"/>
        <v>0.2232905982905983</v>
      </c>
      <c r="FA26" s="13">
        <f t="shared" si="286"/>
        <v>0.11688034188034188</v>
      </c>
      <c r="FB26" s="9">
        <f t="shared" si="290"/>
        <v>2392</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517</v>
      </c>
      <c r="EA27" s="10">
        <f t="shared" si="294"/>
        <v>460</v>
      </c>
      <c r="EB27" s="10">
        <f t="shared" si="294"/>
        <v>371</v>
      </c>
      <c r="EC27" s="10">
        <f t="shared" si="294"/>
        <v>426</v>
      </c>
      <c r="ED27" s="10">
        <f t="shared" si="294"/>
        <v>572</v>
      </c>
      <c r="EE27" s="10">
        <f t="shared" si="294"/>
        <v>744</v>
      </c>
      <c r="EF27" s="10">
        <f t="shared" si="294"/>
        <v>721</v>
      </c>
      <c r="EG27" s="10">
        <f t="shared" si="294"/>
        <v>810</v>
      </c>
      <c r="EH27" s="10">
        <f t="shared" si="294"/>
        <v>714</v>
      </c>
      <c r="EI27" s="10">
        <f t="shared" si="294"/>
        <v>681</v>
      </c>
      <c r="EJ27" s="10">
        <f t="shared" si="294"/>
        <v>597</v>
      </c>
      <c r="EK27" s="10">
        <f t="shared" si="294"/>
        <v>639</v>
      </c>
      <c r="EL27" s="10">
        <f t="shared" si="294"/>
        <v>715</v>
      </c>
      <c r="EM27" s="10">
        <f t="shared" si="294"/>
        <v>604</v>
      </c>
      <c r="EN27" s="10">
        <f t="shared" si="294"/>
        <v>558</v>
      </c>
      <c r="EO27" s="10">
        <f t="shared" si="294"/>
        <v>542</v>
      </c>
      <c r="EP27" s="10">
        <f t="shared" si="294"/>
        <v>485</v>
      </c>
      <c r="EQ27" s="10">
        <f t="shared" si="294"/>
        <v>387</v>
      </c>
      <c r="ER27" s="10">
        <f t="shared" si="294"/>
        <v>170</v>
      </c>
      <c r="ES27" s="10">
        <f t="shared" si="294"/>
        <v>51</v>
      </c>
      <c r="ET27" s="10">
        <f t="shared" si="294"/>
        <v>15</v>
      </c>
      <c r="EU27" s="10">
        <f t="shared" si="289"/>
        <v>10779</v>
      </c>
      <c r="EV27" s="10">
        <f t="shared" si="282"/>
        <v>498.6</v>
      </c>
      <c r="EW27" s="10">
        <f t="shared" si="283"/>
        <v>233.60000000000002</v>
      </c>
      <c r="EX27" s="10">
        <f t="shared" si="280"/>
        <v>2812</v>
      </c>
      <c r="EY27" s="10">
        <f t="shared" si="284"/>
        <v>1650</v>
      </c>
      <c r="EZ27" s="14">
        <f t="shared" si="285"/>
        <v>0.26087763243343537</v>
      </c>
      <c r="FA27" s="14">
        <f t="shared" si="286"/>
        <v>0.15307542443640412</v>
      </c>
      <c r="FB27" s="10">
        <f t="shared" si="290"/>
        <v>2847</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1036</v>
      </c>
      <c r="EA28" s="16">
        <f t="shared" ref="EA28:ET28" si="295">EA26+EA27</f>
        <v>914</v>
      </c>
      <c r="EB28" s="16">
        <f t="shared" si="295"/>
        <v>729</v>
      </c>
      <c r="EC28" s="16">
        <f t="shared" si="295"/>
        <v>793</v>
      </c>
      <c r="ED28" s="16">
        <f t="shared" si="295"/>
        <v>983</v>
      </c>
      <c r="EE28" s="16">
        <f t="shared" si="295"/>
        <v>1368</v>
      </c>
      <c r="EF28" s="16">
        <f t="shared" si="295"/>
        <v>1374</v>
      </c>
      <c r="EG28" s="16">
        <f t="shared" si="295"/>
        <v>1514</v>
      </c>
      <c r="EH28" s="16">
        <f t="shared" si="295"/>
        <v>1419</v>
      </c>
      <c r="EI28" s="16">
        <f t="shared" si="295"/>
        <v>1316</v>
      </c>
      <c r="EJ28" s="16">
        <f t="shared" si="295"/>
        <v>1182</v>
      </c>
      <c r="EK28" s="16">
        <f t="shared" si="295"/>
        <v>1230</v>
      </c>
      <c r="EL28" s="16">
        <f t="shared" si="295"/>
        <v>1379</v>
      </c>
      <c r="EM28" s="16">
        <f t="shared" si="295"/>
        <v>1115</v>
      </c>
      <c r="EN28" s="16">
        <f t="shared" si="295"/>
        <v>1043</v>
      </c>
      <c r="EO28" s="16">
        <f t="shared" si="295"/>
        <v>1002</v>
      </c>
      <c r="EP28" s="16">
        <f t="shared" si="295"/>
        <v>821</v>
      </c>
      <c r="EQ28" s="16">
        <f t="shared" si="295"/>
        <v>609</v>
      </c>
      <c r="ER28" s="16">
        <f t="shared" si="295"/>
        <v>238</v>
      </c>
      <c r="ES28" s="16">
        <f t="shared" si="295"/>
        <v>59</v>
      </c>
      <c r="ET28" s="16">
        <f t="shared" si="295"/>
        <v>15</v>
      </c>
      <c r="EU28" s="11">
        <f t="shared" si="289"/>
        <v>20139</v>
      </c>
      <c r="EV28" s="11">
        <f t="shared" si="282"/>
        <v>985.8</v>
      </c>
      <c r="EW28" s="11">
        <f t="shared" si="283"/>
        <v>450.20000000000005</v>
      </c>
      <c r="EX28" s="11">
        <f t="shared" si="280"/>
        <v>4902</v>
      </c>
      <c r="EY28" s="11">
        <f t="shared" si="284"/>
        <v>2744</v>
      </c>
      <c r="EZ28" s="15">
        <f t="shared" si="285"/>
        <v>0.24340831223000148</v>
      </c>
      <c r="FA28" s="15">
        <f t="shared" si="286"/>
        <v>0.13625304136253041</v>
      </c>
      <c r="FB28" s="11">
        <f t="shared" si="290"/>
        <v>5239</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506</v>
      </c>
      <c r="EA29" s="9">
        <f t="shared" si="296"/>
        <v>481</v>
      </c>
      <c r="EB29" s="9">
        <f t="shared" si="296"/>
        <v>444</v>
      </c>
      <c r="EC29" s="9">
        <f t="shared" si="296"/>
        <v>355</v>
      </c>
      <c r="ED29" s="9">
        <f t="shared" si="296"/>
        <v>361</v>
      </c>
      <c r="EE29" s="9">
        <f t="shared" si="296"/>
        <v>511</v>
      </c>
      <c r="EF29" s="9">
        <f t="shared" si="296"/>
        <v>728</v>
      </c>
      <c r="EG29" s="9">
        <f t="shared" si="296"/>
        <v>744</v>
      </c>
      <c r="EH29" s="9">
        <f t="shared" si="296"/>
        <v>697</v>
      </c>
      <c r="EI29" s="9">
        <f t="shared" si="296"/>
        <v>711</v>
      </c>
      <c r="EJ29" s="9">
        <f t="shared" si="296"/>
        <v>619</v>
      </c>
      <c r="EK29" s="9">
        <f t="shared" si="296"/>
        <v>568</v>
      </c>
      <c r="EL29" s="9">
        <f t="shared" si="296"/>
        <v>582</v>
      </c>
      <c r="EM29" s="9">
        <f t="shared" si="296"/>
        <v>641</v>
      </c>
      <c r="EN29" s="9">
        <f t="shared" si="296"/>
        <v>464</v>
      </c>
      <c r="EO29" s="9">
        <f t="shared" si="296"/>
        <v>414</v>
      </c>
      <c r="EP29" s="9">
        <f t="shared" si="296"/>
        <v>356</v>
      </c>
      <c r="EQ29" s="9">
        <f t="shared" si="296"/>
        <v>205</v>
      </c>
      <c r="ER29" s="9">
        <f t="shared" si="296"/>
        <v>95</v>
      </c>
      <c r="ES29" s="9">
        <f t="shared" si="296"/>
        <v>7</v>
      </c>
      <c r="ET29" s="9">
        <f t="shared" si="296"/>
        <v>0</v>
      </c>
      <c r="EU29" s="9">
        <f t="shared" si="289"/>
        <v>9489</v>
      </c>
      <c r="EV29" s="9">
        <f t="shared" si="282"/>
        <v>555</v>
      </c>
      <c r="EW29" s="9">
        <f t="shared" si="283"/>
        <v>248.6</v>
      </c>
      <c r="EX29" s="9">
        <f t="shared" si="280"/>
        <v>2182</v>
      </c>
      <c r="EY29" s="9">
        <f t="shared" si="284"/>
        <v>1077</v>
      </c>
      <c r="EZ29" s="13">
        <f t="shared" si="285"/>
        <v>0.22995046896406365</v>
      </c>
      <c r="FA29" s="13">
        <f t="shared" si="286"/>
        <v>0.11349984192222573</v>
      </c>
      <c r="FB29" s="9">
        <f t="shared" si="290"/>
        <v>2344</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504</v>
      </c>
      <c r="EA30" s="10">
        <f t="shared" si="297"/>
        <v>488</v>
      </c>
      <c r="EB30" s="10">
        <f t="shared" si="297"/>
        <v>460</v>
      </c>
      <c r="EC30" s="10">
        <f t="shared" si="297"/>
        <v>412</v>
      </c>
      <c r="ED30" s="10">
        <f t="shared" si="297"/>
        <v>445</v>
      </c>
      <c r="EE30" s="10">
        <f t="shared" si="297"/>
        <v>722</v>
      </c>
      <c r="EF30" s="10">
        <f t="shared" si="297"/>
        <v>796</v>
      </c>
      <c r="EG30" s="10">
        <f t="shared" si="297"/>
        <v>813</v>
      </c>
      <c r="EH30" s="10">
        <f t="shared" si="297"/>
        <v>812</v>
      </c>
      <c r="EI30" s="10">
        <f t="shared" si="297"/>
        <v>722</v>
      </c>
      <c r="EJ30" s="10">
        <f t="shared" si="297"/>
        <v>676</v>
      </c>
      <c r="EK30" s="10">
        <f t="shared" si="297"/>
        <v>580</v>
      </c>
      <c r="EL30" s="10">
        <f t="shared" si="297"/>
        <v>646</v>
      </c>
      <c r="EM30" s="10">
        <f t="shared" si="297"/>
        <v>708</v>
      </c>
      <c r="EN30" s="10">
        <f t="shared" si="297"/>
        <v>562</v>
      </c>
      <c r="EO30" s="10">
        <f t="shared" si="297"/>
        <v>531</v>
      </c>
      <c r="EP30" s="10">
        <f t="shared" si="297"/>
        <v>481</v>
      </c>
      <c r="EQ30" s="10">
        <f t="shared" si="297"/>
        <v>367</v>
      </c>
      <c r="ER30" s="10">
        <f t="shared" si="297"/>
        <v>204</v>
      </c>
      <c r="ES30" s="10">
        <f t="shared" si="297"/>
        <v>57</v>
      </c>
      <c r="ET30" s="10">
        <f t="shared" si="297"/>
        <v>12</v>
      </c>
      <c r="EU30" s="10">
        <f t="shared" si="289"/>
        <v>10998</v>
      </c>
      <c r="EV30" s="10">
        <f t="shared" si="282"/>
        <v>568.79999999999995</v>
      </c>
      <c r="EW30" s="10">
        <f t="shared" si="283"/>
        <v>266.39999999999998</v>
      </c>
      <c r="EX30" s="10">
        <f t="shared" si="280"/>
        <v>2922</v>
      </c>
      <c r="EY30" s="10">
        <f t="shared" si="284"/>
        <v>1652</v>
      </c>
      <c r="EZ30" s="14">
        <f t="shared" si="285"/>
        <v>0.26568466993998907</v>
      </c>
      <c r="FA30" s="14">
        <f t="shared" si="286"/>
        <v>0.15020912893253319</v>
      </c>
      <c r="FB30" s="10">
        <f t="shared" si="290"/>
        <v>2776</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1010</v>
      </c>
      <c r="EA31" s="16">
        <f t="shared" ref="EA31:ET31" si="298">EA29+EA30</f>
        <v>969</v>
      </c>
      <c r="EB31" s="16">
        <f t="shared" si="298"/>
        <v>904</v>
      </c>
      <c r="EC31" s="16">
        <f t="shared" si="298"/>
        <v>767</v>
      </c>
      <c r="ED31" s="16">
        <f t="shared" si="298"/>
        <v>806</v>
      </c>
      <c r="EE31" s="16">
        <f t="shared" si="298"/>
        <v>1233</v>
      </c>
      <c r="EF31" s="16">
        <f t="shared" si="298"/>
        <v>1524</v>
      </c>
      <c r="EG31" s="16">
        <f t="shared" si="298"/>
        <v>1557</v>
      </c>
      <c r="EH31" s="16">
        <f t="shared" si="298"/>
        <v>1509</v>
      </c>
      <c r="EI31" s="16">
        <f t="shared" si="298"/>
        <v>1433</v>
      </c>
      <c r="EJ31" s="16">
        <f t="shared" si="298"/>
        <v>1295</v>
      </c>
      <c r="EK31" s="16">
        <f t="shared" si="298"/>
        <v>1148</v>
      </c>
      <c r="EL31" s="16">
        <f t="shared" si="298"/>
        <v>1228</v>
      </c>
      <c r="EM31" s="16">
        <f t="shared" si="298"/>
        <v>1349</v>
      </c>
      <c r="EN31" s="16">
        <f t="shared" si="298"/>
        <v>1026</v>
      </c>
      <c r="EO31" s="16">
        <f t="shared" si="298"/>
        <v>945</v>
      </c>
      <c r="EP31" s="16">
        <f t="shared" si="298"/>
        <v>837</v>
      </c>
      <c r="EQ31" s="16">
        <f t="shared" si="298"/>
        <v>572</v>
      </c>
      <c r="ER31" s="16">
        <f t="shared" si="298"/>
        <v>299</v>
      </c>
      <c r="ES31" s="16">
        <f t="shared" si="298"/>
        <v>64</v>
      </c>
      <c r="ET31" s="16">
        <f t="shared" si="298"/>
        <v>12</v>
      </c>
      <c r="EU31" s="11">
        <f t="shared" si="289"/>
        <v>20487</v>
      </c>
      <c r="EV31" s="11">
        <f t="shared" si="282"/>
        <v>1123.8</v>
      </c>
      <c r="EW31" s="11">
        <f t="shared" si="283"/>
        <v>515</v>
      </c>
      <c r="EX31" s="11">
        <f t="shared" si="280"/>
        <v>5104</v>
      </c>
      <c r="EY31" s="11">
        <f t="shared" si="284"/>
        <v>2729</v>
      </c>
      <c r="EZ31" s="15">
        <f t="shared" si="285"/>
        <v>0.24913359691511691</v>
      </c>
      <c r="FA31" s="15">
        <f t="shared" si="286"/>
        <v>0.13320642358568849</v>
      </c>
      <c r="FB31" s="11">
        <f t="shared" si="290"/>
        <v>5120</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AD1:AD2"/>
    <mergeCell ref="AE1:AE2"/>
    <mergeCell ref="AB1:AB2"/>
    <mergeCell ref="AC1:AC2"/>
    <mergeCell ref="AY1:AY2"/>
    <mergeCell ref="AZ1:AZ2"/>
    <mergeCell ref="BA1:BA2"/>
    <mergeCell ref="BB1:BB2"/>
    <mergeCell ref="BC1:BC2"/>
    <mergeCell ref="BD1:BD2"/>
    <mergeCell ref="AS1:AS2"/>
    <mergeCell ref="AT1:AT2"/>
    <mergeCell ref="AU1:AU2"/>
    <mergeCell ref="AV1:AV2"/>
    <mergeCell ref="AW1:AW2"/>
    <mergeCell ref="AX1:AX2"/>
    <mergeCell ref="BO1:BO2"/>
    <mergeCell ref="BP1:BP2"/>
    <mergeCell ref="BQ1:BQ2"/>
    <mergeCell ref="BR1:BR2"/>
    <mergeCell ref="BS1:BS2"/>
    <mergeCell ref="BT1:BT2"/>
    <mergeCell ref="BE1:BE2"/>
    <mergeCell ref="BF1:BF2"/>
    <mergeCell ref="BK1:BK2"/>
    <mergeCell ref="BL1:BL2"/>
    <mergeCell ref="BM1:BM2"/>
    <mergeCell ref="BN1:BN2"/>
    <mergeCell ref="CA1:CA2"/>
    <mergeCell ref="CB1:CB2"/>
    <mergeCell ref="CC1:CC2"/>
    <mergeCell ref="CD1:CD2"/>
    <mergeCell ref="CE1:CE2"/>
    <mergeCell ref="CF1:CF2"/>
    <mergeCell ref="BU1:BU2"/>
    <mergeCell ref="BV1:BV2"/>
    <mergeCell ref="BW1:BW2"/>
    <mergeCell ref="BX1:BX2"/>
    <mergeCell ref="BY1:BY2"/>
    <mergeCell ref="BZ1:BZ2"/>
    <mergeCell ref="CM1:CM2"/>
    <mergeCell ref="CR1:CR2"/>
    <mergeCell ref="CS1:CS2"/>
    <mergeCell ref="CT1:CT2"/>
    <mergeCell ref="CU1:CU2"/>
    <mergeCell ref="CV1:CV2"/>
    <mergeCell ref="CG1:CG2"/>
    <mergeCell ref="CH1:CH2"/>
    <mergeCell ref="CI1:CI2"/>
    <mergeCell ref="CJ1:CJ2"/>
    <mergeCell ref="CK1:CK2"/>
    <mergeCell ref="CL1:CL2"/>
    <mergeCell ref="DC1:DC2"/>
    <mergeCell ref="DD1:DD2"/>
    <mergeCell ref="DE1:DE2"/>
    <mergeCell ref="DF1:DF2"/>
    <mergeCell ref="DG1:DG2"/>
    <mergeCell ref="DH1:DH2"/>
    <mergeCell ref="CW1:CW2"/>
    <mergeCell ref="CX1:CX2"/>
    <mergeCell ref="CY1:CY2"/>
    <mergeCell ref="CZ1:CZ2"/>
    <mergeCell ref="DA1:DA2"/>
    <mergeCell ref="DB1:DB2"/>
    <mergeCell ref="DO1:DO2"/>
    <mergeCell ref="DP1:DP2"/>
    <mergeCell ref="DQ1:DQ2"/>
    <mergeCell ref="DR1:DR2"/>
    <mergeCell ref="DS1:DS2"/>
    <mergeCell ref="DT1:DT2"/>
    <mergeCell ref="DI1:DI2"/>
    <mergeCell ref="DJ1:DJ2"/>
    <mergeCell ref="DK1:DK2"/>
    <mergeCell ref="DL1:DL2"/>
    <mergeCell ref="DM1:DM2"/>
    <mergeCell ref="DN1:DN2"/>
    <mergeCell ref="DX18:DY19"/>
    <mergeCell ref="DZ18:DZ19"/>
    <mergeCell ref="EA18:EA19"/>
    <mergeCell ref="EB18:EB19"/>
    <mergeCell ref="EC18:EC19"/>
    <mergeCell ref="ED18:ED19"/>
    <mergeCell ref="EE18:EE19"/>
    <mergeCell ref="EF18:EF19"/>
    <mergeCell ref="EG18:EG19"/>
    <mergeCell ref="EH18:EH19"/>
    <mergeCell ref="EI18:EI19"/>
    <mergeCell ref="EJ18:EJ19"/>
    <mergeCell ref="EK18:EK19"/>
    <mergeCell ref="EL18:EL19"/>
    <mergeCell ref="EM18:EM19"/>
    <mergeCell ref="EN18:EN19"/>
    <mergeCell ref="EO18:EO19"/>
    <mergeCell ref="EP18:EP19"/>
    <mergeCell ref="EZ18:EZ19"/>
    <mergeCell ref="FA18:FA19"/>
    <mergeCell ref="FB18:FB19"/>
    <mergeCell ref="EQ18:EQ19"/>
    <mergeCell ref="ER18:ER19"/>
    <mergeCell ref="ES18:ES19"/>
    <mergeCell ref="ET18:ET19"/>
    <mergeCell ref="EU18:EU19"/>
    <mergeCell ref="EV18:EV19"/>
    <mergeCell ref="EW18:EW19"/>
    <mergeCell ref="EX18:EX19"/>
    <mergeCell ref="EY18:EY19"/>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9111</v>
      </c>
      <c r="D4" s="17">
        <f>SUM(C41:C61)</f>
        <v>9986</v>
      </c>
      <c r="E4" s="17">
        <f>C4+D4</f>
        <v>19097</v>
      </c>
      <c r="F4" s="85"/>
      <c r="G4" s="1" t="s">
        <v>58</v>
      </c>
      <c r="H4" s="1">
        <f>B4</f>
        <v>2010</v>
      </c>
      <c r="I4" s="17">
        <f>C4</f>
        <v>9111</v>
      </c>
      <c r="J4" s="17">
        <f>D4</f>
        <v>9986</v>
      </c>
      <c r="K4" s="17">
        <f>I4+J4</f>
        <v>19097</v>
      </c>
      <c r="N4" s="1" t="s">
        <v>58</v>
      </c>
      <c r="O4" s="1">
        <f>H4</f>
        <v>2010</v>
      </c>
      <c r="P4" s="17">
        <f>I4</f>
        <v>9111</v>
      </c>
      <c r="Q4" s="17">
        <f t="shared" ref="Q4:R4" si="0">J4</f>
        <v>9986</v>
      </c>
      <c r="R4" s="17">
        <f t="shared" si="0"/>
        <v>19097</v>
      </c>
      <c r="S4" s="1"/>
      <c r="T4" s="1"/>
      <c r="U4" s="1"/>
    </row>
    <row r="5" spans="1:21" x14ac:dyDescent="0.15">
      <c r="A5" s="1" t="s">
        <v>61</v>
      </c>
      <c r="B5" s="1">
        <f>管理者入力シート!B6</f>
        <v>2015</v>
      </c>
      <c r="C5" s="17">
        <f>SUM(B65:B85)</f>
        <v>8909</v>
      </c>
      <c r="D5" s="17">
        <f>SUM(C65:C85)</f>
        <v>9931</v>
      </c>
      <c r="E5" s="17">
        <f t="shared" ref="E5" si="1">C5+D5</f>
        <v>18840</v>
      </c>
      <c r="F5" s="85"/>
      <c r="G5" s="1" t="s">
        <v>57</v>
      </c>
      <c r="H5" s="1">
        <f t="shared" ref="H5:H6" si="2">B5</f>
        <v>2015</v>
      </c>
      <c r="I5" s="17">
        <f t="shared" ref="I5" si="3">C5</f>
        <v>8909</v>
      </c>
      <c r="J5" s="17">
        <f>D5</f>
        <v>9931</v>
      </c>
      <c r="K5" s="17">
        <f t="shared" ref="K5:K10" si="4">I5+J5</f>
        <v>18840</v>
      </c>
      <c r="N5" s="1" t="s">
        <v>57</v>
      </c>
      <c r="O5" s="1">
        <f t="shared" ref="O5:O10" si="5">H5</f>
        <v>2015</v>
      </c>
      <c r="P5" s="17">
        <f t="shared" ref="P5:P10" si="6">I5</f>
        <v>8909</v>
      </c>
      <c r="Q5" s="17">
        <f t="shared" ref="Q5:Q10" si="7">J5</f>
        <v>9931</v>
      </c>
      <c r="R5" s="17">
        <f t="shared" ref="R5:R10" si="8">K5</f>
        <v>18840</v>
      </c>
      <c r="S5" s="1"/>
      <c r="T5" s="1"/>
      <c r="U5" s="1"/>
    </row>
    <row r="6" spans="1:21" x14ac:dyDescent="0.15">
      <c r="A6" s="1" t="s">
        <v>62</v>
      </c>
      <c r="B6" s="1">
        <f>管理者入力シート!B5</f>
        <v>2020</v>
      </c>
      <c r="C6" s="17">
        <f>SUM(B89:B109)</f>
        <v>8919</v>
      </c>
      <c r="D6" s="17">
        <f>SUM(C89:C109)</f>
        <v>10027</v>
      </c>
      <c r="E6" s="17">
        <f>C6+D6</f>
        <v>18946</v>
      </c>
      <c r="F6" s="85"/>
      <c r="G6" s="1" t="s">
        <v>62</v>
      </c>
      <c r="H6" s="1">
        <f t="shared" si="2"/>
        <v>2020</v>
      </c>
      <c r="I6" s="17">
        <f>C6</f>
        <v>8919</v>
      </c>
      <c r="J6" s="17">
        <f>D6</f>
        <v>10027</v>
      </c>
      <c r="K6" s="17">
        <f t="shared" si="4"/>
        <v>18946</v>
      </c>
      <c r="N6" s="1" t="s">
        <v>62</v>
      </c>
      <c r="O6" s="1">
        <f t="shared" si="5"/>
        <v>2020</v>
      </c>
      <c r="P6" s="17">
        <f t="shared" si="6"/>
        <v>8919</v>
      </c>
      <c r="Q6" s="17">
        <f t="shared" si="7"/>
        <v>10027</v>
      </c>
      <c r="R6" s="17">
        <f t="shared" si="8"/>
        <v>18946</v>
      </c>
      <c r="S6" s="1"/>
      <c r="T6" s="1"/>
      <c r="U6" s="1"/>
    </row>
    <row r="7" spans="1:21" x14ac:dyDescent="0.15">
      <c r="G7" s="1" t="s">
        <v>106</v>
      </c>
      <c r="H7" s="1">
        <f>管理者入力シート!B8</f>
        <v>2025</v>
      </c>
      <c r="I7" s="17">
        <f>SUM(H69:H89)</f>
        <v>8716</v>
      </c>
      <c r="J7" s="17">
        <f>SUM(I69:I89)</f>
        <v>9923</v>
      </c>
      <c r="K7" s="17">
        <f t="shared" si="4"/>
        <v>18639</v>
      </c>
      <c r="N7" s="1" t="s">
        <v>106</v>
      </c>
      <c r="O7" s="1">
        <f t="shared" si="5"/>
        <v>2025</v>
      </c>
      <c r="P7" s="17">
        <f t="shared" si="6"/>
        <v>8716</v>
      </c>
      <c r="Q7" s="17">
        <f t="shared" si="7"/>
        <v>9923</v>
      </c>
      <c r="R7" s="17">
        <f t="shared" si="8"/>
        <v>18639</v>
      </c>
      <c r="S7" s="236">
        <f>SUM(O69:O89)</f>
        <v>8720</v>
      </c>
      <c r="T7" s="236">
        <f>SUM(P69:P89)</f>
        <v>9928</v>
      </c>
      <c r="U7" s="236">
        <f>S7+T7</f>
        <v>18648</v>
      </c>
    </row>
    <row r="8" spans="1:21" x14ac:dyDescent="0.15">
      <c r="A8" s="69" t="s">
        <v>71</v>
      </c>
      <c r="G8" s="1" t="s">
        <v>107</v>
      </c>
      <c r="H8" s="1">
        <f>管理者入力シート!B9</f>
        <v>2030</v>
      </c>
      <c r="I8" s="17">
        <f>SUM(H93:H113)</f>
        <v>8494</v>
      </c>
      <c r="J8" s="17">
        <f>SUM(I93:I113)</f>
        <v>9811</v>
      </c>
      <c r="K8" s="17">
        <f t="shared" si="4"/>
        <v>18305</v>
      </c>
      <c r="N8" s="1" t="s">
        <v>107</v>
      </c>
      <c r="O8" s="1">
        <f t="shared" si="5"/>
        <v>2030</v>
      </c>
      <c r="P8" s="17">
        <f t="shared" si="6"/>
        <v>8494</v>
      </c>
      <c r="Q8" s="17">
        <f t="shared" si="7"/>
        <v>9811</v>
      </c>
      <c r="R8" s="17">
        <f t="shared" si="8"/>
        <v>18305</v>
      </c>
      <c r="S8" s="236">
        <f>SUM(O93:O113)</f>
        <v>8503</v>
      </c>
      <c r="T8" s="236">
        <f>SUM(P93:P113)</f>
        <v>9822</v>
      </c>
      <c r="U8" s="236">
        <f t="shared" ref="U8:U10" si="9">S8+T8</f>
        <v>18325</v>
      </c>
    </row>
    <row r="9" spans="1:21" x14ac:dyDescent="0.15">
      <c r="A9" s="2" t="s">
        <v>72</v>
      </c>
      <c r="G9" s="1" t="s">
        <v>108</v>
      </c>
      <c r="H9" s="1">
        <f>管理者入力シート!B10</f>
        <v>2035</v>
      </c>
      <c r="I9" s="17">
        <f>SUM(H117:H137)</f>
        <v>8265</v>
      </c>
      <c r="J9" s="17">
        <f>SUM(I117:I137)</f>
        <v>9693</v>
      </c>
      <c r="K9" s="17">
        <f t="shared" si="4"/>
        <v>17958</v>
      </c>
      <c r="N9" s="1" t="s">
        <v>108</v>
      </c>
      <c r="O9" s="1">
        <f t="shared" si="5"/>
        <v>2035</v>
      </c>
      <c r="P9" s="17">
        <f t="shared" si="6"/>
        <v>8265</v>
      </c>
      <c r="Q9" s="17">
        <f t="shared" si="7"/>
        <v>9693</v>
      </c>
      <c r="R9" s="17">
        <f t="shared" si="8"/>
        <v>17958</v>
      </c>
      <c r="S9" s="236">
        <f>SUM(O117:O137)</f>
        <v>8279</v>
      </c>
      <c r="T9" s="236">
        <f>SUM(P117:P137)</f>
        <v>9711</v>
      </c>
      <c r="U9" s="236">
        <f t="shared" si="9"/>
        <v>17990</v>
      </c>
    </row>
    <row r="10" spans="1:21" x14ac:dyDescent="0.15">
      <c r="A10" s="1" t="s">
        <v>58</v>
      </c>
      <c r="B10" s="1">
        <f>B4</f>
        <v>2010</v>
      </c>
      <c r="C10" s="17">
        <f>ROUND(VLOOKUP(B10&amp;"_3",管理者用人口入力シート!A:AA,26,FALSE),0)</f>
        <v>1117</v>
      </c>
      <c r="D10" s="12"/>
      <c r="E10" s="12"/>
      <c r="G10" s="1" t="s">
        <v>109</v>
      </c>
      <c r="H10" s="1">
        <f>管理者入力シート!B11</f>
        <v>2040</v>
      </c>
      <c r="I10" s="17">
        <f>SUM(H141:H161)</f>
        <v>7999</v>
      </c>
      <c r="J10" s="17">
        <f>SUM(I141:I161)</f>
        <v>9513</v>
      </c>
      <c r="K10" s="17">
        <f t="shared" si="4"/>
        <v>17512</v>
      </c>
      <c r="N10" s="1" t="s">
        <v>109</v>
      </c>
      <c r="O10" s="1">
        <f t="shared" si="5"/>
        <v>2040</v>
      </c>
      <c r="P10" s="17">
        <f t="shared" si="6"/>
        <v>7999</v>
      </c>
      <c r="Q10" s="17">
        <f t="shared" si="7"/>
        <v>9513</v>
      </c>
      <c r="R10" s="17">
        <f t="shared" si="8"/>
        <v>17512</v>
      </c>
      <c r="S10" s="236">
        <f>SUM(O141:O161)</f>
        <v>8017</v>
      </c>
      <c r="T10" s="236">
        <f>SUM(P141:P161)</f>
        <v>9536</v>
      </c>
      <c r="U10" s="236">
        <f t="shared" si="9"/>
        <v>17553</v>
      </c>
    </row>
    <row r="11" spans="1:21" x14ac:dyDescent="0.15">
      <c r="A11" s="1" t="s">
        <v>61</v>
      </c>
      <c r="B11" s="1">
        <f t="shared" ref="B11:B12" si="10">B5</f>
        <v>2015</v>
      </c>
      <c r="C11" s="17">
        <f>ROUND(VLOOKUP(B11&amp;"_3",管理者用人口入力シート!A:AA,26,FALSE),0)</f>
        <v>1159</v>
      </c>
      <c r="D11" s="12"/>
      <c r="E11" s="12"/>
      <c r="I11" s="12"/>
      <c r="J11" s="12"/>
      <c r="K11" s="12"/>
      <c r="P11" s="12"/>
    </row>
    <row r="12" spans="1:21" x14ac:dyDescent="0.15">
      <c r="A12" s="1" t="s">
        <v>62</v>
      </c>
      <c r="B12" s="1">
        <f t="shared" si="10"/>
        <v>2020</v>
      </c>
      <c r="C12" s="17">
        <f>ROUND(VLOOKUP(B12&amp;"_3",管理者用人口入力シート!A:AA,26,FALSE),0)</f>
        <v>1183</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560</v>
      </c>
      <c r="D14" s="12"/>
      <c r="E14" s="12"/>
      <c r="G14" s="1" t="s">
        <v>58</v>
      </c>
      <c r="H14" s="1">
        <f>H4</f>
        <v>2010</v>
      </c>
      <c r="I14" s="17">
        <f>C10</f>
        <v>1117</v>
      </c>
      <c r="J14" s="12"/>
      <c r="K14" s="12"/>
      <c r="N14" s="1" t="s">
        <v>58</v>
      </c>
      <c r="O14" s="1">
        <f>O4</f>
        <v>2010</v>
      </c>
      <c r="P14" s="17">
        <f>I14</f>
        <v>1117</v>
      </c>
      <c r="Q14" s="17"/>
    </row>
    <row r="15" spans="1:21" x14ac:dyDescent="0.15">
      <c r="A15" s="1" t="s">
        <v>61</v>
      </c>
      <c r="B15" s="1">
        <f t="shared" ref="B15:B16" si="11">B5</f>
        <v>2015</v>
      </c>
      <c r="C15" s="17">
        <f>ROUND(VLOOKUP(B15&amp;"_3",管理者用人口入力シート!A:AA,27,FALSE),0)</f>
        <v>556</v>
      </c>
      <c r="D15" s="12"/>
      <c r="E15" s="12"/>
      <c r="G15" s="1" t="s">
        <v>57</v>
      </c>
      <c r="H15" s="1">
        <f t="shared" ref="H15:H20" si="12">H5</f>
        <v>2015</v>
      </c>
      <c r="I15" s="17">
        <f>C11</f>
        <v>1159</v>
      </c>
      <c r="J15" s="12"/>
      <c r="K15" s="12"/>
      <c r="N15" s="1" t="s">
        <v>57</v>
      </c>
      <c r="O15" s="1">
        <f t="shared" ref="O15:O20" si="13">O5</f>
        <v>2015</v>
      </c>
      <c r="P15" s="17">
        <f t="shared" ref="P15:P20" si="14">I15</f>
        <v>1159</v>
      </c>
      <c r="Q15" s="17"/>
    </row>
    <row r="16" spans="1:21" x14ac:dyDescent="0.15">
      <c r="A16" s="1" t="s">
        <v>62</v>
      </c>
      <c r="B16" s="1">
        <f t="shared" si="11"/>
        <v>2020</v>
      </c>
      <c r="C16" s="17">
        <f>ROUND(VLOOKUP(B16&amp;"_3",管理者用人口入力シート!A:AA,27,FALSE),0)</f>
        <v>610</v>
      </c>
      <c r="D16" s="12"/>
      <c r="E16" s="12"/>
      <c r="G16" s="1" t="s">
        <v>62</v>
      </c>
      <c r="H16" s="1">
        <f t="shared" si="12"/>
        <v>2020</v>
      </c>
      <c r="I16" s="17">
        <f>C12</f>
        <v>1183</v>
      </c>
      <c r="J16" s="12"/>
      <c r="K16" s="12"/>
      <c r="N16" s="1" t="s">
        <v>62</v>
      </c>
      <c r="O16" s="1">
        <f t="shared" si="13"/>
        <v>2020</v>
      </c>
      <c r="P16" s="17">
        <f t="shared" si="14"/>
        <v>1183</v>
      </c>
      <c r="Q16" s="17"/>
    </row>
    <row r="17" spans="1:17" x14ac:dyDescent="0.15">
      <c r="G17" s="1" t="s">
        <v>106</v>
      </c>
      <c r="H17" s="1">
        <f t="shared" si="12"/>
        <v>2025</v>
      </c>
      <c r="I17" s="17">
        <f>ROUND(VLOOKUP(H17&amp;"_3",管理者用人口入力シート!BH:CM,26,FALSE),0)</f>
        <v>1007</v>
      </c>
      <c r="J17" s="12"/>
      <c r="K17" s="12"/>
      <c r="N17" s="1" t="s">
        <v>106</v>
      </c>
      <c r="O17" s="1">
        <f t="shared" si="13"/>
        <v>2025</v>
      </c>
      <c r="P17" s="17">
        <f t="shared" si="14"/>
        <v>1007</v>
      </c>
      <c r="Q17" s="17">
        <f>ROUND(VLOOKUP(H17&amp;"_3",管理者用人口入力シート!CO:DT,26,FALSE),0)</f>
        <v>1008</v>
      </c>
    </row>
    <row r="18" spans="1:17" x14ac:dyDescent="0.15">
      <c r="A18" s="69" t="s">
        <v>110</v>
      </c>
      <c r="G18" s="1" t="s">
        <v>107</v>
      </c>
      <c r="H18" s="1">
        <f t="shared" si="12"/>
        <v>2030</v>
      </c>
      <c r="I18" s="17">
        <f>ROUND(VLOOKUP(H18&amp;"_3",管理者用人口入力シート!BH:CM,26,FALSE),0)</f>
        <v>896</v>
      </c>
      <c r="J18" s="12"/>
      <c r="K18" s="12"/>
      <c r="N18" s="1" t="s">
        <v>107</v>
      </c>
      <c r="O18" s="1">
        <f t="shared" si="13"/>
        <v>2030</v>
      </c>
      <c r="P18" s="17">
        <f t="shared" si="14"/>
        <v>896</v>
      </c>
      <c r="Q18" s="17">
        <f>ROUND(VLOOKUP(H18&amp;"_3",管理者用人口入力シート!CO:DT,26,FALSE),0)</f>
        <v>898</v>
      </c>
    </row>
    <row r="19" spans="1:17" x14ac:dyDescent="0.15">
      <c r="A19" s="2" t="s">
        <v>84</v>
      </c>
      <c r="G19" s="1" t="s">
        <v>108</v>
      </c>
      <c r="H19" s="1">
        <f t="shared" si="12"/>
        <v>2035</v>
      </c>
      <c r="I19" s="17">
        <f>ROUND(VLOOKUP(H19&amp;"_3",管理者用人口入力シート!BH:CM,26,FALSE),0)</f>
        <v>885</v>
      </c>
      <c r="J19" s="12"/>
      <c r="K19" s="12"/>
      <c r="N19" s="1" t="s">
        <v>108</v>
      </c>
      <c r="O19" s="1">
        <f t="shared" si="13"/>
        <v>2035</v>
      </c>
      <c r="P19" s="17">
        <f t="shared" si="14"/>
        <v>885</v>
      </c>
      <c r="Q19" s="17">
        <f>ROUND(VLOOKUP(H19&amp;"_3",管理者用人口入力シート!CO:DT,26,FALSE),0)</f>
        <v>889</v>
      </c>
    </row>
    <row r="20" spans="1:17" x14ac:dyDescent="0.15">
      <c r="A20" s="1" t="s">
        <v>58</v>
      </c>
      <c r="B20" s="1">
        <f>B4</f>
        <v>2010</v>
      </c>
      <c r="C20" s="17">
        <f>SUM(B54:C61)</f>
        <v>3892</v>
      </c>
      <c r="D20" s="12"/>
      <c r="E20" s="12"/>
      <c r="G20" s="1" t="s">
        <v>109</v>
      </c>
      <c r="H20" s="1">
        <f t="shared" si="12"/>
        <v>2040</v>
      </c>
      <c r="I20" s="17">
        <f>ROUND(VLOOKUP(H20&amp;"_3",管理者用人口入力シート!BH:CM,26,FALSE),0)</f>
        <v>902</v>
      </c>
      <c r="J20" s="12"/>
      <c r="K20" s="12"/>
      <c r="N20" s="1" t="s">
        <v>109</v>
      </c>
      <c r="O20" s="1">
        <f t="shared" si="13"/>
        <v>2040</v>
      </c>
      <c r="P20" s="17">
        <f t="shared" si="14"/>
        <v>902</v>
      </c>
      <c r="Q20" s="17">
        <f>ROUND(VLOOKUP(H20&amp;"_3",管理者用人口入力シート!CO:DT,26,FALSE),0)</f>
        <v>908</v>
      </c>
    </row>
    <row r="21" spans="1:17" x14ac:dyDescent="0.15">
      <c r="A21" s="1" t="s">
        <v>61</v>
      </c>
      <c r="B21" s="1">
        <f t="shared" ref="B21:B22" si="15">B5</f>
        <v>2015</v>
      </c>
      <c r="C21" s="17">
        <f>SUM(B78:C85)</f>
        <v>4183</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4606</v>
      </c>
      <c r="D22" s="12"/>
      <c r="E22" s="12"/>
      <c r="G22" s="1" t="s">
        <v>58</v>
      </c>
      <c r="H22" s="1">
        <f>H4</f>
        <v>2010</v>
      </c>
      <c r="I22" s="17">
        <f>C14</f>
        <v>560</v>
      </c>
      <c r="J22" s="12"/>
      <c r="K22" s="12"/>
      <c r="N22" s="1" t="s">
        <v>58</v>
      </c>
      <c r="O22" s="1">
        <f>O4</f>
        <v>2010</v>
      </c>
      <c r="P22" s="17">
        <f>I22</f>
        <v>560</v>
      </c>
      <c r="Q22" s="17"/>
    </row>
    <row r="23" spans="1:17" x14ac:dyDescent="0.15">
      <c r="A23" s="2" t="s">
        <v>86</v>
      </c>
      <c r="G23" s="1" t="s">
        <v>57</v>
      </c>
      <c r="H23" s="1">
        <f t="shared" ref="H23:H28" si="16">H5</f>
        <v>2015</v>
      </c>
      <c r="I23" s="17">
        <f t="shared" ref="I23:I24" si="17">C15</f>
        <v>556</v>
      </c>
      <c r="J23" s="12"/>
      <c r="K23" s="12"/>
      <c r="N23" s="1" t="s">
        <v>57</v>
      </c>
      <c r="O23" s="1">
        <f t="shared" ref="O23:O28" si="18">O5</f>
        <v>2015</v>
      </c>
      <c r="P23" s="17">
        <f t="shared" ref="P23:P28" si="19">I23</f>
        <v>556</v>
      </c>
      <c r="Q23" s="17"/>
    </row>
    <row r="24" spans="1:17" x14ac:dyDescent="0.15">
      <c r="A24" s="1" t="s">
        <v>58</v>
      </c>
      <c r="B24" s="1">
        <f>B4</f>
        <v>2010</v>
      </c>
      <c r="C24" s="17">
        <f>SUM(B56:C61)</f>
        <v>2061</v>
      </c>
      <c r="D24" s="12"/>
      <c r="E24" s="12"/>
      <c r="G24" s="1" t="s">
        <v>62</v>
      </c>
      <c r="H24" s="1">
        <f t="shared" si="16"/>
        <v>2020</v>
      </c>
      <c r="I24" s="17">
        <f t="shared" si="17"/>
        <v>610</v>
      </c>
      <c r="J24" s="12"/>
      <c r="K24" s="12"/>
      <c r="N24" s="1" t="s">
        <v>62</v>
      </c>
      <c r="O24" s="1">
        <f t="shared" si="18"/>
        <v>2020</v>
      </c>
      <c r="P24" s="17">
        <f t="shared" si="19"/>
        <v>610</v>
      </c>
      <c r="Q24" s="17"/>
    </row>
    <row r="25" spans="1:17" x14ac:dyDescent="0.15">
      <c r="A25" s="1" t="s">
        <v>61</v>
      </c>
      <c r="B25" s="1">
        <f t="shared" ref="B25:B26" si="20">B5</f>
        <v>2015</v>
      </c>
      <c r="C25" s="17">
        <f>SUM(B80:C85)</f>
        <v>2085</v>
      </c>
      <c r="D25" s="12"/>
      <c r="E25" s="12"/>
      <c r="G25" s="1" t="s">
        <v>106</v>
      </c>
      <c r="H25" s="1">
        <f t="shared" si="16"/>
        <v>2025</v>
      </c>
      <c r="I25" s="17">
        <f>ROUND(VLOOKUP(H25&amp;"_3",管理者用人口入力シート!BH:CM,27,FALSE),0)</f>
        <v>585</v>
      </c>
      <c r="J25" s="12"/>
      <c r="K25" s="12"/>
      <c r="N25" s="1" t="s">
        <v>106</v>
      </c>
      <c r="O25" s="1">
        <f t="shared" si="18"/>
        <v>2025</v>
      </c>
      <c r="P25" s="17">
        <f t="shared" si="19"/>
        <v>585</v>
      </c>
      <c r="Q25" s="17">
        <f>ROUND(VLOOKUP(H17&amp;"_3",管理者用人口入力シート!CO:DT,27,FALSE),0)</f>
        <v>586</v>
      </c>
    </row>
    <row r="26" spans="1:17" x14ac:dyDescent="0.15">
      <c r="A26" s="1" t="s">
        <v>62</v>
      </c>
      <c r="B26" s="1">
        <f t="shared" si="20"/>
        <v>2020</v>
      </c>
      <c r="C26" s="17">
        <f>SUM(B104:C109)</f>
        <v>2277</v>
      </c>
      <c r="D26" s="12"/>
      <c r="E26" s="12"/>
      <c r="G26" s="1" t="s">
        <v>107</v>
      </c>
      <c r="H26" s="1">
        <f t="shared" si="16"/>
        <v>2030</v>
      </c>
      <c r="I26" s="17">
        <f>ROUND(VLOOKUP(H26&amp;"_3",管理者用人口入力シート!BH:CM,27,FALSE),0)</f>
        <v>495</v>
      </c>
      <c r="J26" s="12"/>
      <c r="K26" s="12"/>
      <c r="N26" s="1" t="s">
        <v>107</v>
      </c>
      <c r="O26" s="1">
        <f t="shared" si="18"/>
        <v>2030</v>
      </c>
      <c r="P26" s="17">
        <f t="shared" si="19"/>
        <v>495</v>
      </c>
      <c r="Q26" s="17">
        <f>ROUND(VLOOKUP(H18&amp;"_3",管理者用人口入力シート!CO:DT,27,FALSE),0)</f>
        <v>496</v>
      </c>
    </row>
    <row r="27" spans="1:17" x14ac:dyDescent="0.15">
      <c r="G27" s="1" t="s">
        <v>108</v>
      </c>
      <c r="H27" s="1">
        <f t="shared" si="16"/>
        <v>2035</v>
      </c>
      <c r="I27" s="17">
        <f>ROUND(VLOOKUP(H27&amp;"_3",管理者用人口入力シート!BH:CM,27,FALSE),0)</f>
        <v>450</v>
      </c>
      <c r="J27" s="12"/>
      <c r="K27" s="12"/>
      <c r="N27" s="1" t="s">
        <v>108</v>
      </c>
      <c r="O27" s="1">
        <f t="shared" si="18"/>
        <v>2035</v>
      </c>
      <c r="P27" s="17">
        <f t="shared" si="19"/>
        <v>450</v>
      </c>
      <c r="Q27" s="17">
        <f>ROUND(VLOOKUP(H19&amp;"_3",管理者用人口入力シート!CO:DT,27,FALSE),0)</f>
        <v>452</v>
      </c>
    </row>
    <row r="28" spans="1:17" x14ac:dyDescent="0.15">
      <c r="A28" s="69" t="s">
        <v>85</v>
      </c>
      <c r="G28" s="1" t="s">
        <v>109</v>
      </c>
      <c r="H28" s="1">
        <f t="shared" si="16"/>
        <v>2040</v>
      </c>
      <c r="I28" s="17">
        <f>ROUND(VLOOKUP(H28&amp;"_3",管理者用人口入力シート!BH:CM,27,FALSE),0)</f>
        <v>448</v>
      </c>
      <c r="J28" s="12"/>
      <c r="K28" s="12"/>
      <c r="N28" s="1" t="s">
        <v>109</v>
      </c>
      <c r="O28" s="1">
        <f t="shared" si="18"/>
        <v>2040</v>
      </c>
      <c r="P28" s="17">
        <f t="shared" si="19"/>
        <v>448</v>
      </c>
      <c r="Q28" s="17">
        <f>ROUND(VLOOKUP(H20&amp;"_3",管理者用人口入力シート!CO:DT,27,FALSE),0)</f>
        <v>451</v>
      </c>
    </row>
    <row r="29" spans="1:17" x14ac:dyDescent="0.15">
      <c r="A29" s="2" t="s">
        <v>84</v>
      </c>
    </row>
    <row r="30" spans="1:17" x14ac:dyDescent="0.15">
      <c r="A30" s="1" t="s">
        <v>58</v>
      </c>
      <c r="B30" s="1">
        <f>B4</f>
        <v>2010</v>
      </c>
      <c r="C30" s="38">
        <f>ROUND((SUM(B54:C61)/SUM(B41:C61)),2)</f>
        <v>0.2</v>
      </c>
      <c r="D30" s="205"/>
      <c r="E30" s="205"/>
      <c r="G30" s="69" t="s">
        <v>110</v>
      </c>
      <c r="N30" s="69" t="s">
        <v>110</v>
      </c>
    </row>
    <row r="31" spans="1:17" x14ac:dyDescent="0.15">
      <c r="A31" s="1" t="s">
        <v>61</v>
      </c>
      <c r="B31" s="1">
        <f t="shared" ref="B31:B32" si="21">B5</f>
        <v>2015</v>
      </c>
      <c r="C31" s="38">
        <f>ROUND((SUM(B78:C85)/SUM(B65:C85)),2)</f>
        <v>0.22</v>
      </c>
      <c r="D31" s="205"/>
      <c r="E31" s="205"/>
      <c r="G31" s="2" t="s">
        <v>84</v>
      </c>
      <c r="H31" s="65"/>
      <c r="I31" s="66"/>
      <c r="J31" s="12"/>
      <c r="K31" s="12"/>
      <c r="N31" s="2" t="s">
        <v>84</v>
      </c>
      <c r="O31" s="65"/>
      <c r="P31" s="2" t="s">
        <v>120</v>
      </c>
      <c r="Q31" s="2" t="s">
        <v>119</v>
      </c>
    </row>
    <row r="32" spans="1:17" x14ac:dyDescent="0.15">
      <c r="A32" s="1" t="s">
        <v>62</v>
      </c>
      <c r="B32" s="1">
        <f t="shared" si="21"/>
        <v>2020</v>
      </c>
      <c r="C32" s="38">
        <f>ROUND((SUM(B102:C109)/SUM(B89:C109)),2)</f>
        <v>0.24</v>
      </c>
      <c r="D32" s="205"/>
      <c r="E32" s="205"/>
      <c r="G32" s="1" t="s">
        <v>58</v>
      </c>
      <c r="H32" s="1">
        <f>H4</f>
        <v>2010</v>
      </c>
      <c r="I32" s="17">
        <f>C20</f>
        <v>3892</v>
      </c>
      <c r="J32" s="12"/>
      <c r="K32" s="12"/>
      <c r="N32" s="1" t="s">
        <v>58</v>
      </c>
      <c r="O32" s="1">
        <f>O4</f>
        <v>2010</v>
      </c>
      <c r="P32" s="17">
        <f>I32</f>
        <v>3892</v>
      </c>
      <c r="Q32" s="17"/>
    </row>
    <row r="33" spans="1:17" x14ac:dyDescent="0.15">
      <c r="A33" s="2" t="s">
        <v>86</v>
      </c>
      <c r="G33" s="1" t="s">
        <v>57</v>
      </c>
      <c r="H33" s="1">
        <f t="shared" ref="H33:H38" si="22">H5</f>
        <v>2015</v>
      </c>
      <c r="I33" s="17">
        <f>C21</f>
        <v>4183</v>
      </c>
      <c r="J33" s="12"/>
      <c r="K33" s="12"/>
      <c r="N33" s="1" t="s">
        <v>57</v>
      </c>
      <c r="O33" s="1">
        <f t="shared" ref="O33:O38" si="23">O5</f>
        <v>2015</v>
      </c>
      <c r="P33" s="17">
        <f t="shared" ref="P33:P38" si="24">I33</f>
        <v>4183</v>
      </c>
      <c r="Q33" s="17"/>
    </row>
    <row r="34" spans="1:17" x14ac:dyDescent="0.15">
      <c r="A34" s="1" t="s">
        <v>58</v>
      </c>
      <c r="B34" s="1">
        <f>B4</f>
        <v>2010</v>
      </c>
      <c r="C34" s="38">
        <f>ROUND((SUM(B56:C61)/SUM(B41:C61)),2)</f>
        <v>0.11</v>
      </c>
      <c r="D34" s="205"/>
      <c r="E34" s="205"/>
      <c r="G34" s="1" t="s">
        <v>62</v>
      </c>
      <c r="H34" s="1">
        <f t="shared" si="22"/>
        <v>2020</v>
      </c>
      <c r="I34" s="17">
        <f>C22</f>
        <v>4606</v>
      </c>
      <c r="J34" s="12"/>
      <c r="K34" s="12"/>
      <c r="N34" s="1" t="s">
        <v>62</v>
      </c>
      <c r="O34" s="1">
        <f t="shared" si="23"/>
        <v>2020</v>
      </c>
      <c r="P34" s="17">
        <f t="shared" si="24"/>
        <v>4606</v>
      </c>
      <c r="Q34" s="17"/>
    </row>
    <row r="35" spans="1:17" x14ac:dyDescent="0.15">
      <c r="A35" s="1" t="s">
        <v>61</v>
      </c>
      <c r="B35" s="1">
        <f t="shared" ref="B35:B36" si="25">B5</f>
        <v>2015</v>
      </c>
      <c r="C35" s="38">
        <f>ROUND((SUM(B80:C85)/SUM(B65:C85)),2)</f>
        <v>0.11</v>
      </c>
      <c r="D35" s="205"/>
      <c r="E35" s="205"/>
      <c r="G35" s="1" t="s">
        <v>106</v>
      </c>
      <c r="H35" s="1">
        <f t="shared" si="22"/>
        <v>2025</v>
      </c>
      <c r="I35" s="17">
        <f>SUM(H82:I89)</f>
        <v>4795</v>
      </c>
      <c r="J35" s="12"/>
      <c r="K35" s="12"/>
      <c r="N35" s="1" t="s">
        <v>106</v>
      </c>
      <c r="O35" s="1">
        <f t="shared" si="23"/>
        <v>2025</v>
      </c>
      <c r="P35" s="17">
        <f t="shared" si="24"/>
        <v>4795</v>
      </c>
      <c r="Q35" s="17">
        <f>SUM(O82:P89)</f>
        <v>4795</v>
      </c>
    </row>
    <row r="36" spans="1:17" x14ac:dyDescent="0.15">
      <c r="A36" s="1" t="s">
        <v>62</v>
      </c>
      <c r="B36" s="1">
        <f t="shared" si="25"/>
        <v>2020</v>
      </c>
      <c r="C36" s="38">
        <f>ROUND((SUM(B104:C109)/SUM(B89:C109)),2)</f>
        <v>0.12</v>
      </c>
      <c r="D36" s="205"/>
      <c r="E36" s="205"/>
      <c r="G36" s="1" t="s">
        <v>107</v>
      </c>
      <c r="H36" s="1">
        <f t="shared" si="22"/>
        <v>2030</v>
      </c>
      <c r="I36" s="17">
        <f>SUM(H106:I113)</f>
        <v>4880</v>
      </c>
      <c r="J36" s="12"/>
      <c r="K36" s="12"/>
      <c r="N36" s="1" t="s">
        <v>107</v>
      </c>
      <c r="O36" s="1">
        <f t="shared" si="23"/>
        <v>2030</v>
      </c>
      <c r="P36" s="17">
        <f t="shared" si="24"/>
        <v>4880</v>
      </c>
      <c r="Q36" s="17">
        <f>SUM(O106:P113)</f>
        <v>4880</v>
      </c>
    </row>
    <row r="37" spans="1:17" x14ac:dyDescent="0.15">
      <c r="G37" s="1" t="s">
        <v>108</v>
      </c>
      <c r="H37" s="1">
        <f t="shared" si="22"/>
        <v>2035</v>
      </c>
      <c r="I37" s="17">
        <f>SUM(H130:I137)</f>
        <v>4902</v>
      </c>
      <c r="J37" s="12"/>
      <c r="K37" s="12"/>
      <c r="N37" s="1" t="s">
        <v>108</v>
      </c>
      <c r="O37" s="1">
        <f t="shared" si="23"/>
        <v>2035</v>
      </c>
      <c r="P37" s="17">
        <f t="shared" si="24"/>
        <v>4902</v>
      </c>
      <c r="Q37" s="17">
        <f>SUM(O130:P137)</f>
        <v>4902</v>
      </c>
    </row>
    <row r="38" spans="1:17" x14ac:dyDescent="0.15">
      <c r="A38" s="69" t="s">
        <v>113</v>
      </c>
      <c r="G38" s="1" t="s">
        <v>109</v>
      </c>
      <c r="H38" s="1">
        <f t="shared" si="22"/>
        <v>2040</v>
      </c>
      <c r="I38" s="17">
        <f>SUM(H154:I161)</f>
        <v>5104</v>
      </c>
      <c r="J38" s="12"/>
      <c r="K38" s="12"/>
      <c r="N38" s="1" t="s">
        <v>109</v>
      </c>
      <c r="O38" s="1">
        <f t="shared" si="23"/>
        <v>2040</v>
      </c>
      <c r="P38" s="17">
        <f t="shared" si="24"/>
        <v>5104</v>
      </c>
      <c r="Q38" s="17">
        <f>SUM(O154:P161)</f>
        <v>5104</v>
      </c>
    </row>
    <row r="39" spans="1:17" x14ac:dyDescent="0.15">
      <c r="A39" s="2" t="s">
        <v>383</v>
      </c>
      <c r="B39" s="315">
        <f>管理者入力シート!B7</f>
        <v>2010</v>
      </c>
      <c r="C39" s="316"/>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2061</v>
      </c>
      <c r="J40" s="12"/>
      <c r="K40" s="12"/>
      <c r="N40" s="1" t="s">
        <v>58</v>
      </c>
      <c r="O40" s="1">
        <f>O4</f>
        <v>2010</v>
      </c>
      <c r="P40" s="17">
        <f>I40</f>
        <v>2061</v>
      </c>
      <c r="Q40" s="17"/>
    </row>
    <row r="41" spans="1:17" x14ac:dyDescent="0.15">
      <c r="A41" s="2" t="s">
        <v>0</v>
      </c>
      <c r="B41" s="17">
        <f>ROUND(VLOOKUP(B$39&amp;"_1",管理者用人口入力シート!A:X,D41,FALSE),0)</f>
        <v>613</v>
      </c>
      <c r="C41" s="17">
        <f>ROUND(VLOOKUP(B$39&amp;"_2",管理者用人口入力シート!A:X,D41,FALSE),0)</f>
        <v>528</v>
      </c>
      <c r="D41" s="2">
        <v>4</v>
      </c>
      <c r="G41" s="1" t="s">
        <v>57</v>
      </c>
      <c r="H41" s="1">
        <f t="shared" ref="H41:H46" si="26">H5</f>
        <v>2015</v>
      </c>
      <c r="I41" s="17">
        <f>C25</f>
        <v>2085</v>
      </c>
      <c r="J41" s="12"/>
      <c r="K41" s="12"/>
      <c r="N41" s="1" t="s">
        <v>57</v>
      </c>
      <c r="O41" s="1">
        <f t="shared" ref="O41:O46" si="27">O5</f>
        <v>2015</v>
      </c>
      <c r="P41" s="17">
        <f t="shared" ref="P41:P46" si="28">I41</f>
        <v>2085</v>
      </c>
      <c r="Q41" s="17"/>
    </row>
    <row r="42" spans="1:17" x14ac:dyDescent="0.15">
      <c r="A42" s="2" t="s">
        <v>1</v>
      </c>
      <c r="B42" s="17">
        <f>ROUND(VLOOKUP(B$39&amp;"_1",管理者用人口入力シート!A:X,D42,FALSE),0)</f>
        <v>489</v>
      </c>
      <c r="C42" s="17">
        <f>ROUND(VLOOKUP(B$39&amp;"_2",管理者用人口入力シート!A:X,D42,FALSE),0)</f>
        <v>477</v>
      </c>
      <c r="D42" s="2">
        <v>5</v>
      </c>
      <c r="G42" s="1" t="s">
        <v>62</v>
      </c>
      <c r="H42" s="1">
        <f t="shared" si="26"/>
        <v>2020</v>
      </c>
      <c r="I42" s="17">
        <f>C26</f>
        <v>2277</v>
      </c>
      <c r="J42" s="12"/>
      <c r="K42" s="12"/>
      <c r="N42" s="1" t="s">
        <v>62</v>
      </c>
      <c r="O42" s="1">
        <f t="shared" si="27"/>
        <v>2020</v>
      </c>
      <c r="P42" s="17">
        <f t="shared" si="28"/>
        <v>2277</v>
      </c>
      <c r="Q42" s="17"/>
    </row>
    <row r="43" spans="1:17" x14ac:dyDescent="0.15">
      <c r="A43" s="2" t="s">
        <v>2</v>
      </c>
      <c r="B43" s="17">
        <f>ROUND(VLOOKUP(B$39&amp;"_1",管理者用人口入力シート!A:X,D43,FALSE),0)</f>
        <v>455</v>
      </c>
      <c r="C43" s="17">
        <f>ROUND(VLOOKUP(B$39&amp;"_2",管理者用人口入力シート!A:X,D43,FALSE),0)</f>
        <v>441</v>
      </c>
      <c r="D43" s="2">
        <v>6</v>
      </c>
      <c r="G43" s="1" t="s">
        <v>106</v>
      </c>
      <c r="H43" s="1">
        <f t="shared" si="26"/>
        <v>2025</v>
      </c>
      <c r="I43" s="17">
        <f>SUM(H84:I89)</f>
        <v>2509</v>
      </c>
      <c r="J43" s="12"/>
      <c r="K43" s="12"/>
      <c r="N43" s="1" t="s">
        <v>106</v>
      </c>
      <c r="O43" s="1">
        <f t="shared" si="27"/>
        <v>2025</v>
      </c>
      <c r="P43" s="17">
        <f t="shared" si="28"/>
        <v>2509</v>
      </c>
      <c r="Q43" s="17">
        <f>SUM(O84:P89)</f>
        <v>2509</v>
      </c>
    </row>
    <row r="44" spans="1:17" x14ac:dyDescent="0.15">
      <c r="A44" s="2" t="s">
        <v>3</v>
      </c>
      <c r="B44" s="17">
        <f>ROUND(VLOOKUP(B$39&amp;"_1",管理者用人口入力シート!A:X,D44,FALSE),0)</f>
        <v>532</v>
      </c>
      <c r="C44" s="17">
        <f>ROUND(VLOOKUP(B$39&amp;"_2",管理者用人口入力シート!A:X,D44,FALSE),0)</f>
        <v>475</v>
      </c>
      <c r="D44" s="2">
        <v>7</v>
      </c>
      <c r="G44" s="1" t="s">
        <v>107</v>
      </c>
      <c r="H44" s="1">
        <f t="shared" si="26"/>
        <v>2030</v>
      </c>
      <c r="I44" s="17">
        <f>SUM(H108:I113)</f>
        <v>2638</v>
      </c>
      <c r="J44" s="12"/>
      <c r="K44" s="12"/>
      <c r="N44" s="1" t="s">
        <v>107</v>
      </c>
      <c r="O44" s="1">
        <f t="shared" si="27"/>
        <v>2030</v>
      </c>
      <c r="P44" s="17">
        <f t="shared" si="28"/>
        <v>2638</v>
      </c>
      <c r="Q44" s="17">
        <f>SUM(O108:P113)</f>
        <v>2638</v>
      </c>
    </row>
    <row r="45" spans="1:17" x14ac:dyDescent="0.15">
      <c r="A45" s="2" t="s">
        <v>4</v>
      </c>
      <c r="B45" s="17">
        <f>ROUND(VLOOKUP(B$39&amp;"_1",管理者用人口入力シート!A:X,D45,FALSE),0)</f>
        <v>472</v>
      </c>
      <c r="C45" s="17">
        <f>ROUND(VLOOKUP(B$39&amp;"_2",管理者用人口入力シート!A:X,D45,FALSE),0)</f>
        <v>584</v>
      </c>
      <c r="D45" s="2">
        <v>8</v>
      </c>
      <c r="G45" s="1" t="s">
        <v>108</v>
      </c>
      <c r="H45" s="1">
        <f t="shared" si="26"/>
        <v>2035</v>
      </c>
      <c r="I45" s="17">
        <f>SUM(H132:I137)</f>
        <v>2744</v>
      </c>
      <c r="J45" s="12"/>
      <c r="K45" s="12"/>
      <c r="N45" s="1" t="s">
        <v>108</v>
      </c>
      <c r="O45" s="1">
        <f t="shared" si="27"/>
        <v>2035</v>
      </c>
      <c r="P45" s="17">
        <f t="shared" si="28"/>
        <v>2744</v>
      </c>
      <c r="Q45" s="17">
        <f>SUM(O132:P137)</f>
        <v>2744</v>
      </c>
    </row>
    <row r="46" spans="1:17" x14ac:dyDescent="0.15">
      <c r="A46" s="2" t="s">
        <v>5</v>
      </c>
      <c r="B46" s="17">
        <f>ROUND(VLOOKUP(B$39&amp;"_1",管理者用人口入力シート!A:X,D46,FALSE),0)</f>
        <v>618</v>
      </c>
      <c r="C46" s="17">
        <f>ROUND(VLOOKUP(B$39&amp;"_2",管理者用人口入力シート!A:X,D46,FALSE),0)</f>
        <v>652</v>
      </c>
      <c r="D46" s="2">
        <v>9</v>
      </c>
      <c r="G46" s="1" t="s">
        <v>109</v>
      </c>
      <c r="H46" s="1">
        <f t="shared" si="26"/>
        <v>2040</v>
      </c>
      <c r="I46" s="17">
        <f>SUM(H156:I161)</f>
        <v>2729</v>
      </c>
      <c r="J46" s="12"/>
      <c r="K46" s="12"/>
      <c r="N46" s="1" t="s">
        <v>109</v>
      </c>
      <c r="O46" s="1">
        <f t="shared" si="27"/>
        <v>2040</v>
      </c>
      <c r="P46" s="17">
        <f t="shared" si="28"/>
        <v>2729</v>
      </c>
      <c r="Q46" s="17">
        <f>SUM(O156:P161)</f>
        <v>2729</v>
      </c>
    </row>
    <row r="47" spans="1:17" x14ac:dyDescent="0.15">
      <c r="A47" s="2" t="s">
        <v>6</v>
      </c>
      <c r="B47" s="17">
        <f>ROUND(VLOOKUP(B$39&amp;"_1",管理者用人口入力シート!A:X,D47,FALSE),0)</f>
        <v>648</v>
      </c>
      <c r="C47" s="17">
        <f>ROUND(VLOOKUP(B$39&amp;"_2",管理者用人口入力シート!A:X,D47,FALSE),0)</f>
        <v>645</v>
      </c>
      <c r="D47" s="2">
        <v>10</v>
      </c>
    </row>
    <row r="48" spans="1:17" x14ac:dyDescent="0.15">
      <c r="A48" s="2" t="s">
        <v>7</v>
      </c>
      <c r="B48" s="17">
        <f>ROUND(VLOOKUP(B$39&amp;"_1",管理者用人口入力シート!A:X,D48,FALSE),0)</f>
        <v>668</v>
      </c>
      <c r="C48" s="17">
        <f>ROUND(VLOOKUP(B$39&amp;"_2",管理者用人口入力シート!A:X,D48,FALSE),0)</f>
        <v>746</v>
      </c>
      <c r="D48" s="2">
        <v>11</v>
      </c>
      <c r="G48" s="69" t="s">
        <v>85</v>
      </c>
      <c r="N48" s="69" t="s">
        <v>85</v>
      </c>
    </row>
    <row r="49" spans="1:17" x14ac:dyDescent="0.15">
      <c r="A49" s="2" t="s">
        <v>8</v>
      </c>
      <c r="B49" s="17">
        <f>ROUND(VLOOKUP(B$39&amp;"_1",管理者用人口入力シート!A:X,D49,FALSE),0)</f>
        <v>591</v>
      </c>
      <c r="C49" s="17">
        <f>ROUND(VLOOKUP(B$39&amp;"_2",管理者用人口入力シート!A:X,D49,FALSE),0)</f>
        <v>616</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588</v>
      </c>
      <c r="C50" s="17">
        <f>ROUND(VLOOKUP(B$39&amp;"_2",管理者用人口入力シート!A:X,D50,FALSE),0)</f>
        <v>616</v>
      </c>
      <c r="D50" s="2">
        <v>13</v>
      </c>
      <c r="G50" s="1" t="s">
        <v>58</v>
      </c>
      <c r="H50" s="1">
        <f>H4</f>
        <v>2010</v>
      </c>
      <c r="I50" s="38">
        <f>C30</f>
        <v>0.2</v>
      </c>
      <c r="J50" s="205"/>
      <c r="K50" s="205"/>
      <c r="N50" s="1" t="s">
        <v>58</v>
      </c>
      <c r="O50" s="1">
        <f>O4</f>
        <v>2010</v>
      </c>
      <c r="P50" s="38">
        <f t="shared" ref="P50:P56" si="29">I50</f>
        <v>0.2</v>
      </c>
      <c r="Q50" s="1"/>
    </row>
    <row r="51" spans="1:17" x14ac:dyDescent="0.15">
      <c r="A51" s="2" t="s">
        <v>10</v>
      </c>
      <c r="B51" s="17">
        <f>ROUND(VLOOKUP(B$39&amp;"_1",管理者用人口入力シート!A:X,D51,FALSE),0)</f>
        <v>634</v>
      </c>
      <c r="C51" s="17">
        <f>ROUND(VLOOKUP(B$39&amp;"_2",管理者用人口入力シート!A:X,D51,FALSE),0)</f>
        <v>630</v>
      </c>
      <c r="D51" s="2">
        <v>14</v>
      </c>
      <c r="G51" s="1" t="s">
        <v>57</v>
      </c>
      <c r="H51" s="1">
        <f t="shared" ref="H51:H56" si="30">H5</f>
        <v>2015</v>
      </c>
      <c r="I51" s="38">
        <f t="shared" ref="I51:I52" si="31">C31</f>
        <v>0.22</v>
      </c>
      <c r="J51" s="205"/>
      <c r="K51" s="205"/>
      <c r="N51" s="1" t="s">
        <v>57</v>
      </c>
      <c r="O51" s="1">
        <f t="shared" ref="O51:O56" si="32">O5</f>
        <v>2015</v>
      </c>
      <c r="P51" s="38">
        <f t="shared" si="29"/>
        <v>0.22</v>
      </c>
      <c r="Q51" s="1"/>
    </row>
    <row r="52" spans="1:17" x14ac:dyDescent="0.15">
      <c r="A52" s="2" t="s">
        <v>11</v>
      </c>
      <c r="B52" s="17">
        <f>ROUND(VLOOKUP(B$39&amp;"_1",管理者用人口入力シート!A:X,D52,FALSE),0)</f>
        <v>595</v>
      </c>
      <c r="C52" s="17">
        <f>ROUND(VLOOKUP(B$39&amp;"_2",管理者用人口入力シート!A:X,D52,FALSE),0)</f>
        <v>623</v>
      </c>
      <c r="D52" s="2">
        <v>15</v>
      </c>
      <c r="G52" s="1" t="s">
        <v>62</v>
      </c>
      <c r="H52" s="1">
        <f t="shared" si="30"/>
        <v>2020</v>
      </c>
      <c r="I52" s="38">
        <f t="shared" si="31"/>
        <v>0.24</v>
      </c>
      <c r="J52" s="205"/>
      <c r="K52" s="205"/>
      <c r="N52" s="1" t="s">
        <v>62</v>
      </c>
      <c r="O52" s="1">
        <f t="shared" si="32"/>
        <v>2020</v>
      </c>
      <c r="P52" s="38">
        <f t="shared" si="29"/>
        <v>0.24</v>
      </c>
      <c r="Q52" s="1"/>
    </row>
    <row r="53" spans="1:17" x14ac:dyDescent="0.15">
      <c r="A53" s="2" t="s">
        <v>12</v>
      </c>
      <c r="B53" s="17">
        <f>ROUND(VLOOKUP(B$39&amp;"_1",管理者用人口入力シート!A:X,D53,FALSE),0)</f>
        <v>640</v>
      </c>
      <c r="C53" s="17">
        <f>ROUND(VLOOKUP(B$39&amp;"_2",管理者用人口入力シート!A:X,D53,FALSE),0)</f>
        <v>629</v>
      </c>
      <c r="D53" s="2">
        <v>16</v>
      </c>
      <c r="G53" s="1" t="s">
        <v>106</v>
      </c>
      <c r="H53" s="1">
        <f t="shared" si="30"/>
        <v>2025</v>
      </c>
      <c r="I53" s="38">
        <f>ROUND((SUM(H82:I89)/SUM(H69:I89)),2)</f>
        <v>0.26</v>
      </c>
      <c r="J53" s="205"/>
      <c r="K53" s="205"/>
      <c r="L53" s="70"/>
      <c r="M53" s="70"/>
      <c r="N53" s="1" t="s">
        <v>106</v>
      </c>
      <c r="O53" s="1">
        <f t="shared" si="32"/>
        <v>2025</v>
      </c>
      <c r="P53" s="38">
        <f t="shared" si="29"/>
        <v>0.26</v>
      </c>
      <c r="Q53" s="38">
        <f>ROUND((SUM(O82:P89)/SUM(O69:P89)),2)</f>
        <v>0.26</v>
      </c>
    </row>
    <row r="54" spans="1:17" x14ac:dyDescent="0.15">
      <c r="A54" s="2" t="s">
        <v>13</v>
      </c>
      <c r="B54" s="17">
        <f>ROUND(VLOOKUP(B$39&amp;"_1",管理者用人口入力シート!A:X,D54,FALSE),0)</f>
        <v>433</v>
      </c>
      <c r="C54" s="17">
        <f>ROUND(VLOOKUP(B$39&amp;"_2",管理者用人口入力シート!A:X,D54,FALSE),0)</f>
        <v>529</v>
      </c>
      <c r="D54" s="2">
        <v>17</v>
      </c>
      <c r="G54" s="1" t="s">
        <v>107</v>
      </c>
      <c r="H54" s="1">
        <f t="shared" si="30"/>
        <v>2030</v>
      </c>
      <c r="I54" s="38">
        <f>ROUND((SUM(H106:I113)/SUM(H93:I113)),2)</f>
        <v>0.27</v>
      </c>
      <c r="J54" s="205"/>
      <c r="K54" s="205"/>
      <c r="N54" s="1" t="s">
        <v>107</v>
      </c>
      <c r="O54" s="1">
        <f t="shared" si="32"/>
        <v>2030</v>
      </c>
      <c r="P54" s="38">
        <f t="shared" si="29"/>
        <v>0.27</v>
      </c>
      <c r="Q54" s="38">
        <f>ROUND((SUM(O106:P113)/SUM(O93:P113)),2)</f>
        <v>0.27</v>
      </c>
    </row>
    <row r="55" spans="1:17" x14ac:dyDescent="0.15">
      <c r="A55" s="2" t="s">
        <v>14</v>
      </c>
      <c r="B55" s="17">
        <f>ROUND(VLOOKUP(B$39&amp;"_1",管理者用人口入力シート!A:X,D55,FALSE),0)</f>
        <v>410</v>
      </c>
      <c r="C55" s="17">
        <f>ROUND(VLOOKUP(B$39&amp;"_2",管理者用人口入力シート!A:X,D55,FALSE),0)</f>
        <v>459</v>
      </c>
      <c r="D55" s="2">
        <v>18</v>
      </c>
      <c r="G55" s="1" t="s">
        <v>108</v>
      </c>
      <c r="H55" s="1">
        <f t="shared" si="30"/>
        <v>2035</v>
      </c>
      <c r="I55" s="38">
        <f>ROUND((SUM(H130:I137)/SUM(H117:I137)),2)</f>
        <v>0.27</v>
      </c>
      <c r="J55" s="205"/>
      <c r="K55" s="205"/>
      <c r="N55" s="1" t="s">
        <v>108</v>
      </c>
      <c r="O55" s="1">
        <f t="shared" si="32"/>
        <v>2035</v>
      </c>
      <c r="P55" s="38">
        <f t="shared" si="29"/>
        <v>0.27</v>
      </c>
      <c r="Q55" s="38">
        <f>ROUND((SUM(O130:P137)/SUM(O117:P137)),2)</f>
        <v>0.27</v>
      </c>
    </row>
    <row r="56" spans="1:17" x14ac:dyDescent="0.15">
      <c r="A56" s="2" t="s">
        <v>15</v>
      </c>
      <c r="B56" s="17">
        <f>ROUND(VLOOKUP(B$39&amp;"_1",管理者用人口入力シート!A:X,D56,FALSE),0)</f>
        <v>317</v>
      </c>
      <c r="C56" s="17">
        <f>ROUND(VLOOKUP(B$39&amp;"_2",管理者用人口入力シート!A:X,D56,FALSE),0)</f>
        <v>496</v>
      </c>
      <c r="D56" s="2">
        <v>19</v>
      </c>
      <c r="G56" s="1" t="s">
        <v>109</v>
      </c>
      <c r="H56" s="1">
        <f t="shared" si="30"/>
        <v>2040</v>
      </c>
      <c r="I56" s="38">
        <f>ROUND((SUM(H154:I161)/SUM(H141:I161)),2)</f>
        <v>0.28999999999999998</v>
      </c>
      <c r="J56" s="205"/>
      <c r="K56" s="205"/>
      <c r="N56" s="1" t="s">
        <v>109</v>
      </c>
      <c r="O56" s="1">
        <f t="shared" si="32"/>
        <v>2040</v>
      </c>
      <c r="P56" s="38">
        <f t="shared" si="29"/>
        <v>0.28999999999999998</v>
      </c>
      <c r="Q56" s="38">
        <f>ROUND((SUM(O154:P161)/SUM(O141:P161)),2)</f>
        <v>0.28999999999999998</v>
      </c>
    </row>
    <row r="57" spans="1:17" x14ac:dyDescent="0.15">
      <c r="A57" s="2" t="s">
        <v>16</v>
      </c>
      <c r="B57" s="17">
        <f>ROUND(VLOOKUP(B$39&amp;"_1",管理者用人口入力シート!A:X,D57,FALSE),0)</f>
        <v>262</v>
      </c>
      <c r="C57" s="17">
        <f>ROUND(VLOOKUP(B$39&amp;"_2",管理者用人口入力シート!A:X,D57,FALSE),0)</f>
        <v>402</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101</v>
      </c>
      <c r="C58" s="17">
        <f>ROUND(VLOOKUP(B$39&amp;"_2",管理者用人口入力シート!A:X,D58,FALSE),0)</f>
        <v>287</v>
      </c>
      <c r="D58" s="2">
        <v>21</v>
      </c>
      <c r="G58" s="1" t="s">
        <v>58</v>
      </c>
      <c r="H58" s="1">
        <f>H4</f>
        <v>2010</v>
      </c>
      <c r="I58" s="38">
        <f>C34</f>
        <v>0.11</v>
      </c>
      <c r="J58" s="205"/>
      <c r="K58" s="205"/>
      <c r="N58" s="1" t="s">
        <v>58</v>
      </c>
      <c r="O58" s="1">
        <f>O4</f>
        <v>2010</v>
      </c>
      <c r="P58" s="38">
        <f t="shared" ref="P58:P64" si="33">I58</f>
        <v>0.11</v>
      </c>
      <c r="Q58" s="1"/>
    </row>
    <row r="59" spans="1:17" x14ac:dyDescent="0.15">
      <c r="A59" s="2" t="s">
        <v>18</v>
      </c>
      <c r="B59" s="17">
        <f>ROUND(VLOOKUP(B$39&amp;"_1",管理者用人口入力シート!A:X,D59,FALSE),0)</f>
        <v>40</v>
      </c>
      <c r="C59" s="17">
        <f>ROUND(VLOOKUP(B$39&amp;"_2",管理者用人口入力シート!A:X,D59,FALSE),0)</f>
        <v>112</v>
      </c>
      <c r="D59" s="2">
        <v>22</v>
      </c>
      <c r="G59" s="1" t="s">
        <v>57</v>
      </c>
      <c r="H59" s="1">
        <f t="shared" ref="H59:H64" si="34">H5</f>
        <v>2015</v>
      </c>
      <c r="I59" s="38">
        <f t="shared" ref="I59:I60" si="35">C35</f>
        <v>0.11</v>
      </c>
      <c r="J59" s="205"/>
      <c r="K59" s="205"/>
      <c r="N59" s="1" t="s">
        <v>57</v>
      </c>
      <c r="O59" s="1">
        <f t="shared" ref="O59:O64" si="36">O5</f>
        <v>2015</v>
      </c>
      <c r="P59" s="38">
        <f t="shared" si="33"/>
        <v>0.11</v>
      </c>
      <c r="Q59" s="1"/>
    </row>
    <row r="60" spans="1:17" x14ac:dyDescent="0.15">
      <c r="A60" s="2" t="s">
        <v>19</v>
      </c>
      <c r="B60" s="17">
        <f>ROUND(VLOOKUP(B$39&amp;"_1",管理者用人口入力シート!A:X,D60,FALSE),0)</f>
        <v>5</v>
      </c>
      <c r="C60" s="17">
        <f>ROUND(VLOOKUP(B$39&amp;"_2",管理者用人口入力シート!A:X,D60,FALSE),0)</f>
        <v>27</v>
      </c>
      <c r="D60" s="2">
        <v>23</v>
      </c>
      <c r="G60" s="1" t="s">
        <v>62</v>
      </c>
      <c r="H60" s="1">
        <f t="shared" si="34"/>
        <v>2020</v>
      </c>
      <c r="I60" s="38">
        <f t="shared" si="35"/>
        <v>0.12</v>
      </c>
      <c r="J60" s="205"/>
      <c r="K60" s="205"/>
      <c r="N60" s="1" t="s">
        <v>62</v>
      </c>
      <c r="O60" s="1">
        <f t="shared" si="36"/>
        <v>2020</v>
      </c>
      <c r="P60" s="38">
        <f t="shared" si="33"/>
        <v>0.12</v>
      </c>
      <c r="Q60" s="1"/>
    </row>
    <row r="61" spans="1:17" x14ac:dyDescent="0.15">
      <c r="A61" s="2" t="s">
        <v>20</v>
      </c>
      <c r="B61" s="17">
        <f>ROUND(VLOOKUP(B$39&amp;"_1",管理者用人口入力シート!A:X,D61,FALSE),0)</f>
        <v>0</v>
      </c>
      <c r="C61" s="17">
        <f>ROUND(VLOOKUP(B$39&amp;"_2",管理者用人口入力シート!A:X,D61,FALSE),0)</f>
        <v>12</v>
      </c>
      <c r="D61" s="2">
        <v>24</v>
      </c>
      <c r="G61" s="1" t="s">
        <v>106</v>
      </c>
      <c r="H61" s="1">
        <f t="shared" si="34"/>
        <v>2025</v>
      </c>
      <c r="I61" s="38">
        <f>ROUND((SUM(H84:I89)/SUM(H69:I89)),2)</f>
        <v>0.13</v>
      </c>
      <c r="J61" s="205"/>
      <c r="K61" s="205"/>
      <c r="N61" s="1" t="s">
        <v>106</v>
      </c>
      <c r="O61" s="1">
        <f t="shared" si="36"/>
        <v>2025</v>
      </c>
      <c r="P61" s="38">
        <f t="shared" si="33"/>
        <v>0.13</v>
      </c>
      <c r="Q61" s="38">
        <f>ROUND((SUM(O84:P89)/SUM(O69:P89)),2)</f>
        <v>0.13</v>
      </c>
    </row>
    <row r="62" spans="1:17" x14ac:dyDescent="0.15">
      <c r="G62" s="1" t="s">
        <v>107</v>
      </c>
      <c r="H62" s="1">
        <f t="shared" si="34"/>
        <v>2030</v>
      </c>
      <c r="I62" s="38">
        <f>ROUND((SUM(H108:I113)/SUM(H93:I113)),2)</f>
        <v>0.14000000000000001</v>
      </c>
      <c r="J62" s="205"/>
      <c r="K62" s="205"/>
      <c r="N62" s="1" t="s">
        <v>107</v>
      </c>
      <c r="O62" s="1">
        <f t="shared" si="36"/>
        <v>2030</v>
      </c>
      <c r="P62" s="38">
        <f t="shared" si="33"/>
        <v>0.14000000000000001</v>
      </c>
      <c r="Q62" s="38">
        <f>ROUND((SUM(O108:P113)/SUM(O93:P113)),2)</f>
        <v>0.14000000000000001</v>
      </c>
    </row>
    <row r="63" spans="1:17" x14ac:dyDescent="0.15">
      <c r="A63" s="2" t="s">
        <v>384</v>
      </c>
      <c r="B63" s="315">
        <f>管理者入力シート!B6</f>
        <v>2015</v>
      </c>
      <c r="C63" s="316"/>
      <c r="D63" s="2" t="s">
        <v>114</v>
      </c>
      <c r="G63" s="1" t="s">
        <v>108</v>
      </c>
      <c r="H63" s="1">
        <f t="shared" si="34"/>
        <v>2035</v>
      </c>
      <c r="I63" s="38">
        <f>ROUND((SUM(H132:I137)/SUM(H117:I137)),2)</f>
        <v>0.15</v>
      </c>
      <c r="J63" s="205"/>
      <c r="K63" s="205"/>
      <c r="N63" s="1" t="s">
        <v>108</v>
      </c>
      <c r="O63" s="1">
        <f t="shared" si="36"/>
        <v>2035</v>
      </c>
      <c r="P63" s="38">
        <f t="shared" si="33"/>
        <v>0.15</v>
      </c>
      <c r="Q63" s="38">
        <f>ROUND((SUM(O132:P137)/SUM(O117:P137)),2)</f>
        <v>0.15</v>
      </c>
    </row>
    <row r="64" spans="1:17" x14ac:dyDescent="0.15">
      <c r="A64" s="2" t="s">
        <v>115</v>
      </c>
      <c r="B64" s="18" t="s">
        <v>21</v>
      </c>
      <c r="C64" s="18" t="s">
        <v>22</v>
      </c>
      <c r="G64" s="1" t="s">
        <v>109</v>
      </c>
      <c r="H64" s="1">
        <f t="shared" si="34"/>
        <v>2040</v>
      </c>
      <c r="I64" s="38">
        <f>ROUND((SUM(H156:I161)/SUM(H141:I161)),2)</f>
        <v>0.16</v>
      </c>
      <c r="J64" s="205"/>
      <c r="K64" s="205"/>
      <c r="N64" s="1" t="s">
        <v>109</v>
      </c>
      <c r="O64" s="1">
        <f t="shared" si="36"/>
        <v>2040</v>
      </c>
      <c r="P64" s="38">
        <f t="shared" si="33"/>
        <v>0.16</v>
      </c>
      <c r="Q64" s="38">
        <f>ROUND((SUM(O156:P161)/SUM(O141:P161)),2)</f>
        <v>0.16</v>
      </c>
    </row>
    <row r="65" spans="1:21" x14ac:dyDescent="0.15">
      <c r="A65" s="2" t="s">
        <v>0</v>
      </c>
      <c r="B65" s="17">
        <f>ROUND(VLOOKUP(B$63&amp;"_1",管理者用人口入力シート!A:X,D65,FALSE),0)</f>
        <v>434</v>
      </c>
      <c r="C65" s="17">
        <f>ROUND(VLOOKUP(B$63&amp;"_2",管理者用人口入力シート!A:X,D65,FALSE),0)</f>
        <v>510</v>
      </c>
      <c r="D65" s="2">
        <v>4</v>
      </c>
    </row>
    <row r="66" spans="1:21" x14ac:dyDescent="0.15">
      <c r="A66" s="2" t="s">
        <v>1</v>
      </c>
      <c r="B66" s="17">
        <f>ROUND(VLOOKUP(B$63&amp;"_1",管理者用人口入力シート!A:X,D66,FALSE),0)</f>
        <v>530</v>
      </c>
      <c r="C66" s="17">
        <f>ROUND(VLOOKUP(B$63&amp;"_2",管理者用人口入力シート!A:X,D66,FALSE),0)</f>
        <v>486</v>
      </c>
      <c r="D66" s="2">
        <v>5</v>
      </c>
      <c r="G66" s="69" t="s">
        <v>113</v>
      </c>
      <c r="N66" s="69" t="s">
        <v>113</v>
      </c>
    </row>
    <row r="67" spans="1:21" x14ac:dyDescent="0.15">
      <c r="A67" s="2" t="s">
        <v>2</v>
      </c>
      <c r="B67" s="17">
        <f>ROUND(VLOOKUP(B$63&amp;"_1",管理者用人口入力シート!A:X,D67,FALSE),0)</f>
        <v>463</v>
      </c>
      <c r="C67" s="17">
        <f>ROUND(VLOOKUP(B$63&amp;"_2",管理者用人口入力シート!A:X,D67,FALSE),0)</f>
        <v>453</v>
      </c>
      <c r="D67" s="2">
        <v>6</v>
      </c>
      <c r="G67" s="2" t="s">
        <v>106</v>
      </c>
      <c r="H67" s="315">
        <f>管理者入力シート!B8</f>
        <v>2025</v>
      </c>
      <c r="I67" s="316"/>
      <c r="J67" s="2" t="s">
        <v>114</v>
      </c>
      <c r="K67" s="209"/>
      <c r="O67" s="315">
        <f>管理者入力シート!B8</f>
        <v>2025</v>
      </c>
      <c r="P67" s="316"/>
      <c r="Q67" s="2" t="s">
        <v>114</v>
      </c>
    </row>
    <row r="68" spans="1:21" x14ac:dyDescent="0.15">
      <c r="A68" s="2" t="s">
        <v>3</v>
      </c>
      <c r="B68" s="17">
        <f>ROUND(VLOOKUP(B$63&amp;"_1",管理者用人口入力シート!A:X,D68,FALSE),0)</f>
        <v>452</v>
      </c>
      <c r="C68" s="17">
        <f>ROUND(VLOOKUP(B$63&amp;"_2",管理者用人口入力シート!A:X,D68,FALSE),0)</f>
        <v>495</v>
      </c>
      <c r="D68" s="2">
        <v>7</v>
      </c>
      <c r="G68" s="2" t="s">
        <v>115</v>
      </c>
      <c r="H68" s="18" t="s">
        <v>243</v>
      </c>
      <c r="I68" s="18" t="s">
        <v>244</v>
      </c>
      <c r="K68" s="209"/>
      <c r="N68" s="2" t="s">
        <v>115</v>
      </c>
      <c r="O68" s="18" t="s">
        <v>21</v>
      </c>
      <c r="P68" s="18" t="s">
        <v>22</v>
      </c>
    </row>
    <row r="69" spans="1:21" x14ac:dyDescent="0.15">
      <c r="A69" s="2" t="s">
        <v>4</v>
      </c>
      <c r="B69" s="17">
        <f>ROUND(VLOOKUP(B$63&amp;"_1",管理者用人口入力シート!A:X,D69,FALSE),0)</f>
        <v>572</v>
      </c>
      <c r="C69" s="17">
        <f>ROUND(VLOOKUP(B$63&amp;"_2",管理者用人口入力シート!A:X,D69,FALSE),0)</f>
        <v>499</v>
      </c>
      <c r="D69" s="2">
        <v>8</v>
      </c>
      <c r="G69" s="2" t="s">
        <v>0</v>
      </c>
      <c r="H69" s="17">
        <f>ROUND(VLOOKUP(H$67&amp;"_1",管理者用人口入力シート!BH:CE,J69,FALSE),0)</f>
        <v>395</v>
      </c>
      <c r="I69" s="17">
        <f>ROUND(VLOOKUP(H$67&amp;"_2",管理者用人口入力シート!BH:CE,J69,FALSE),0)</f>
        <v>394</v>
      </c>
      <c r="J69" s="2">
        <v>4</v>
      </c>
      <c r="K69" s="12"/>
      <c r="N69" s="2" t="s">
        <v>0</v>
      </c>
      <c r="O69" s="17">
        <f>ROUND(VLOOKUP(O$67&amp;"_1",管理者用人口入力シート!CO:DL,Q69,FALSE),0)</f>
        <v>396</v>
      </c>
      <c r="P69" s="17">
        <f>ROUND(VLOOKUP(O$67&amp;"_2",管理者用人口入力シート!CO:DL,Q69,FALSE),0)</f>
        <v>395</v>
      </c>
      <c r="Q69" s="2">
        <v>4</v>
      </c>
      <c r="U69" s="85"/>
    </row>
    <row r="70" spans="1:21" x14ac:dyDescent="0.15">
      <c r="A70" s="2" t="s">
        <v>5</v>
      </c>
      <c r="B70" s="17">
        <f>ROUND(VLOOKUP(B$63&amp;"_1",管理者用人口入力シート!A:X,D70,FALSE),0)</f>
        <v>520</v>
      </c>
      <c r="C70" s="17">
        <f>ROUND(VLOOKUP(B$63&amp;"_2",管理者用人口入力シート!A:X,D70,FALSE),0)</f>
        <v>618</v>
      </c>
      <c r="D70" s="2">
        <v>9</v>
      </c>
      <c r="G70" s="2" t="s">
        <v>1</v>
      </c>
      <c r="H70" s="17">
        <f>ROUND(VLOOKUP(H$67&amp;"_1",管理者用人口入力シート!BH:CE,J70,FALSE),0)</f>
        <v>379</v>
      </c>
      <c r="I70" s="17">
        <f>ROUND(VLOOKUP(H$67&amp;"_2",管理者用人口入力シート!BH:CE,J70,FALSE),0)</f>
        <v>385</v>
      </c>
      <c r="J70" s="2">
        <v>5</v>
      </c>
      <c r="K70" s="12"/>
      <c r="N70" s="2" t="s">
        <v>1</v>
      </c>
      <c r="O70" s="17">
        <f>ROUND(VLOOKUP(O$67&amp;"_1",管理者用人口入力シート!CO:DL,Q70,FALSE),0)</f>
        <v>379</v>
      </c>
      <c r="P70" s="17">
        <f>ROUND(VLOOKUP(O$67&amp;"_2",管理者用人口入力シート!CO:DL,Q70,FALSE),0)</f>
        <v>385</v>
      </c>
      <c r="Q70" s="2">
        <v>5</v>
      </c>
      <c r="U70" s="85"/>
    </row>
    <row r="71" spans="1:21" x14ac:dyDescent="0.15">
      <c r="A71" s="2" t="s">
        <v>6</v>
      </c>
      <c r="B71" s="17">
        <f>ROUND(VLOOKUP(B$63&amp;"_1",管理者用人口入力シート!A:X,D71,FALSE),0)</f>
        <v>596</v>
      </c>
      <c r="C71" s="17">
        <f>ROUND(VLOOKUP(B$63&amp;"_2",管理者用人口入力シート!A:X,D71,FALSE),0)</f>
        <v>607</v>
      </c>
      <c r="D71" s="2">
        <v>10</v>
      </c>
      <c r="G71" s="2" t="s">
        <v>2</v>
      </c>
      <c r="H71" s="17">
        <f>ROUND(VLOOKUP(H$67&amp;"_1",管理者用人口入力シート!BH:CE,J71,FALSE),0)</f>
        <v>421</v>
      </c>
      <c r="I71" s="17">
        <f>ROUND(VLOOKUP(H$67&amp;"_2",管理者用人口入力シート!BH:CE,J71,FALSE),0)</f>
        <v>493</v>
      </c>
      <c r="J71" s="2">
        <v>6</v>
      </c>
      <c r="K71" s="12"/>
      <c r="N71" s="2" t="s">
        <v>2</v>
      </c>
      <c r="O71" s="17">
        <f>ROUND(VLOOKUP(O$67&amp;"_1",管理者用人口入力シート!CO:DL,Q71,FALSE),0)</f>
        <v>422</v>
      </c>
      <c r="P71" s="17">
        <f>ROUND(VLOOKUP(O$67&amp;"_2",管理者用人口入力シート!CO:DL,Q71,FALSE),0)</f>
        <v>494</v>
      </c>
      <c r="Q71" s="2">
        <v>6</v>
      </c>
      <c r="U71" s="85"/>
    </row>
    <row r="72" spans="1:21" x14ac:dyDescent="0.15">
      <c r="A72" s="2" t="s">
        <v>7</v>
      </c>
      <c r="B72" s="17">
        <f>ROUND(VLOOKUP(B$63&amp;"_1",管理者用人口入力シート!A:X,D72,FALSE),0)</f>
        <v>624</v>
      </c>
      <c r="C72" s="17">
        <f>ROUND(VLOOKUP(B$63&amp;"_2",管理者用人口入力シート!A:X,D72,FALSE),0)</f>
        <v>641</v>
      </c>
      <c r="D72" s="2">
        <v>11</v>
      </c>
      <c r="G72" s="2" t="s">
        <v>3</v>
      </c>
      <c r="H72" s="17">
        <f>ROUND(VLOOKUP(H$67&amp;"_1",管理者用人口入力シート!BH:CE,J72,FALSE),0)</f>
        <v>532</v>
      </c>
      <c r="I72" s="17">
        <f>ROUND(VLOOKUP(H$67&amp;"_2",管理者用人口入力シート!BH:CE,J72,FALSE),0)</f>
        <v>566</v>
      </c>
      <c r="J72" s="2">
        <v>7</v>
      </c>
      <c r="K72" s="12"/>
      <c r="N72" s="2" t="s">
        <v>3</v>
      </c>
      <c r="O72" s="17">
        <f>ROUND(VLOOKUP(O$67&amp;"_1",管理者用人口入力シート!CO:DL,Q72,FALSE),0)</f>
        <v>532</v>
      </c>
      <c r="P72" s="17">
        <f>ROUND(VLOOKUP(O$67&amp;"_2",管理者用人口入力シート!CO:DL,Q72,FALSE),0)</f>
        <v>566</v>
      </c>
      <c r="Q72" s="2">
        <v>7</v>
      </c>
      <c r="U72" s="85"/>
    </row>
    <row r="73" spans="1:21" x14ac:dyDescent="0.15">
      <c r="A73" s="2" t="s">
        <v>8</v>
      </c>
      <c r="B73" s="17">
        <f>ROUND(VLOOKUP(B$63&amp;"_1",管理者用人口入力シート!A:X,D73,FALSE),0)</f>
        <v>659</v>
      </c>
      <c r="C73" s="17">
        <f>ROUND(VLOOKUP(B$63&amp;"_2",管理者用人口入力シート!A:X,D73,FALSE),0)</f>
        <v>733</v>
      </c>
      <c r="D73" s="2">
        <v>12</v>
      </c>
      <c r="G73" s="2" t="s">
        <v>4</v>
      </c>
      <c r="H73" s="17">
        <f>ROUND(VLOOKUP(H$67&amp;"_1",管理者用人口入力シート!BH:CE,J73,FALSE),0)</f>
        <v>449</v>
      </c>
      <c r="I73" s="17">
        <f>ROUND(VLOOKUP(H$67&amp;"_2",管理者用人口入力シート!BH:CE,J73,FALSE),0)</f>
        <v>519</v>
      </c>
      <c r="J73" s="2">
        <v>8</v>
      </c>
      <c r="K73" s="12"/>
      <c r="N73" s="2" t="s">
        <v>4</v>
      </c>
      <c r="O73" s="17">
        <f>ROUND(VLOOKUP(O$67&amp;"_1",管理者用人口入力シート!CO:DL,Q73,FALSE),0)</f>
        <v>449</v>
      </c>
      <c r="P73" s="17">
        <f>ROUND(VLOOKUP(O$67&amp;"_2",管理者用人口入力シート!CO:DL,Q73,FALSE),0)</f>
        <v>519</v>
      </c>
      <c r="Q73" s="2">
        <v>8</v>
      </c>
      <c r="U73" s="85"/>
    </row>
    <row r="74" spans="1:21" x14ac:dyDescent="0.15">
      <c r="A74" s="2" t="s">
        <v>9</v>
      </c>
      <c r="B74" s="17">
        <f>ROUND(VLOOKUP(B$63&amp;"_1",管理者用人口入力シート!A:X,D74,FALSE),0)</f>
        <v>556</v>
      </c>
      <c r="C74" s="17">
        <f>ROUND(VLOOKUP(B$63&amp;"_2",管理者用人口入力シート!A:X,D74,FALSE),0)</f>
        <v>628</v>
      </c>
      <c r="D74" s="2">
        <v>13</v>
      </c>
      <c r="G74" s="2" t="s">
        <v>5</v>
      </c>
      <c r="H74" s="17">
        <f>ROUND(VLOOKUP(H$67&amp;"_1",管理者用人口入力シート!BH:CE,J74,FALSE),0)</f>
        <v>408</v>
      </c>
      <c r="I74" s="17">
        <f>ROUND(VLOOKUP(H$67&amp;"_2",管理者用人口入力シート!BH:CE,J74,FALSE),0)</f>
        <v>559</v>
      </c>
      <c r="J74" s="2">
        <v>9</v>
      </c>
      <c r="K74" s="12"/>
      <c r="N74" s="2" t="s">
        <v>5</v>
      </c>
      <c r="O74" s="17">
        <f>ROUND(VLOOKUP(O$67&amp;"_1",管理者用人口入力シート!CO:DL,Q74,FALSE),0)</f>
        <v>410</v>
      </c>
      <c r="P74" s="17">
        <f>ROUND(VLOOKUP(O$67&amp;"_2",管理者用人口入力シート!CO:DL,Q74,FALSE),0)</f>
        <v>561</v>
      </c>
      <c r="Q74" s="2">
        <v>9</v>
      </c>
      <c r="U74" s="85"/>
    </row>
    <row r="75" spans="1:21" x14ac:dyDescent="0.15">
      <c r="A75" s="2" t="s">
        <v>10</v>
      </c>
      <c r="B75" s="17">
        <f>ROUND(VLOOKUP(B$63&amp;"_1",管理者用人口入力シート!A:X,D75,FALSE),0)</f>
        <v>563</v>
      </c>
      <c r="C75" s="17">
        <f>ROUND(VLOOKUP(B$63&amp;"_2",管理者用人口入力シート!A:X,D75,FALSE),0)</f>
        <v>614</v>
      </c>
      <c r="D75" s="2">
        <v>14</v>
      </c>
      <c r="G75" s="2" t="s">
        <v>6</v>
      </c>
      <c r="H75" s="17">
        <f>ROUND(VLOOKUP(H$67&amp;"_1",管理者用人口入力シート!BH:CE,J75,FALSE),0)</f>
        <v>521</v>
      </c>
      <c r="I75" s="17">
        <f>ROUND(VLOOKUP(H$67&amp;"_2",管理者用人口入力シート!BH:CE,J75,FALSE),0)</f>
        <v>519</v>
      </c>
      <c r="J75" s="2">
        <v>10</v>
      </c>
      <c r="K75" s="12"/>
      <c r="N75" s="2" t="s">
        <v>6</v>
      </c>
      <c r="O75" s="17">
        <f>ROUND(VLOOKUP(O$67&amp;"_1",管理者用人口入力シート!CO:DL,Q75,FALSE),0)</f>
        <v>521</v>
      </c>
      <c r="P75" s="17">
        <f>ROUND(VLOOKUP(O$67&amp;"_2",管理者用人口入力シート!CO:DL,Q75,FALSE),0)</f>
        <v>519</v>
      </c>
      <c r="Q75" s="2">
        <v>10</v>
      </c>
      <c r="U75" s="85"/>
    </row>
    <row r="76" spans="1:21" x14ac:dyDescent="0.15">
      <c r="A76" s="2" t="s">
        <v>11</v>
      </c>
      <c r="B76" s="17">
        <f>ROUND(VLOOKUP(B$63&amp;"_1",管理者用人口入力シート!A:X,D76,FALSE),0)</f>
        <v>600</v>
      </c>
      <c r="C76" s="17">
        <f>ROUND(VLOOKUP(B$63&amp;"_2",管理者用人口入力シート!A:X,D76,FALSE),0)</f>
        <v>610</v>
      </c>
      <c r="D76" s="2">
        <v>15</v>
      </c>
      <c r="G76" s="2" t="s">
        <v>7</v>
      </c>
      <c r="H76" s="17">
        <f>ROUND(VLOOKUP(H$67&amp;"_1",管理者用人口入力シート!BH:CE,J76,FALSE),0)</f>
        <v>536</v>
      </c>
      <c r="I76" s="17">
        <f>ROUND(VLOOKUP(H$67&amp;"_2",管理者用人口入力シート!BH:CE,J76,FALSE),0)</f>
        <v>572</v>
      </c>
      <c r="J76" s="2">
        <v>11</v>
      </c>
      <c r="K76" s="12"/>
      <c r="N76" s="2" t="s">
        <v>7</v>
      </c>
      <c r="O76" s="17">
        <f>ROUND(VLOOKUP(O$67&amp;"_1",管理者用人口入力シート!CO:DL,Q76,FALSE),0)</f>
        <v>536</v>
      </c>
      <c r="P76" s="17">
        <f>ROUND(VLOOKUP(O$67&amp;"_2",管理者用人口入力シート!CO:DL,Q76,FALSE),0)</f>
        <v>572</v>
      </c>
      <c r="Q76" s="2">
        <v>11</v>
      </c>
      <c r="U76" s="85"/>
    </row>
    <row r="77" spans="1:21" x14ac:dyDescent="0.15">
      <c r="A77" s="2" t="s">
        <v>12</v>
      </c>
      <c r="B77" s="17">
        <f>ROUND(VLOOKUP(B$63&amp;"_1",管理者用人口入力シート!A:X,D77,FALSE),0)</f>
        <v>564</v>
      </c>
      <c r="C77" s="17">
        <f>ROUND(VLOOKUP(B$63&amp;"_2",管理者用人口入力シート!A:X,D77,FALSE),0)</f>
        <v>630</v>
      </c>
      <c r="D77" s="2">
        <v>16</v>
      </c>
      <c r="G77" s="2" t="s">
        <v>8</v>
      </c>
      <c r="H77" s="17">
        <f>ROUND(VLOOKUP(H$67&amp;"_1",管理者用人口入力シート!BH:CE,J77,FALSE),0)</f>
        <v>595</v>
      </c>
      <c r="I77" s="17">
        <f>ROUND(VLOOKUP(H$67&amp;"_2",管理者用人口入力シート!BH:CE,J77,FALSE),0)</f>
        <v>596</v>
      </c>
      <c r="J77" s="2">
        <v>12</v>
      </c>
      <c r="K77" s="12"/>
      <c r="N77" s="2" t="s">
        <v>8</v>
      </c>
      <c r="O77" s="17">
        <f>ROUND(VLOOKUP(O$67&amp;"_1",管理者用人口入力シート!CO:DL,Q77,FALSE),0)</f>
        <v>595</v>
      </c>
      <c r="P77" s="17">
        <f>ROUND(VLOOKUP(O$67&amp;"_2",管理者用人口入力シート!CO:DL,Q77,FALSE),0)</f>
        <v>597</v>
      </c>
      <c r="Q77" s="2">
        <v>12</v>
      </c>
      <c r="U77" s="85"/>
    </row>
    <row r="78" spans="1:21" x14ac:dyDescent="0.15">
      <c r="A78" s="2" t="s">
        <v>13</v>
      </c>
      <c r="B78" s="17">
        <f>ROUND(VLOOKUP(B$63&amp;"_1",管理者用人口入力シート!A:X,D78,FALSE),0)</f>
        <v>602</v>
      </c>
      <c r="C78" s="17">
        <f>ROUND(VLOOKUP(B$63&amp;"_2",管理者用人口入力シート!A:X,D78,FALSE),0)</f>
        <v>629</v>
      </c>
      <c r="D78" s="2">
        <v>17</v>
      </c>
      <c r="G78" s="2" t="s">
        <v>9</v>
      </c>
      <c r="H78" s="17">
        <f>ROUND(VLOOKUP(H$67&amp;"_1",管理者用人口入力シート!BH:CE,J78,FALSE),0)</f>
        <v>623</v>
      </c>
      <c r="I78" s="17">
        <f>ROUND(VLOOKUP(H$67&amp;"_2",管理者用人口入力シート!BH:CE,J78,FALSE),0)</f>
        <v>663</v>
      </c>
      <c r="J78" s="2">
        <v>13</v>
      </c>
      <c r="K78" s="12"/>
      <c r="N78" s="2" t="s">
        <v>9</v>
      </c>
      <c r="O78" s="17">
        <f>ROUND(VLOOKUP(O$67&amp;"_1",管理者用人口入力シート!CO:DL,Q78,FALSE),0)</f>
        <v>623</v>
      </c>
      <c r="P78" s="17">
        <f>ROUND(VLOOKUP(O$67&amp;"_2",管理者用人口入力シート!CO:DL,Q78,FALSE),0)</f>
        <v>663</v>
      </c>
      <c r="Q78" s="2">
        <v>13</v>
      </c>
      <c r="U78" s="85"/>
    </row>
    <row r="79" spans="1:21" x14ac:dyDescent="0.15">
      <c r="A79" s="2" t="s">
        <v>14</v>
      </c>
      <c r="B79" s="17">
        <f>ROUND(VLOOKUP(B$63&amp;"_1",管理者用人口入力シート!A:X,D79,FALSE),0)</f>
        <v>392</v>
      </c>
      <c r="C79" s="17">
        <f>ROUND(VLOOKUP(B$63&amp;"_2",管理者用人口入力シート!A:X,D79,FALSE),0)</f>
        <v>475</v>
      </c>
      <c r="D79" s="2">
        <v>18</v>
      </c>
      <c r="G79" s="2" t="s">
        <v>10</v>
      </c>
      <c r="H79" s="17">
        <f>ROUND(VLOOKUP(H$67&amp;"_1",管理者用人口入力シート!BH:CE,J79,FALSE),0)</f>
        <v>694</v>
      </c>
      <c r="I79" s="17">
        <f>ROUND(VLOOKUP(H$67&amp;"_2",管理者用人口入力シート!BH:CE,J79,FALSE),0)</f>
        <v>727</v>
      </c>
      <c r="J79" s="2">
        <v>14</v>
      </c>
      <c r="K79" s="12"/>
      <c r="N79" s="2" t="s">
        <v>10</v>
      </c>
      <c r="O79" s="17">
        <f>ROUND(VLOOKUP(O$67&amp;"_1",管理者用人口入力シート!CO:DL,Q79,FALSE),0)</f>
        <v>694</v>
      </c>
      <c r="P79" s="17">
        <f>ROUND(VLOOKUP(O$67&amp;"_2",管理者用人口入力シート!CO:DL,Q79,FALSE),0)</f>
        <v>727</v>
      </c>
      <c r="Q79" s="2">
        <v>14</v>
      </c>
      <c r="U79" s="85"/>
    </row>
    <row r="80" spans="1:21" x14ac:dyDescent="0.15">
      <c r="A80" s="2" t="s">
        <v>15</v>
      </c>
      <c r="B80" s="17">
        <f>ROUND(VLOOKUP(B$63&amp;"_1",管理者用人口入力シート!A:X,D80,FALSE),0)</f>
        <v>349</v>
      </c>
      <c r="C80" s="17">
        <f>ROUND(VLOOKUP(B$63&amp;"_2",管理者用人口入力シート!A:X,D80,FALSE),0)</f>
        <v>413</v>
      </c>
      <c r="D80" s="2">
        <v>19</v>
      </c>
      <c r="G80" s="2" t="s">
        <v>11</v>
      </c>
      <c r="H80" s="17">
        <f>ROUND(VLOOKUP(H$67&amp;"_1",管理者用人口入力シート!BH:CE,J80,FALSE),0)</f>
        <v>537</v>
      </c>
      <c r="I80" s="17">
        <f>ROUND(VLOOKUP(H$67&amp;"_2",管理者用人口入力シート!BH:CE,J80,FALSE),0)</f>
        <v>602</v>
      </c>
      <c r="J80" s="2">
        <v>15</v>
      </c>
      <c r="K80" s="12"/>
      <c r="N80" s="2" t="s">
        <v>11</v>
      </c>
      <c r="O80" s="17">
        <f>ROUND(VLOOKUP(O$67&amp;"_1",管理者用人口入力シート!CO:DL,Q80,FALSE),0)</f>
        <v>537</v>
      </c>
      <c r="P80" s="17">
        <f>ROUND(VLOOKUP(O$67&amp;"_2",管理者用人口入力シート!CO:DL,Q80,FALSE),0)</f>
        <v>602</v>
      </c>
      <c r="Q80" s="2">
        <v>15</v>
      </c>
      <c r="U80" s="85"/>
    </row>
    <row r="81" spans="1:21" x14ac:dyDescent="0.15">
      <c r="A81" s="2" t="s">
        <v>16</v>
      </c>
      <c r="B81" s="17">
        <f>ROUND(VLOOKUP(B$63&amp;"_1",管理者用人口入力シート!A:X,D81,FALSE),0)</f>
        <v>240</v>
      </c>
      <c r="C81" s="17">
        <f>ROUND(VLOOKUP(B$63&amp;"_2",管理者用人口入力シート!A:X,D81,FALSE),0)</f>
        <v>428</v>
      </c>
      <c r="D81" s="2">
        <v>20</v>
      </c>
      <c r="G81" s="2" t="s">
        <v>12</v>
      </c>
      <c r="H81" s="17">
        <f>ROUND(VLOOKUP(H$67&amp;"_1",管理者用人口入力シート!BH:CE,J81,FALSE),0)</f>
        <v>553</v>
      </c>
      <c r="I81" s="17">
        <f>ROUND(VLOOKUP(H$67&amp;"_2",管理者用人口入力シート!BH:CE,J81,FALSE),0)</f>
        <v>606</v>
      </c>
      <c r="J81" s="2">
        <v>16</v>
      </c>
      <c r="K81" s="12"/>
      <c r="N81" s="2" t="s">
        <v>12</v>
      </c>
      <c r="O81" s="17">
        <f>ROUND(VLOOKUP(O$67&amp;"_1",管理者用人口入力シート!CO:DL,Q81,FALSE),0)</f>
        <v>553</v>
      </c>
      <c r="P81" s="17">
        <f>ROUND(VLOOKUP(O$67&amp;"_2",管理者用人口入力シート!CO:DL,Q81,FALSE),0)</f>
        <v>606</v>
      </c>
      <c r="Q81" s="2">
        <v>16</v>
      </c>
      <c r="U81" s="85"/>
    </row>
    <row r="82" spans="1:21" x14ac:dyDescent="0.15">
      <c r="A82" s="2" t="s">
        <v>17</v>
      </c>
      <c r="B82" s="17">
        <f>ROUND(VLOOKUP(B$63&amp;"_1",管理者用人口入力シート!A:X,D82,FALSE),0)</f>
        <v>152</v>
      </c>
      <c r="C82" s="17">
        <f>ROUND(VLOOKUP(B$63&amp;"_2",管理者用人口入力シート!A:X,D82,FALSE),0)</f>
        <v>287</v>
      </c>
      <c r="D82" s="2">
        <v>21</v>
      </c>
      <c r="G82" s="2" t="s">
        <v>13</v>
      </c>
      <c r="H82" s="17">
        <f>ROUND(VLOOKUP(H$67&amp;"_1",管理者用人口入力シート!BH:CE,J82,FALSE),0)</f>
        <v>593</v>
      </c>
      <c r="I82" s="17">
        <f>ROUND(VLOOKUP(H$67&amp;"_2",管理者用人口入力シート!BH:CE,J82,FALSE),0)</f>
        <v>612</v>
      </c>
      <c r="J82" s="2">
        <v>17</v>
      </c>
      <c r="K82" s="12"/>
      <c r="N82" s="2" t="s">
        <v>13</v>
      </c>
      <c r="O82" s="17">
        <f>ROUND(VLOOKUP(O$67&amp;"_1",管理者用人口入力シート!CO:DL,Q82,FALSE),0)</f>
        <v>593</v>
      </c>
      <c r="P82" s="17">
        <f>ROUND(VLOOKUP(O$67&amp;"_2",管理者用人口入力シート!CO:DL,Q82,FALSE),0)</f>
        <v>612</v>
      </c>
      <c r="Q82" s="2">
        <v>17</v>
      </c>
      <c r="U82" s="85"/>
    </row>
    <row r="83" spans="1:21" x14ac:dyDescent="0.15">
      <c r="A83" s="2" t="s">
        <v>18</v>
      </c>
      <c r="B83" s="17">
        <f>ROUND(VLOOKUP(B$63&amp;"_1",管理者用人口入力シート!A:X,D83,FALSE),0)</f>
        <v>36</v>
      </c>
      <c r="C83" s="17">
        <f>ROUND(VLOOKUP(B$63&amp;"_2",管理者用人口入力シート!A:X,D83,FALSE),0)</f>
        <v>129</v>
      </c>
      <c r="D83" s="2">
        <v>22</v>
      </c>
      <c r="G83" s="2" t="s">
        <v>14</v>
      </c>
      <c r="H83" s="17">
        <f>ROUND(VLOOKUP(H$67&amp;"_1",管理者用人口入力シート!BH:CE,J83,FALSE),0)</f>
        <v>507</v>
      </c>
      <c r="I83" s="17">
        <f>ROUND(VLOOKUP(H$67&amp;"_2",管理者用人口入力シート!BH:CE,J83,FALSE),0)</f>
        <v>574</v>
      </c>
      <c r="J83" s="2">
        <v>18</v>
      </c>
      <c r="K83" s="12"/>
      <c r="N83" s="2" t="s">
        <v>14</v>
      </c>
      <c r="O83" s="17">
        <f>ROUND(VLOOKUP(O$67&amp;"_1",管理者用人口入力シート!CO:DL,Q83,FALSE),0)</f>
        <v>507</v>
      </c>
      <c r="P83" s="17">
        <f>ROUND(VLOOKUP(O$67&amp;"_2",管理者用人口入力シート!CO:DL,Q83,FALSE),0)</f>
        <v>574</v>
      </c>
      <c r="Q83" s="2">
        <v>18</v>
      </c>
      <c r="U83" s="85"/>
    </row>
    <row r="84" spans="1:21" x14ac:dyDescent="0.15">
      <c r="A84" s="2" t="s">
        <v>19</v>
      </c>
      <c r="B84" s="17">
        <f>ROUND(VLOOKUP(B$63&amp;"_1",管理者用人口入力シート!A:X,D84,FALSE),0)</f>
        <v>4</v>
      </c>
      <c r="C84" s="17">
        <f>ROUND(VLOOKUP(B$63&amp;"_2",管理者用人口入力シート!A:X,D84,FALSE),0)</f>
        <v>38</v>
      </c>
      <c r="D84" s="2">
        <v>23</v>
      </c>
      <c r="G84" s="2" t="s">
        <v>15</v>
      </c>
      <c r="H84" s="17">
        <f>ROUND(VLOOKUP(H$67&amp;"_1",管理者用人口入力シート!BH:CE,J84,FALSE),0)</f>
        <v>468</v>
      </c>
      <c r="I84" s="17">
        <f>ROUND(VLOOKUP(H$67&amp;"_2",管理者用人口入力シート!BH:CE,J84,FALSE),0)</f>
        <v>576</v>
      </c>
      <c r="J84" s="2">
        <v>19</v>
      </c>
      <c r="K84" s="12"/>
      <c r="N84" s="2" t="s">
        <v>15</v>
      </c>
      <c r="O84" s="17">
        <f>ROUND(VLOOKUP(O$67&amp;"_1",管理者用人口入力シート!CO:DL,Q84,FALSE),0)</f>
        <v>468</v>
      </c>
      <c r="P84" s="17">
        <f>ROUND(VLOOKUP(O$67&amp;"_2",管理者用人口入力シート!CO:DL,Q84,FALSE),0)</f>
        <v>576</v>
      </c>
      <c r="Q84" s="2">
        <v>19</v>
      </c>
      <c r="U84" s="85"/>
    </row>
    <row r="85" spans="1:21" x14ac:dyDescent="0.15">
      <c r="A85" s="2" t="s">
        <v>20</v>
      </c>
      <c r="B85" s="17">
        <f>ROUND(VLOOKUP(B$63&amp;"_1",管理者用人口入力シート!A:X,D85,FALSE),0)</f>
        <v>1</v>
      </c>
      <c r="C85" s="17">
        <f>ROUND(VLOOKUP(B$63&amp;"_2",管理者用人口入力シート!A:X,D85,FALSE),0)</f>
        <v>8</v>
      </c>
      <c r="D85" s="2">
        <v>24</v>
      </c>
      <c r="G85" s="2" t="s">
        <v>16</v>
      </c>
      <c r="H85" s="17">
        <f>ROUND(VLOOKUP(H$67&amp;"_1",管理者用人口入力シート!BH:CE,J85,FALSE),0)</f>
        <v>261</v>
      </c>
      <c r="I85" s="17">
        <f>ROUND(VLOOKUP(H$67&amp;"_2",管理者用人口入力シート!BH:CE,J85,FALSE),0)</f>
        <v>424</v>
      </c>
      <c r="J85" s="2">
        <v>20</v>
      </c>
      <c r="K85" s="12"/>
      <c r="N85" s="2" t="s">
        <v>16</v>
      </c>
      <c r="O85" s="17">
        <f>ROUND(VLOOKUP(O$67&amp;"_1",管理者用人口入力シート!CO:DL,Q85,FALSE),0)</f>
        <v>261</v>
      </c>
      <c r="P85" s="17">
        <f>ROUND(VLOOKUP(O$67&amp;"_2",管理者用人口入力シート!CO:DL,Q85,FALSE),0)</f>
        <v>424</v>
      </c>
      <c r="Q85" s="2">
        <v>20</v>
      </c>
      <c r="U85" s="85"/>
    </row>
    <row r="86" spans="1:21" x14ac:dyDescent="0.15">
      <c r="G86" s="2" t="s">
        <v>17</v>
      </c>
      <c r="H86" s="17">
        <f>ROUND(VLOOKUP(H$67&amp;"_1",管理者用人口入力シート!BH:CE,J86,FALSE),0)</f>
        <v>169</v>
      </c>
      <c r="I86" s="17">
        <f>ROUND(VLOOKUP(H$67&amp;"_2",管理者用人口入力シート!BH:CE,J86,FALSE),0)</f>
        <v>285</v>
      </c>
      <c r="J86" s="2">
        <v>21</v>
      </c>
      <c r="K86" s="12"/>
      <c r="N86" s="2" t="s">
        <v>17</v>
      </c>
      <c r="O86" s="17">
        <f>ROUND(VLOOKUP(O$67&amp;"_1",管理者用人口入力シート!CO:DL,Q86,FALSE),0)</f>
        <v>169</v>
      </c>
      <c r="P86" s="17">
        <f>ROUND(VLOOKUP(O$67&amp;"_2",管理者用人口入力シート!CO:DL,Q86,FALSE),0)</f>
        <v>285</v>
      </c>
      <c r="Q86" s="2">
        <v>21</v>
      </c>
      <c r="U86" s="85"/>
    </row>
    <row r="87" spans="1:21" x14ac:dyDescent="0.15">
      <c r="A87" s="2" t="s">
        <v>62</v>
      </c>
      <c r="B87" s="315">
        <f>管理者入力シート!B5</f>
        <v>2020</v>
      </c>
      <c r="C87" s="316"/>
      <c r="D87" s="2" t="s">
        <v>114</v>
      </c>
      <c r="G87" s="2" t="s">
        <v>18</v>
      </c>
      <c r="H87" s="17">
        <f>ROUND(VLOOKUP(H$67&amp;"_1",管理者用人口入力シート!BH:CE,J87,FALSE),0)</f>
        <v>66</v>
      </c>
      <c r="I87" s="17">
        <f>ROUND(VLOOKUP(H$67&amp;"_2",管理者用人口入力シート!BH:CE,J87,FALSE),0)</f>
        <v>181</v>
      </c>
      <c r="J87" s="2">
        <v>22</v>
      </c>
      <c r="K87" s="12"/>
      <c r="N87" s="2" t="s">
        <v>18</v>
      </c>
      <c r="O87" s="17">
        <f>ROUND(VLOOKUP(O$67&amp;"_1",管理者用人口入力シート!CO:DL,Q87,FALSE),0)</f>
        <v>66</v>
      </c>
      <c r="P87" s="17">
        <f>ROUND(VLOOKUP(O$67&amp;"_2",管理者用人口入力シート!CO:DL,Q87,FALSE),0)</f>
        <v>181</v>
      </c>
      <c r="Q87" s="2">
        <v>22</v>
      </c>
      <c r="U87" s="85"/>
    </row>
    <row r="88" spans="1:21" x14ac:dyDescent="0.15">
      <c r="A88" s="2" t="s">
        <v>115</v>
      </c>
      <c r="B88" s="18" t="s">
        <v>21</v>
      </c>
      <c r="C88" s="18" t="s">
        <v>22</v>
      </c>
      <c r="G88" s="2" t="s">
        <v>19</v>
      </c>
      <c r="H88" s="17">
        <f>ROUND(VLOOKUP(H$67&amp;"_1",管理者用人口入力シート!BH:CE,J88,FALSE),0)</f>
        <v>9</v>
      </c>
      <c r="I88" s="17">
        <f>ROUND(VLOOKUP(H$67&amp;"_2",管理者用人口入力シート!BH:CE,J88,FALSE),0)</f>
        <v>60</v>
      </c>
      <c r="J88" s="2">
        <v>23</v>
      </c>
      <c r="K88" s="12"/>
      <c r="N88" s="2" t="s">
        <v>19</v>
      </c>
      <c r="O88" s="17">
        <f>ROUND(VLOOKUP(O$67&amp;"_1",管理者用人口入力シート!CO:DL,Q88,FALSE),0)</f>
        <v>9</v>
      </c>
      <c r="P88" s="17">
        <f>ROUND(VLOOKUP(O$67&amp;"_2",管理者用人口入力シート!CO:DL,Q88,FALSE),0)</f>
        <v>60</v>
      </c>
      <c r="Q88" s="2">
        <v>23</v>
      </c>
      <c r="U88" s="85"/>
    </row>
    <row r="89" spans="1:21" x14ac:dyDescent="0.15">
      <c r="A89" s="2" t="s">
        <v>0</v>
      </c>
      <c r="B89" s="17">
        <f>ROUND(VLOOKUP(B$87&amp;"_1",管理者用人口入力シート!A:X,D89,FALSE),0)</f>
        <v>409</v>
      </c>
      <c r="C89" s="17">
        <f>ROUND(VLOOKUP(B$87&amp;"_2",管理者用人口入力シート!A:X,D89,FALSE),0)</f>
        <v>407</v>
      </c>
      <c r="D89" s="2">
        <v>4</v>
      </c>
      <c r="G89" s="2" t="s">
        <v>20</v>
      </c>
      <c r="H89" s="17">
        <f>ROUND(VLOOKUP(H$67&amp;"_1",管理者用人口入力シート!BH:CE,J89,FALSE),0)</f>
        <v>0</v>
      </c>
      <c r="I89" s="17">
        <f>ROUND(VLOOKUP(H$67&amp;"_2",管理者用人口入力シート!BH:CE,J89,FALSE),0)</f>
        <v>10</v>
      </c>
      <c r="J89" s="2">
        <v>24</v>
      </c>
      <c r="K89" s="12"/>
      <c r="N89" s="2" t="s">
        <v>20</v>
      </c>
      <c r="O89" s="17">
        <f>ROUND(VLOOKUP(O$67&amp;"_1",管理者用人口入力シート!CO:DL,Q89,FALSE),0)</f>
        <v>0</v>
      </c>
      <c r="P89" s="17">
        <f>ROUND(VLOOKUP(O$67&amp;"_2",管理者用人口入力シート!CO:DL,Q89,FALSE),0)</f>
        <v>10</v>
      </c>
      <c r="Q89" s="2">
        <v>24</v>
      </c>
      <c r="U89" s="85"/>
    </row>
    <row r="90" spans="1:21" x14ac:dyDescent="0.15">
      <c r="A90" s="2" t="s">
        <v>1</v>
      </c>
      <c r="B90" s="17">
        <f>ROUND(VLOOKUP(B$87&amp;"_1",管理者用人口入力シート!A:X,D90,FALSE),0)</f>
        <v>430</v>
      </c>
      <c r="C90" s="17">
        <f>ROUND(VLOOKUP(B$87&amp;"_2",管理者用人口入力シート!A:X,D90,FALSE),0)</f>
        <v>494</v>
      </c>
      <c r="D90" s="2">
        <v>5</v>
      </c>
    </row>
    <row r="91" spans="1:21" x14ac:dyDescent="0.15">
      <c r="A91" s="2" t="s">
        <v>2</v>
      </c>
      <c r="B91" s="17">
        <f>ROUND(VLOOKUP(B$87&amp;"_1",管理者用人口入力シート!A:X,D91,FALSE),0)</f>
        <v>537</v>
      </c>
      <c r="C91" s="17">
        <f>ROUND(VLOOKUP(B$87&amp;"_2",管理者用人口入力シート!A:X,D91,FALSE),0)</f>
        <v>511</v>
      </c>
      <c r="D91" s="2">
        <v>6</v>
      </c>
      <c r="G91" s="2" t="s">
        <v>107</v>
      </c>
      <c r="H91" s="315">
        <f>管理者入力シート!B9</f>
        <v>2030</v>
      </c>
      <c r="I91" s="316"/>
      <c r="J91" s="2" t="s">
        <v>114</v>
      </c>
      <c r="K91" s="209"/>
      <c r="O91" s="315">
        <f>管理者入力シート!B9</f>
        <v>2030</v>
      </c>
      <c r="P91" s="316"/>
      <c r="Q91" s="2" t="s">
        <v>114</v>
      </c>
    </row>
    <row r="92" spans="1:21" x14ac:dyDescent="0.15">
      <c r="A92" s="2" t="s">
        <v>3</v>
      </c>
      <c r="B92" s="17">
        <f>ROUND(VLOOKUP(B$87&amp;"_1",管理者用人口入力シート!A:X,D92,FALSE),0)</f>
        <v>456</v>
      </c>
      <c r="C92" s="17">
        <f>ROUND(VLOOKUP(B$87&amp;"_2",管理者用人口入力シート!A:X,D92,FALSE),0)</f>
        <v>496</v>
      </c>
      <c r="D92" s="2">
        <v>7</v>
      </c>
      <c r="G92" s="2" t="s">
        <v>115</v>
      </c>
      <c r="H92" s="18" t="s">
        <v>243</v>
      </c>
      <c r="I92" s="18" t="s">
        <v>244</v>
      </c>
      <c r="K92" s="209"/>
      <c r="N92" s="2" t="s">
        <v>115</v>
      </c>
      <c r="O92" s="18" t="s">
        <v>21</v>
      </c>
      <c r="P92" s="18" t="s">
        <v>22</v>
      </c>
    </row>
    <row r="93" spans="1:21" x14ac:dyDescent="0.15">
      <c r="A93" s="2" t="s">
        <v>4</v>
      </c>
      <c r="B93" s="17">
        <f>ROUND(VLOOKUP(B$87&amp;"_1",管理者用人口入力シート!A:X,D93,FALSE),0)</f>
        <v>409</v>
      </c>
      <c r="C93" s="17">
        <f>ROUND(VLOOKUP(B$87&amp;"_2",管理者用人口入力シート!A:X,D93,FALSE),0)</f>
        <v>516</v>
      </c>
      <c r="D93" s="2">
        <v>8</v>
      </c>
      <c r="G93" s="2" t="s">
        <v>0</v>
      </c>
      <c r="H93" s="17">
        <f>ROUND(VLOOKUP(H$91&amp;"_1",管理者用人口入力シート!BH:CE,J93,FALSE),0)</f>
        <v>399</v>
      </c>
      <c r="I93" s="17">
        <f>ROUND(VLOOKUP(H$91&amp;"_2",管理者用人口入力シート!BH:CE,J93,FALSE),0)</f>
        <v>397</v>
      </c>
      <c r="J93" s="2">
        <v>4</v>
      </c>
      <c r="K93" s="12"/>
      <c r="N93" s="2" t="s">
        <v>0</v>
      </c>
      <c r="O93" s="17">
        <f>ROUND(VLOOKUP(O$91&amp;"_1",管理者用人口入力シート!CO:DL,Q93,FALSE),0)</f>
        <v>401</v>
      </c>
      <c r="P93" s="17">
        <f>ROUND(VLOOKUP(O$91&amp;"_2",管理者用人口入力シート!CO:DL,Q93,FALSE),0)</f>
        <v>399</v>
      </c>
      <c r="Q93" s="2">
        <v>4</v>
      </c>
      <c r="T93" s="85"/>
    </row>
    <row r="94" spans="1:21" x14ac:dyDescent="0.15">
      <c r="A94" s="2" t="s">
        <v>5</v>
      </c>
      <c r="B94" s="17">
        <f>ROUND(VLOOKUP(B$87&amp;"_1",管理者用人口入力シート!A:X,D94,FALSE),0)</f>
        <v>518</v>
      </c>
      <c r="C94" s="17">
        <f>ROUND(VLOOKUP(B$87&amp;"_2",管理者用人口入力シート!A:X,D94,FALSE),0)</f>
        <v>555</v>
      </c>
      <c r="D94" s="2">
        <v>9</v>
      </c>
      <c r="G94" s="2" t="s">
        <v>1</v>
      </c>
      <c r="H94" s="17">
        <f>ROUND(VLOOKUP(H$91&amp;"_1",管理者用人口入力シート!BH:CE,J94,FALSE),0)</f>
        <v>366</v>
      </c>
      <c r="I94" s="17">
        <f>ROUND(VLOOKUP(H$91&amp;"_2",管理者用人口入力シート!BH:CE,J94,FALSE),0)</f>
        <v>372</v>
      </c>
      <c r="J94" s="2">
        <v>5</v>
      </c>
      <c r="K94" s="12"/>
      <c r="N94" s="2" t="s">
        <v>1</v>
      </c>
      <c r="O94" s="17">
        <f>ROUND(VLOOKUP(O$91&amp;"_1",管理者用人口入力シート!CO:DL,Q94,FALSE),0)</f>
        <v>367</v>
      </c>
      <c r="P94" s="17">
        <f>ROUND(VLOOKUP(O$91&amp;"_2",管理者用人口入力シート!CO:DL,Q94,FALSE),0)</f>
        <v>373</v>
      </c>
      <c r="Q94" s="2">
        <v>5</v>
      </c>
      <c r="T94" s="85"/>
    </row>
    <row r="95" spans="1:21" x14ac:dyDescent="0.15">
      <c r="A95" s="2" t="s">
        <v>6</v>
      </c>
      <c r="B95" s="17">
        <f>ROUND(VLOOKUP(B$87&amp;"_1",管理者用人口入力シート!A:X,D95,FALSE),0)</f>
        <v>544</v>
      </c>
      <c r="C95" s="17">
        <f>ROUND(VLOOKUP(B$87&amp;"_2",管理者用人口入力シート!A:X,D95,FALSE),0)</f>
        <v>579</v>
      </c>
      <c r="D95" s="2">
        <v>10</v>
      </c>
      <c r="G95" s="2" t="s">
        <v>2</v>
      </c>
      <c r="H95" s="17">
        <f>ROUND(VLOOKUP(H$91&amp;"_1",管理者用人口入力シート!BH:CE,J95,FALSE),0)</f>
        <v>371</v>
      </c>
      <c r="I95" s="17">
        <f>ROUND(VLOOKUP(H$91&amp;"_2",管理者用人口入力シート!BH:CE,J95,FALSE),0)</f>
        <v>384</v>
      </c>
      <c r="J95" s="2">
        <v>6</v>
      </c>
      <c r="K95" s="12"/>
      <c r="N95" s="2" t="s">
        <v>2</v>
      </c>
      <c r="O95" s="17">
        <f>ROUND(VLOOKUP(O$91&amp;"_1",管理者用人口入力シート!CO:DL,Q95,FALSE),0)</f>
        <v>372</v>
      </c>
      <c r="P95" s="17">
        <f>ROUND(VLOOKUP(O$91&amp;"_2",管理者用人口入力シート!CO:DL,Q95,FALSE),0)</f>
        <v>385</v>
      </c>
      <c r="Q95" s="2">
        <v>6</v>
      </c>
      <c r="T95" s="85"/>
    </row>
    <row r="96" spans="1:21" x14ac:dyDescent="0.15">
      <c r="A96" s="2" t="s">
        <v>7</v>
      </c>
      <c r="B96" s="17">
        <f>ROUND(VLOOKUP(B$87&amp;"_1",管理者用人口入力シート!A:X,D96,FALSE),0)</f>
        <v>601</v>
      </c>
      <c r="C96" s="17">
        <f>ROUND(VLOOKUP(B$87&amp;"_2",管理者用人口入力シート!A:X,D96,FALSE),0)</f>
        <v>595</v>
      </c>
      <c r="D96" s="2">
        <v>11</v>
      </c>
      <c r="G96" s="2" t="s">
        <v>3</v>
      </c>
      <c r="H96" s="17">
        <f>ROUND(VLOOKUP(H$91&amp;"_1",管理者用人口入力シート!BH:CE,J96,FALSE),0)</f>
        <v>417</v>
      </c>
      <c r="I96" s="17">
        <f>ROUND(VLOOKUP(H$91&amp;"_2",管理者用人口入力シート!BH:CE,J96,FALSE),0)</f>
        <v>547</v>
      </c>
      <c r="J96" s="2">
        <v>7</v>
      </c>
      <c r="K96" s="12"/>
      <c r="N96" s="2" t="s">
        <v>3</v>
      </c>
      <c r="O96" s="17">
        <f>ROUND(VLOOKUP(O$91&amp;"_1",管理者用人口入力シート!CO:DL,Q96,FALSE),0)</f>
        <v>418</v>
      </c>
      <c r="P96" s="17">
        <f>ROUND(VLOOKUP(O$91&amp;"_2",管理者用人口入力シート!CO:DL,Q96,FALSE),0)</f>
        <v>548</v>
      </c>
      <c r="Q96" s="2">
        <v>7</v>
      </c>
      <c r="T96" s="85"/>
    </row>
    <row r="97" spans="1:20" x14ac:dyDescent="0.15">
      <c r="A97" s="2" t="s">
        <v>8</v>
      </c>
      <c r="B97" s="17">
        <f>ROUND(VLOOKUP(B$87&amp;"_1",管理者用人口入力シート!A:X,D97,FALSE),0)</f>
        <v>618</v>
      </c>
      <c r="C97" s="17">
        <f>ROUND(VLOOKUP(B$87&amp;"_2",管理者用人口入力シート!A:X,D97,FALSE),0)</f>
        <v>656</v>
      </c>
      <c r="D97" s="2">
        <v>12</v>
      </c>
      <c r="G97" s="2" t="s">
        <v>4</v>
      </c>
      <c r="H97" s="17">
        <f>ROUND(VLOOKUP(H$91&amp;"_1",管理者用人口入力シート!BH:CE,J97,FALSE),0)</f>
        <v>524</v>
      </c>
      <c r="I97" s="17">
        <f>ROUND(VLOOKUP(H$91&amp;"_2",管理者用人口入力シート!BH:CE,J97,FALSE),0)</f>
        <v>592</v>
      </c>
      <c r="J97" s="2">
        <v>8</v>
      </c>
      <c r="K97" s="12"/>
      <c r="N97" s="2" t="s">
        <v>4</v>
      </c>
      <c r="O97" s="17">
        <f>ROUND(VLOOKUP(O$91&amp;"_1",管理者用人口入力シート!CO:DL,Q97,FALSE),0)</f>
        <v>524</v>
      </c>
      <c r="P97" s="17">
        <f>ROUND(VLOOKUP(O$91&amp;"_2",管理者用人口入力シート!CO:DL,Q97,FALSE),0)</f>
        <v>592</v>
      </c>
      <c r="Q97" s="2">
        <v>8</v>
      </c>
      <c r="T97" s="85"/>
    </row>
    <row r="98" spans="1:20" x14ac:dyDescent="0.15">
      <c r="A98" s="2" t="s">
        <v>9</v>
      </c>
      <c r="B98" s="17">
        <f>ROUND(VLOOKUP(B$87&amp;"_1",管理者用人口入力シート!A:X,D98,FALSE),0)</f>
        <v>712</v>
      </c>
      <c r="C98" s="17">
        <f>ROUND(VLOOKUP(B$87&amp;"_2",管理者用人口入力シート!A:X,D98,FALSE),0)</f>
        <v>733</v>
      </c>
      <c r="D98" s="2">
        <v>13</v>
      </c>
      <c r="G98" s="2" t="s">
        <v>5</v>
      </c>
      <c r="H98" s="17">
        <f>ROUND(VLOOKUP(H$91&amp;"_1",管理者用人口入力シート!BH:CE,J98,FALSE),0)</f>
        <v>448</v>
      </c>
      <c r="I98" s="17">
        <f>ROUND(VLOOKUP(H$91&amp;"_2",管理者用人口入力シート!BH:CE,J98,FALSE),0)</f>
        <v>563</v>
      </c>
      <c r="J98" s="2">
        <v>9</v>
      </c>
      <c r="K98" s="12"/>
      <c r="N98" s="2" t="s">
        <v>5</v>
      </c>
      <c r="O98" s="17">
        <f>ROUND(VLOOKUP(O$91&amp;"_1",管理者用人口入力シート!CO:DL,Q98,FALSE),0)</f>
        <v>450</v>
      </c>
      <c r="P98" s="17">
        <f>ROUND(VLOOKUP(O$91&amp;"_2",管理者用人口入力シート!CO:DL,Q98,FALSE),0)</f>
        <v>565</v>
      </c>
      <c r="Q98" s="2">
        <v>9</v>
      </c>
      <c r="T98" s="85"/>
    </row>
    <row r="99" spans="1:20" x14ac:dyDescent="0.15">
      <c r="A99" s="2" t="s">
        <v>10</v>
      </c>
      <c r="B99" s="17">
        <f>ROUND(VLOOKUP(B$87&amp;"_1",管理者用人口入力シート!A:X,D99,FALSE),0)</f>
        <v>553</v>
      </c>
      <c r="C99" s="17">
        <f>ROUND(VLOOKUP(B$87&amp;"_2",管理者用人口入力シート!A:X,D99,FALSE),0)</f>
        <v>620</v>
      </c>
      <c r="D99" s="2">
        <v>14</v>
      </c>
      <c r="G99" s="2" t="s">
        <v>6</v>
      </c>
      <c r="H99" s="17">
        <f>ROUND(VLOOKUP(H$91&amp;"_1",管理者用人口入力シート!BH:CE,J99,FALSE),0)</f>
        <v>410</v>
      </c>
      <c r="I99" s="17">
        <f>ROUND(VLOOKUP(H$91&amp;"_2",管理者用人口入力シート!BH:CE,J99,FALSE),0)</f>
        <v>523</v>
      </c>
      <c r="J99" s="2">
        <v>10</v>
      </c>
      <c r="K99" s="12"/>
      <c r="N99" s="2" t="s">
        <v>6</v>
      </c>
      <c r="O99" s="17">
        <f>ROUND(VLOOKUP(O$91&amp;"_1",管理者用人口入力シート!CO:DL,Q99,FALSE),0)</f>
        <v>412</v>
      </c>
      <c r="P99" s="17">
        <f>ROUND(VLOOKUP(O$91&amp;"_2",管理者用人口入力シート!CO:DL,Q99,FALSE),0)</f>
        <v>525</v>
      </c>
      <c r="Q99" s="2">
        <v>10</v>
      </c>
      <c r="T99" s="85"/>
    </row>
    <row r="100" spans="1:20" x14ac:dyDescent="0.15">
      <c r="A100" s="2" t="s">
        <v>11</v>
      </c>
      <c r="B100" s="17">
        <f>ROUND(VLOOKUP(B$87&amp;"_1",管理者用人口入力シート!A:X,D100,FALSE),0)</f>
        <v>561</v>
      </c>
      <c r="C100" s="17">
        <f>ROUND(VLOOKUP(B$87&amp;"_2",管理者用人口入力シート!A:X,D100,FALSE),0)</f>
        <v>598</v>
      </c>
      <c r="D100" s="2">
        <v>15</v>
      </c>
      <c r="G100" s="2" t="s">
        <v>7</v>
      </c>
      <c r="H100" s="17">
        <f>ROUND(VLOOKUP(H$91&amp;"_1",管理者用人口入力シート!BH:CE,J100,FALSE),0)</f>
        <v>513</v>
      </c>
      <c r="I100" s="17">
        <f>ROUND(VLOOKUP(H$91&amp;"_2",管理者用人口入力シート!BH:CE,J100,FALSE),0)</f>
        <v>512</v>
      </c>
      <c r="J100" s="2">
        <v>11</v>
      </c>
      <c r="K100" s="12"/>
      <c r="N100" s="2" t="s">
        <v>7</v>
      </c>
      <c r="O100" s="17">
        <f>ROUND(VLOOKUP(O$91&amp;"_1",管理者用人口入力シート!CO:DL,Q100,FALSE),0)</f>
        <v>513</v>
      </c>
      <c r="P100" s="17">
        <f>ROUND(VLOOKUP(O$91&amp;"_2",管理者用人口入力シート!CO:DL,Q100,FALSE),0)</f>
        <v>512</v>
      </c>
      <c r="Q100" s="2">
        <v>11</v>
      </c>
      <c r="T100" s="85"/>
    </row>
    <row r="101" spans="1:20" x14ac:dyDescent="0.15">
      <c r="A101" s="2" t="s">
        <v>12</v>
      </c>
      <c r="B101" s="17">
        <f>ROUND(VLOOKUP(B$87&amp;"_1",管理者用人口入力シート!A:X,D101,FALSE),0)</f>
        <v>614</v>
      </c>
      <c r="C101" s="17">
        <f>ROUND(VLOOKUP(B$87&amp;"_2",管理者用人口入力シート!A:X,D101,FALSE),0)</f>
        <v>618</v>
      </c>
      <c r="D101" s="2">
        <v>16</v>
      </c>
      <c r="G101" s="2" t="s">
        <v>8</v>
      </c>
      <c r="H101" s="17">
        <f>ROUND(VLOOKUP(H$91&amp;"_1",管理者用人口入力シート!BH:CE,J101,FALSE),0)</f>
        <v>530</v>
      </c>
      <c r="I101" s="17">
        <f>ROUND(VLOOKUP(H$91&amp;"_2",管理者用人口入力シート!BH:CE,J101,FALSE),0)</f>
        <v>573</v>
      </c>
      <c r="J101" s="2">
        <v>12</v>
      </c>
      <c r="K101" s="12"/>
      <c r="N101" s="2" t="s">
        <v>8</v>
      </c>
      <c r="O101" s="17">
        <f>ROUND(VLOOKUP(O$91&amp;"_1",管理者用人口入力シート!CO:DL,Q101,FALSE),0)</f>
        <v>530</v>
      </c>
      <c r="P101" s="17">
        <f>ROUND(VLOOKUP(O$91&amp;"_2",管理者用人口入力シート!CO:DL,Q101,FALSE),0)</f>
        <v>574</v>
      </c>
      <c r="Q101" s="2">
        <v>12</v>
      </c>
      <c r="T101" s="85"/>
    </row>
    <row r="102" spans="1:20" x14ac:dyDescent="0.15">
      <c r="A102" s="2" t="s">
        <v>13</v>
      </c>
      <c r="B102" s="17">
        <f>ROUND(VLOOKUP(B$87&amp;"_1",管理者用人口入力シート!A:X,D102,FALSE),0)</f>
        <v>558</v>
      </c>
      <c r="C102" s="17">
        <f>ROUND(VLOOKUP(B$87&amp;"_2",管理者用人口入力シート!A:X,D102,FALSE),0)</f>
        <v>617</v>
      </c>
      <c r="D102" s="2">
        <v>17</v>
      </c>
      <c r="G102" s="2" t="s">
        <v>9</v>
      </c>
      <c r="H102" s="17">
        <f>ROUND(VLOOKUP(H$91&amp;"_1",管理者用人口入力シート!BH:CE,J102,FALSE),0)</f>
        <v>599</v>
      </c>
      <c r="I102" s="17">
        <f>ROUND(VLOOKUP(H$91&amp;"_2",管理者用人口入力シート!BH:CE,J102,FALSE),0)</f>
        <v>602</v>
      </c>
      <c r="J102" s="2">
        <v>13</v>
      </c>
      <c r="K102" s="12"/>
      <c r="N102" s="2" t="s">
        <v>9</v>
      </c>
      <c r="O102" s="17">
        <f>ROUND(VLOOKUP(O$91&amp;"_1",管理者用人口入力シート!CO:DL,Q102,FALSE),0)</f>
        <v>599</v>
      </c>
      <c r="P102" s="17">
        <f>ROUND(VLOOKUP(O$91&amp;"_2",管理者用人口入力シート!CO:DL,Q102,FALSE),0)</f>
        <v>603</v>
      </c>
      <c r="Q102" s="2">
        <v>13</v>
      </c>
      <c r="T102" s="85"/>
    </row>
    <row r="103" spans="1:20" x14ac:dyDescent="0.15">
      <c r="A103" s="2" t="s">
        <v>14</v>
      </c>
      <c r="B103" s="17">
        <f>ROUND(VLOOKUP(B$87&amp;"_1",管理者用人口入力シート!A:X,D103,FALSE),0)</f>
        <v>548</v>
      </c>
      <c r="C103" s="17">
        <f>ROUND(VLOOKUP(B$87&amp;"_2",管理者用人口入力シート!A:X,D103,FALSE),0)</f>
        <v>606</v>
      </c>
      <c r="D103" s="2">
        <v>18</v>
      </c>
      <c r="G103" s="2" t="s">
        <v>10</v>
      </c>
      <c r="H103" s="17">
        <f>ROUND(VLOOKUP(H$91&amp;"_1",管理者用人口入力シート!BH:CE,J103,FALSE),0)</f>
        <v>608</v>
      </c>
      <c r="I103" s="17">
        <f>ROUND(VLOOKUP(H$91&amp;"_2",管理者用人口入力シート!BH:CE,J103,FALSE),0)</f>
        <v>657</v>
      </c>
      <c r="J103" s="2">
        <v>14</v>
      </c>
      <c r="K103" s="12"/>
      <c r="N103" s="2" t="s">
        <v>10</v>
      </c>
      <c r="O103" s="17">
        <f>ROUND(VLOOKUP(O$91&amp;"_1",管理者用人口入力シート!CO:DL,Q103,FALSE),0)</f>
        <v>608</v>
      </c>
      <c r="P103" s="17">
        <f>ROUND(VLOOKUP(O$91&amp;"_2",管理者用人口入力シート!CO:DL,Q103,FALSE),0)</f>
        <v>657</v>
      </c>
      <c r="Q103" s="2">
        <v>14</v>
      </c>
      <c r="T103" s="85"/>
    </row>
    <row r="104" spans="1:20" x14ac:dyDescent="0.15">
      <c r="A104" s="2" t="s">
        <v>15</v>
      </c>
      <c r="B104" s="17">
        <f>ROUND(VLOOKUP(B$87&amp;"_1",管理者用人口入力シート!A:X,D104,FALSE),0)</f>
        <v>336</v>
      </c>
      <c r="C104" s="17">
        <f>ROUND(VLOOKUP(B$87&amp;"_2",管理者用人口入力シート!A:X,D104,FALSE),0)</f>
        <v>478</v>
      </c>
      <c r="D104" s="2">
        <v>19</v>
      </c>
      <c r="G104" s="2" t="s">
        <v>11</v>
      </c>
      <c r="H104" s="17">
        <f>ROUND(VLOOKUP(H$91&amp;"_1",管理者用人口入力シート!BH:CE,J104,FALSE),0)</f>
        <v>674</v>
      </c>
      <c r="I104" s="17">
        <f>ROUND(VLOOKUP(H$91&amp;"_2",管理者用人口入力シート!BH:CE,J104,FALSE),0)</f>
        <v>706</v>
      </c>
      <c r="J104" s="2">
        <v>15</v>
      </c>
      <c r="K104" s="12"/>
      <c r="N104" s="2" t="s">
        <v>11</v>
      </c>
      <c r="O104" s="17">
        <f>ROUND(VLOOKUP(O$91&amp;"_1",管理者用人口入力シート!CO:DL,Q104,FALSE),0)</f>
        <v>674</v>
      </c>
      <c r="P104" s="17">
        <f>ROUND(VLOOKUP(O$91&amp;"_2",管理者用人口入力シート!CO:DL,Q104,FALSE),0)</f>
        <v>706</v>
      </c>
      <c r="Q104" s="2">
        <v>15</v>
      </c>
      <c r="T104" s="85"/>
    </row>
    <row r="105" spans="1:20" x14ac:dyDescent="0.15">
      <c r="A105" s="2" t="s">
        <v>16</v>
      </c>
      <c r="B105" s="17">
        <f>ROUND(VLOOKUP(B$87&amp;"_1",管理者用人口入力シート!A:X,D105,FALSE),0)</f>
        <v>277</v>
      </c>
      <c r="C105" s="17">
        <f>ROUND(VLOOKUP(B$87&amp;"_2",管理者用人口入力シート!A:X,D105,FALSE),0)</f>
        <v>376</v>
      </c>
      <c r="D105" s="2">
        <v>20</v>
      </c>
      <c r="G105" s="2" t="s">
        <v>12</v>
      </c>
      <c r="H105" s="17">
        <f>ROUND(VLOOKUP(H$91&amp;"_1",管理者用人口入力シート!BH:CE,J105,FALSE),0)</f>
        <v>529</v>
      </c>
      <c r="I105" s="17">
        <f>ROUND(VLOOKUP(H$91&amp;"_2",管理者用人口入力シート!BH:CE,J105,FALSE),0)</f>
        <v>609</v>
      </c>
      <c r="J105" s="2">
        <v>16</v>
      </c>
      <c r="K105" s="12"/>
      <c r="N105" s="2" t="s">
        <v>12</v>
      </c>
      <c r="O105" s="17">
        <f>ROUND(VLOOKUP(O$91&amp;"_1",管理者用人口入力シート!CO:DL,Q105,FALSE),0)</f>
        <v>529</v>
      </c>
      <c r="P105" s="17">
        <f>ROUND(VLOOKUP(O$91&amp;"_2",管理者用人口入力シート!CO:DL,Q105,FALSE),0)</f>
        <v>609</v>
      </c>
      <c r="Q105" s="2">
        <v>16</v>
      </c>
      <c r="T105" s="85"/>
    </row>
    <row r="106" spans="1:20" x14ac:dyDescent="0.15">
      <c r="A106" s="2" t="s">
        <v>17</v>
      </c>
      <c r="B106" s="17">
        <f>ROUND(VLOOKUP(B$87&amp;"_1",管理者用人口入力シート!A:X,D106,FALSE),0)</f>
        <v>155</v>
      </c>
      <c r="C106" s="17">
        <f>ROUND(VLOOKUP(B$87&amp;"_2",管理者用人口入力シート!A:X,D106,FALSE),0)</f>
        <v>344</v>
      </c>
      <c r="D106" s="2">
        <v>21</v>
      </c>
      <c r="G106" s="2" t="s">
        <v>13</v>
      </c>
      <c r="H106" s="17">
        <f>ROUND(VLOOKUP(H$91&amp;"_1",管理者用人口入力シート!BH:CE,J106,FALSE),0)</f>
        <v>534</v>
      </c>
      <c r="I106" s="17">
        <f>ROUND(VLOOKUP(H$91&amp;"_2",管理者用人口入力シート!BH:CE,J106,FALSE),0)</f>
        <v>600</v>
      </c>
      <c r="J106" s="2">
        <v>17</v>
      </c>
      <c r="K106" s="12"/>
      <c r="N106" s="2" t="s">
        <v>13</v>
      </c>
      <c r="O106" s="17">
        <f>ROUND(VLOOKUP(O$91&amp;"_1",管理者用人口入力シート!CO:DL,Q106,FALSE),0)</f>
        <v>534</v>
      </c>
      <c r="P106" s="17">
        <f>ROUND(VLOOKUP(O$91&amp;"_2",管理者用人口入力シート!CO:DL,Q106,FALSE),0)</f>
        <v>600</v>
      </c>
      <c r="Q106" s="2">
        <v>17</v>
      </c>
      <c r="T106" s="85"/>
    </row>
    <row r="107" spans="1:20" x14ac:dyDescent="0.15">
      <c r="A107" s="2" t="s">
        <v>18</v>
      </c>
      <c r="B107" s="17">
        <f>ROUND(VLOOKUP(B$87&amp;"_1",管理者用人口入力シート!A:X,D107,FALSE),0)</f>
        <v>79</v>
      </c>
      <c r="C107" s="17">
        <f>ROUND(VLOOKUP(B$87&amp;"_2",管理者用人口入力シート!A:X,D107,FALSE),0)</f>
        <v>178</v>
      </c>
      <c r="D107" s="2">
        <v>22</v>
      </c>
      <c r="G107" s="2" t="s">
        <v>14</v>
      </c>
      <c r="H107" s="17">
        <f>ROUND(VLOOKUP(H$91&amp;"_1",管理者用人口入力シート!BH:CE,J107,FALSE),0)</f>
        <v>538</v>
      </c>
      <c r="I107" s="17">
        <f>ROUND(VLOOKUP(H$91&amp;"_2",管理者用人口入力シート!BH:CE,J107,FALSE),0)</f>
        <v>570</v>
      </c>
      <c r="J107" s="2">
        <v>18</v>
      </c>
      <c r="K107" s="12"/>
      <c r="N107" s="2" t="s">
        <v>14</v>
      </c>
      <c r="O107" s="17">
        <f>ROUND(VLOOKUP(O$91&amp;"_1",管理者用人口入力シート!CO:DL,Q107,FALSE),0)</f>
        <v>538</v>
      </c>
      <c r="P107" s="17">
        <f>ROUND(VLOOKUP(O$91&amp;"_2",管理者用人口入力シート!CO:DL,Q107,FALSE),0)</f>
        <v>570</v>
      </c>
      <c r="Q107" s="2">
        <v>18</v>
      </c>
      <c r="T107" s="85"/>
    </row>
    <row r="108" spans="1:20" x14ac:dyDescent="0.15">
      <c r="A108" s="2" t="s">
        <v>19</v>
      </c>
      <c r="B108" s="17">
        <f>ROUND(VLOOKUP(B$87&amp;"_1",管理者用人口入力シート!A:X,D108,FALSE),0)</f>
        <v>4</v>
      </c>
      <c r="C108" s="17">
        <f>ROUND(VLOOKUP(B$87&amp;"_2",管理者用人口入力シート!A:X,D108,FALSE),0)</f>
        <v>43</v>
      </c>
      <c r="D108" s="2">
        <v>23</v>
      </c>
      <c r="G108" s="2" t="s">
        <v>15</v>
      </c>
      <c r="H108" s="17">
        <f>ROUND(VLOOKUP(H$91&amp;"_1",管理者用人口入力シート!BH:CE,J108,FALSE),0)</f>
        <v>433</v>
      </c>
      <c r="I108" s="17">
        <f>ROUND(VLOOKUP(H$91&amp;"_2",管理者用人口入力シート!BH:CE,J108,FALSE),0)</f>
        <v>546</v>
      </c>
      <c r="J108" s="2">
        <v>19</v>
      </c>
      <c r="K108" s="12"/>
      <c r="N108" s="2" t="s">
        <v>15</v>
      </c>
      <c r="O108" s="17">
        <f>ROUND(VLOOKUP(O$91&amp;"_1",管理者用人口入力シート!CO:DL,Q108,FALSE),0)</f>
        <v>433</v>
      </c>
      <c r="P108" s="17">
        <f>ROUND(VLOOKUP(O$91&amp;"_2",管理者用人口入力シート!CO:DL,Q108,FALSE),0)</f>
        <v>546</v>
      </c>
      <c r="Q108" s="2">
        <v>19</v>
      </c>
      <c r="T108" s="85"/>
    </row>
    <row r="109" spans="1:20" x14ac:dyDescent="0.15">
      <c r="A109" s="2" t="s">
        <v>20</v>
      </c>
      <c r="B109" s="17">
        <f>ROUND(VLOOKUP(B$87&amp;"_1",管理者用人口入力シート!A:X,D109,FALSE),0)</f>
        <v>0</v>
      </c>
      <c r="C109" s="17">
        <f>ROUND(VLOOKUP(B$87&amp;"_2",管理者用人口入力シート!A:X,D109,FALSE),0)</f>
        <v>7</v>
      </c>
      <c r="D109" s="2">
        <v>24</v>
      </c>
      <c r="G109" s="2" t="s">
        <v>16</v>
      </c>
      <c r="H109" s="17">
        <f>ROUND(VLOOKUP(H$91&amp;"_1",管理者用人口入力シート!BH:CE,J109,FALSE),0)</f>
        <v>363</v>
      </c>
      <c r="I109" s="17">
        <f>ROUND(VLOOKUP(H$91&amp;"_2",管理者用人口入力シート!BH:CE,J109,FALSE),0)</f>
        <v>511</v>
      </c>
      <c r="J109" s="2">
        <v>20</v>
      </c>
      <c r="K109" s="12"/>
      <c r="N109" s="2" t="s">
        <v>16</v>
      </c>
      <c r="O109" s="17">
        <f>ROUND(VLOOKUP(O$91&amp;"_1",管理者用人口入力シート!CO:DL,Q109,FALSE),0)</f>
        <v>363</v>
      </c>
      <c r="P109" s="17">
        <f>ROUND(VLOOKUP(O$91&amp;"_2",管理者用人口入力シート!CO:DL,Q109,FALSE),0)</f>
        <v>511</v>
      </c>
      <c r="Q109" s="2">
        <v>20</v>
      </c>
      <c r="T109" s="85"/>
    </row>
    <row r="110" spans="1:20" x14ac:dyDescent="0.15">
      <c r="G110" s="2" t="s">
        <v>17</v>
      </c>
      <c r="H110" s="17">
        <f>ROUND(VLOOKUP(H$91&amp;"_1",管理者用人口入力シート!BH:CE,J110,FALSE),0)</f>
        <v>159</v>
      </c>
      <c r="I110" s="17">
        <f>ROUND(VLOOKUP(H$91&amp;"_2",管理者用人口入力シート!BH:CE,J110,FALSE),0)</f>
        <v>322</v>
      </c>
      <c r="J110" s="2">
        <v>21</v>
      </c>
      <c r="K110" s="12"/>
      <c r="N110" s="2" t="s">
        <v>17</v>
      </c>
      <c r="O110" s="17">
        <f>ROUND(VLOOKUP(O$91&amp;"_1",管理者用人口入力シート!CO:DL,Q110,FALSE),0)</f>
        <v>159</v>
      </c>
      <c r="P110" s="17">
        <f>ROUND(VLOOKUP(O$91&amp;"_2",管理者用人口入力シート!CO:DL,Q110,FALSE),0)</f>
        <v>322</v>
      </c>
      <c r="Q110" s="2">
        <v>21</v>
      </c>
      <c r="T110" s="85"/>
    </row>
    <row r="111" spans="1:20" x14ac:dyDescent="0.15">
      <c r="G111" s="2" t="s">
        <v>18</v>
      </c>
      <c r="H111" s="17">
        <f>ROUND(VLOOKUP(H$91&amp;"_1",管理者用人口入力シート!BH:CE,J111,FALSE),0)</f>
        <v>72</v>
      </c>
      <c r="I111" s="17">
        <f>ROUND(VLOOKUP(H$91&amp;"_2",管理者用人口入力シート!BH:CE,J111,FALSE),0)</f>
        <v>150</v>
      </c>
      <c r="J111" s="2">
        <v>22</v>
      </c>
      <c r="K111" s="12"/>
      <c r="N111" s="2" t="s">
        <v>18</v>
      </c>
      <c r="O111" s="17">
        <f>ROUND(VLOOKUP(O$91&amp;"_1",管理者用人口入力シート!CO:DL,Q111,FALSE),0)</f>
        <v>72</v>
      </c>
      <c r="P111" s="17">
        <f>ROUND(VLOOKUP(O$91&amp;"_2",管理者用人口入力シート!CO:DL,Q111,FALSE),0)</f>
        <v>150</v>
      </c>
      <c r="Q111" s="2">
        <v>22</v>
      </c>
      <c r="T111" s="85"/>
    </row>
    <row r="112" spans="1:20" x14ac:dyDescent="0.15">
      <c r="G112" s="2" t="s">
        <v>19</v>
      </c>
      <c r="H112" s="17">
        <f>ROUND(VLOOKUP(H$91&amp;"_1",管理者用人口入力シート!BH:CE,J112,FALSE),0)</f>
        <v>7</v>
      </c>
      <c r="I112" s="17">
        <f>ROUND(VLOOKUP(H$91&amp;"_2",管理者用人口入力シート!BH:CE,J112,FALSE),0)</f>
        <v>61</v>
      </c>
      <c r="J112" s="2">
        <v>23</v>
      </c>
      <c r="K112" s="12"/>
      <c r="N112" s="2" t="s">
        <v>19</v>
      </c>
      <c r="O112" s="17">
        <f>ROUND(VLOOKUP(O$91&amp;"_1",管理者用人口入力シート!CO:DL,Q112,FALSE),0)</f>
        <v>7</v>
      </c>
      <c r="P112" s="17">
        <f>ROUND(VLOOKUP(O$91&amp;"_2",管理者用人口入力シート!CO:DL,Q112,FALSE),0)</f>
        <v>61</v>
      </c>
      <c r="Q112" s="2">
        <v>23</v>
      </c>
      <c r="T112" s="85"/>
    </row>
    <row r="113" spans="7:20" x14ac:dyDescent="0.15">
      <c r="G113" s="2" t="s">
        <v>20</v>
      </c>
      <c r="H113" s="17">
        <f>ROUND(VLOOKUP(H$91&amp;"_1",管理者用人口入力シート!BH:CE,J113,FALSE),0)</f>
        <v>0</v>
      </c>
      <c r="I113" s="17">
        <f>ROUND(VLOOKUP(H$91&amp;"_2",管理者用人口入力シート!BH:CE,J113,FALSE),0)</f>
        <v>14</v>
      </c>
      <c r="J113" s="2">
        <v>24</v>
      </c>
      <c r="K113" s="12"/>
      <c r="N113" s="2" t="s">
        <v>20</v>
      </c>
      <c r="O113" s="17">
        <f>ROUND(VLOOKUP(O$91&amp;"_1",管理者用人口入力シート!CO:DL,Q113,FALSE),0)</f>
        <v>0</v>
      </c>
      <c r="P113" s="17">
        <f>ROUND(VLOOKUP(O$91&amp;"_2",管理者用人口入力シート!CO:DL,Q113,FALSE),0)</f>
        <v>14</v>
      </c>
      <c r="Q113" s="2">
        <v>24</v>
      </c>
      <c r="T113" s="85"/>
    </row>
    <row r="115" spans="7:20" x14ac:dyDescent="0.15">
      <c r="G115" s="2" t="s">
        <v>394</v>
      </c>
      <c r="H115" s="315">
        <f>管理者入力シート!B10</f>
        <v>2035</v>
      </c>
      <c r="I115" s="316"/>
      <c r="J115" s="2" t="s">
        <v>114</v>
      </c>
      <c r="O115" s="315">
        <f>管理者入力シート!B10</f>
        <v>2035</v>
      </c>
      <c r="P115" s="316"/>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411</v>
      </c>
      <c r="I117" s="17">
        <f>ROUND(VLOOKUP(H$115&amp;"_2",管理者用人口入力シート!BH:CE,J117,FALSE),0)</f>
        <v>409</v>
      </c>
      <c r="J117" s="2">
        <v>4</v>
      </c>
      <c r="N117" s="2" t="s">
        <v>0</v>
      </c>
      <c r="O117" s="17">
        <f>ROUND(VLOOKUP(O$115&amp;"_1",管理者用人口入力シート!CO:DL,Q117,FALSE),0)</f>
        <v>414</v>
      </c>
      <c r="P117" s="17">
        <f>ROUND(VLOOKUP(O$115&amp;"_2",管理者用人口入力シート!CO:DL,Q117,FALSE),0)</f>
        <v>412</v>
      </c>
      <c r="Q117" s="2">
        <v>4</v>
      </c>
      <c r="T117" s="85"/>
    </row>
    <row r="118" spans="7:20" x14ac:dyDescent="0.15">
      <c r="G118" s="2" t="s">
        <v>1</v>
      </c>
      <c r="H118" s="17">
        <f>ROUND(VLOOKUP(H$115&amp;"_1",管理者用人口入力シート!BH:CE,J118,FALSE),0)</f>
        <v>370</v>
      </c>
      <c r="I118" s="17">
        <f>ROUND(VLOOKUP(H$115&amp;"_2",管理者用人口入力シート!BH:CE,J118,FALSE),0)</f>
        <v>375</v>
      </c>
      <c r="J118" s="2">
        <v>5</v>
      </c>
      <c r="N118" s="2" t="s">
        <v>1</v>
      </c>
      <c r="O118" s="17">
        <f>ROUND(VLOOKUP(O$115&amp;"_1",管理者用人口入力シート!CO:DL,Q118,FALSE),0)</f>
        <v>371</v>
      </c>
      <c r="P118" s="17">
        <f>ROUND(VLOOKUP(O$115&amp;"_2",管理者用人口入力シート!CO:DL,Q118,FALSE),0)</f>
        <v>377</v>
      </c>
      <c r="Q118" s="2">
        <v>5</v>
      </c>
      <c r="T118" s="85"/>
    </row>
    <row r="119" spans="7:20" x14ac:dyDescent="0.15">
      <c r="G119" s="2" t="s">
        <v>2</v>
      </c>
      <c r="H119" s="17">
        <f>ROUND(VLOOKUP(H$115&amp;"_1",管理者用人口入力シート!BH:CE,J119,FALSE),0)</f>
        <v>358</v>
      </c>
      <c r="I119" s="17">
        <f>ROUND(VLOOKUP(H$115&amp;"_2",管理者用人口入力シート!BH:CE,J119,FALSE),0)</f>
        <v>371</v>
      </c>
      <c r="J119" s="2">
        <v>6</v>
      </c>
      <c r="N119" s="2" t="s">
        <v>2</v>
      </c>
      <c r="O119" s="17">
        <f>ROUND(VLOOKUP(O$115&amp;"_1",管理者用人口入力シート!CO:DL,Q119,FALSE),0)</f>
        <v>360</v>
      </c>
      <c r="P119" s="17">
        <f>ROUND(VLOOKUP(O$115&amp;"_2",管理者用人口入力シート!CO:DL,Q119,FALSE),0)</f>
        <v>373</v>
      </c>
      <c r="Q119" s="2">
        <v>6</v>
      </c>
      <c r="T119" s="85"/>
    </row>
    <row r="120" spans="7:20" x14ac:dyDescent="0.15">
      <c r="G120" s="2" t="s">
        <v>3</v>
      </c>
      <c r="H120" s="17">
        <f>ROUND(VLOOKUP(H$115&amp;"_1",管理者用人口入力シート!BH:CE,J120,FALSE),0)</f>
        <v>367</v>
      </c>
      <c r="I120" s="17">
        <f>ROUND(VLOOKUP(H$115&amp;"_2",管理者用人口入力シート!BH:CE,J120,FALSE),0)</f>
        <v>426</v>
      </c>
      <c r="J120" s="2">
        <v>7</v>
      </c>
      <c r="N120" s="2" t="s">
        <v>3</v>
      </c>
      <c r="O120" s="17">
        <f>ROUND(VLOOKUP(O$115&amp;"_1",管理者用人口入力シート!CO:DL,Q120,FALSE),0)</f>
        <v>368</v>
      </c>
      <c r="P120" s="17">
        <f>ROUND(VLOOKUP(O$115&amp;"_2",管理者用人口入力シート!CO:DL,Q120,FALSE),0)</f>
        <v>427</v>
      </c>
      <c r="Q120" s="2">
        <v>7</v>
      </c>
      <c r="T120" s="85"/>
    </row>
    <row r="121" spans="7:20" x14ac:dyDescent="0.15">
      <c r="G121" s="2" t="s">
        <v>4</v>
      </c>
      <c r="H121" s="17">
        <f>ROUND(VLOOKUP(H$115&amp;"_1",管理者用人口入力シート!BH:CE,J121,FALSE),0)</f>
        <v>411</v>
      </c>
      <c r="I121" s="17">
        <f>ROUND(VLOOKUP(H$115&amp;"_2",管理者用人口入力シート!BH:CE,J121,FALSE),0)</f>
        <v>572</v>
      </c>
      <c r="J121" s="2">
        <v>8</v>
      </c>
      <c r="N121" s="2" t="s">
        <v>4</v>
      </c>
      <c r="O121" s="17">
        <f>ROUND(VLOOKUP(O$115&amp;"_1",管理者用人口入力シート!CO:DL,Q121,FALSE),0)</f>
        <v>412</v>
      </c>
      <c r="P121" s="17">
        <f>ROUND(VLOOKUP(O$115&amp;"_2",管理者用人口入力シート!CO:DL,Q121,FALSE),0)</f>
        <v>573</v>
      </c>
      <c r="Q121" s="2">
        <v>8</v>
      </c>
      <c r="T121" s="85"/>
    </row>
    <row r="122" spans="7:20" x14ac:dyDescent="0.15">
      <c r="G122" s="2" t="s">
        <v>5</v>
      </c>
      <c r="H122" s="17">
        <f>ROUND(VLOOKUP(H$115&amp;"_1",管理者用人口入力シート!BH:CE,J122,FALSE),0)</f>
        <v>523</v>
      </c>
      <c r="I122" s="17">
        <f>ROUND(VLOOKUP(H$115&amp;"_2",管理者用人口入力シート!BH:CE,J122,FALSE),0)</f>
        <v>643</v>
      </c>
      <c r="J122" s="2">
        <v>9</v>
      </c>
      <c r="N122" s="2" t="s">
        <v>5</v>
      </c>
      <c r="O122" s="17">
        <f>ROUND(VLOOKUP(O$115&amp;"_1",管理者用人口入力シート!CO:DL,Q122,FALSE),0)</f>
        <v>525</v>
      </c>
      <c r="P122" s="17">
        <f>ROUND(VLOOKUP(O$115&amp;"_2",管理者用人口入力シート!CO:DL,Q122,FALSE),0)</f>
        <v>645</v>
      </c>
      <c r="Q122" s="2">
        <v>9</v>
      </c>
      <c r="T122" s="85"/>
    </row>
    <row r="123" spans="7:20" x14ac:dyDescent="0.15">
      <c r="G123" s="2" t="s">
        <v>6</v>
      </c>
      <c r="H123" s="17">
        <f>ROUND(VLOOKUP(H$115&amp;"_1",管理者用人口入力シート!BH:CE,J123,FALSE),0)</f>
        <v>450</v>
      </c>
      <c r="I123" s="17">
        <f>ROUND(VLOOKUP(H$115&amp;"_2",管理者用人口入力シート!BH:CE,J123,FALSE),0)</f>
        <v>526</v>
      </c>
      <c r="J123" s="2">
        <v>10</v>
      </c>
      <c r="N123" s="2" t="s">
        <v>6</v>
      </c>
      <c r="O123" s="17">
        <f>ROUND(VLOOKUP(O$115&amp;"_1",管理者用人口入力シート!CO:DL,Q123,FALSE),0)</f>
        <v>452</v>
      </c>
      <c r="P123" s="17">
        <f>ROUND(VLOOKUP(O$115&amp;"_2",管理者用人口入力シート!CO:DL,Q123,FALSE),0)</f>
        <v>528</v>
      </c>
      <c r="Q123" s="2">
        <v>10</v>
      </c>
      <c r="T123" s="85"/>
    </row>
    <row r="124" spans="7:20" x14ac:dyDescent="0.15">
      <c r="G124" s="2" t="s">
        <v>7</v>
      </c>
      <c r="H124" s="17">
        <f>ROUND(VLOOKUP(H$115&amp;"_1",管理者用人口入力シート!BH:CE,J124,FALSE),0)</f>
        <v>404</v>
      </c>
      <c r="I124" s="17">
        <f>ROUND(VLOOKUP(H$115&amp;"_2",管理者用人口入力シート!BH:CE,J124,FALSE),0)</f>
        <v>516</v>
      </c>
      <c r="J124" s="2">
        <v>11</v>
      </c>
      <c r="N124" s="2" t="s">
        <v>7</v>
      </c>
      <c r="O124" s="17">
        <f>ROUND(VLOOKUP(O$115&amp;"_1",管理者用人口入力シート!CO:DL,Q124,FALSE),0)</f>
        <v>406</v>
      </c>
      <c r="P124" s="17">
        <f>ROUND(VLOOKUP(O$115&amp;"_2",管理者用人口入力シート!CO:DL,Q124,FALSE),0)</f>
        <v>518</v>
      </c>
      <c r="Q124" s="2">
        <v>11</v>
      </c>
      <c r="T124" s="85"/>
    </row>
    <row r="125" spans="7:20" x14ac:dyDescent="0.15">
      <c r="G125" s="2" t="s">
        <v>8</v>
      </c>
      <c r="H125" s="17">
        <f>ROUND(VLOOKUP(H$115&amp;"_1",管理者用人口入力シート!BH:CE,J125,FALSE),0)</f>
        <v>507</v>
      </c>
      <c r="I125" s="17">
        <f>ROUND(VLOOKUP(H$115&amp;"_2",管理者用人口入力シート!BH:CE,J125,FALSE),0)</f>
        <v>513</v>
      </c>
      <c r="J125" s="2">
        <v>12</v>
      </c>
      <c r="N125" s="2" t="s">
        <v>8</v>
      </c>
      <c r="O125" s="17">
        <f>ROUND(VLOOKUP(O$115&amp;"_1",管理者用人口入力シート!CO:DL,Q125,FALSE),0)</f>
        <v>507</v>
      </c>
      <c r="P125" s="17">
        <f>ROUND(VLOOKUP(O$115&amp;"_2",管理者用人口入力シート!CO:DL,Q125,FALSE),0)</f>
        <v>514</v>
      </c>
      <c r="Q125" s="2">
        <v>12</v>
      </c>
      <c r="T125" s="85"/>
    </row>
    <row r="126" spans="7:20" x14ac:dyDescent="0.15">
      <c r="G126" s="2" t="s">
        <v>9</v>
      </c>
      <c r="H126" s="17">
        <f>ROUND(VLOOKUP(H$115&amp;"_1",管理者用人口入力シート!BH:CE,J126,FALSE),0)</f>
        <v>534</v>
      </c>
      <c r="I126" s="17">
        <f>ROUND(VLOOKUP(H$115&amp;"_2",管理者用人口入力シート!BH:CE,J126,FALSE),0)</f>
        <v>579</v>
      </c>
      <c r="J126" s="2">
        <v>13</v>
      </c>
      <c r="N126" s="2" t="s">
        <v>9</v>
      </c>
      <c r="O126" s="17">
        <f>ROUND(VLOOKUP(O$115&amp;"_1",管理者用人口入力シート!CO:DL,Q126,FALSE),0)</f>
        <v>534</v>
      </c>
      <c r="P126" s="17">
        <f>ROUND(VLOOKUP(O$115&amp;"_2",管理者用人口入力シート!CO:DL,Q126,FALSE),0)</f>
        <v>580</v>
      </c>
      <c r="Q126" s="2">
        <v>13</v>
      </c>
      <c r="T126" s="85"/>
    </row>
    <row r="127" spans="7:20" x14ac:dyDescent="0.15">
      <c r="G127" s="2" t="s">
        <v>10</v>
      </c>
      <c r="H127" s="17">
        <f>ROUND(VLOOKUP(H$115&amp;"_1",管理者用人口入力シート!BH:CE,J127,FALSE),0)</f>
        <v>585</v>
      </c>
      <c r="I127" s="17">
        <f>ROUND(VLOOKUP(H$115&amp;"_2",管理者用人口入力シート!BH:CE,J127,FALSE),0)</f>
        <v>597</v>
      </c>
      <c r="J127" s="2">
        <v>14</v>
      </c>
      <c r="N127" s="2" t="s">
        <v>10</v>
      </c>
      <c r="O127" s="17">
        <f>ROUND(VLOOKUP(O$115&amp;"_1",管理者用人口入力シート!CO:DL,Q127,FALSE),0)</f>
        <v>585</v>
      </c>
      <c r="P127" s="17">
        <f>ROUND(VLOOKUP(O$115&amp;"_2",管理者用人口入力シート!CO:DL,Q127,FALSE),0)</f>
        <v>598</v>
      </c>
      <c r="Q127" s="2">
        <v>14</v>
      </c>
      <c r="T127" s="85"/>
    </row>
    <row r="128" spans="7:20" x14ac:dyDescent="0.15">
      <c r="G128" s="2" t="s">
        <v>11</v>
      </c>
      <c r="H128" s="17">
        <f>ROUND(VLOOKUP(H$115&amp;"_1",管理者用人口入力シート!BH:CE,J128,FALSE),0)</f>
        <v>591</v>
      </c>
      <c r="I128" s="17">
        <f>ROUND(VLOOKUP(H$115&amp;"_2",管理者用人口入力シート!BH:CE,J128,FALSE),0)</f>
        <v>639</v>
      </c>
      <c r="J128" s="2">
        <v>15</v>
      </c>
      <c r="N128" s="2" t="s">
        <v>11</v>
      </c>
      <c r="O128" s="17">
        <f>ROUND(VLOOKUP(O$115&amp;"_1",管理者用人口入力シート!CO:DL,Q128,FALSE),0)</f>
        <v>591</v>
      </c>
      <c r="P128" s="17">
        <f>ROUND(VLOOKUP(O$115&amp;"_2",管理者用人口入力シート!CO:DL,Q128,FALSE),0)</f>
        <v>639</v>
      </c>
      <c r="Q128" s="2">
        <v>15</v>
      </c>
      <c r="T128" s="85"/>
    </row>
    <row r="129" spans="7:20" x14ac:dyDescent="0.15">
      <c r="G129" s="2" t="s">
        <v>12</v>
      </c>
      <c r="H129" s="17">
        <f>ROUND(VLOOKUP(H$115&amp;"_1",管理者用人口入力シート!BH:CE,J129,FALSE),0)</f>
        <v>664</v>
      </c>
      <c r="I129" s="17">
        <f>ROUND(VLOOKUP(H$115&amp;"_2",管理者用人口入力シート!BH:CE,J129,FALSE),0)</f>
        <v>715</v>
      </c>
      <c r="J129" s="2">
        <v>16</v>
      </c>
      <c r="N129" s="2" t="s">
        <v>12</v>
      </c>
      <c r="O129" s="17">
        <f>ROUND(VLOOKUP(O$115&amp;"_1",管理者用人口入力シート!CO:DL,Q129,FALSE),0)</f>
        <v>664</v>
      </c>
      <c r="P129" s="17">
        <f>ROUND(VLOOKUP(O$115&amp;"_2",管理者用人口入力シート!CO:DL,Q129,FALSE),0)</f>
        <v>715</v>
      </c>
      <c r="Q129" s="2">
        <v>16</v>
      </c>
      <c r="T129" s="85"/>
    </row>
    <row r="130" spans="7:20" x14ac:dyDescent="0.15">
      <c r="G130" s="2" t="s">
        <v>13</v>
      </c>
      <c r="H130" s="17">
        <f>ROUND(VLOOKUP(H$115&amp;"_1",管理者用人口入力シート!BH:CE,J130,FALSE),0)</f>
        <v>511</v>
      </c>
      <c r="I130" s="17">
        <f>ROUND(VLOOKUP(H$115&amp;"_2",管理者用人口入力シート!BH:CE,J130,FALSE),0)</f>
        <v>604</v>
      </c>
      <c r="J130" s="2">
        <v>17</v>
      </c>
      <c r="N130" s="2" t="s">
        <v>13</v>
      </c>
      <c r="O130" s="17">
        <f>ROUND(VLOOKUP(O$115&amp;"_1",管理者用人口入力シート!CO:DL,Q130,FALSE),0)</f>
        <v>511</v>
      </c>
      <c r="P130" s="17">
        <f>ROUND(VLOOKUP(O$115&amp;"_2",管理者用人口入力シート!CO:DL,Q130,FALSE),0)</f>
        <v>604</v>
      </c>
      <c r="Q130" s="2">
        <v>17</v>
      </c>
      <c r="T130" s="85"/>
    </row>
    <row r="131" spans="7:20" x14ac:dyDescent="0.15">
      <c r="G131" s="2" t="s">
        <v>14</v>
      </c>
      <c r="H131" s="17">
        <f>ROUND(VLOOKUP(H$115&amp;"_1",管理者用人口入力シート!BH:CE,J131,FALSE),0)</f>
        <v>485</v>
      </c>
      <c r="I131" s="17">
        <f>ROUND(VLOOKUP(H$115&amp;"_2",管理者用人口入力シート!BH:CE,J131,FALSE),0)</f>
        <v>558</v>
      </c>
      <c r="J131" s="2">
        <v>18</v>
      </c>
      <c r="N131" s="2" t="s">
        <v>14</v>
      </c>
      <c r="O131" s="17">
        <f>ROUND(VLOOKUP(O$115&amp;"_1",管理者用人口入力シート!CO:DL,Q131,FALSE),0)</f>
        <v>485</v>
      </c>
      <c r="P131" s="17">
        <f>ROUND(VLOOKUP(O$115&amp;"_2",管理者用人口入力シート!CO:DL,Q131,FALSE),0)</f>
        <v>558</v>
      </c>
      <c r="Q131" s="2">
        <v>18</v>
      </c>
      <c r="T131" s="85"/>
    </row>
    <row r="132" spans="7:20" x14ac:dyDescent="0.15">
      <c r="G132" s="2" t="s">
        <v>15</v>
      </c>
      <c r="H132" s="17">
        <f>ROUND(VLOOKUP(H$115&amp;"_1",管理者用人口入力シート!BH:CE,J132,FALSE),0)</f>
        <v>460</v>
      </c>
      <c r="I132" s="17">
        <f>ROUND(VLOOKUP(H$115&amp;"_2",管理者用人口入力シート!BH:CE,J132,FALSE),0)</f>
        <v>542</v>
      </c>
      <c r="J132" s="2">
        <v>19</v>
      </c>
      <c r="N132" s="2" t="s">
        <v>15</v>
      </c>
      <c r="O132" s="17">
        <f>ROUND(VLOOKUP(O$115&amp;"_1",管理者用人口入力シート!CO:DL,Q132,FALSE),0)</f>
        <v>460</v>
      </c>
      <c r="P132" s="17">
        <f>ROUND(VLOOKUP(O$115&amp;"_2",管理者用人口入力シート!CO:DL,Q132,FALSE),0)</f>
        <v>542</v>
      </c>
      <c r="Q132" s="2">
        <v>19</v>
      </c>
      <c r="T132" s="85"/>
    </row>
    <row r="133" spans="7:20" x14ac:dyDescent="0.15">
      <c r="G133" s="2" t="s">
        <v>16</v>
      </c>
      <c r="H133" s="17">
        <f>ROUND(VLOOKUP(H$115&amp;"_1",管理者用人口入力シート!BH:CE,J133,FALSE),0)</f>
        <v>336</v>
      </c>
      <c r="I133" s="17">
        <f>ROUND(VLOOKUP(H$115&amp;"_2",管理者用人口入力シート!BH:CE,J133,FALSE),0)</f>
        <v>485</v>
      </c>
      <c r="J133" s="2">
        <v>20</v>
      </c>
      <c r="N133" s="2" t="s">
        <v>16</v>
      </c>
      <c r="O133" s="17">
        <f>ROUND(VLOOKUP(O$115&amp;"_1",管理者用人口入力シート!CO:DL,Q133,FALSE),0)</f>
        <v>336</v>
      </c>
      <c r="P133" s="17">
        <f>ROUND(VLOOKUP(O$115&amp;"_2",管理者用人口入力シート!CO:DL,Q133,FALSE),0)</f>
        <v>485</v>
      </c>
      <c r="Q133" s="2">
        <v>20</v>
      </c>
      <c r="T133" s="85"/>
    </row>
    <row r="134" spans="7:20" x14ac:dyDescent="0.15">
      <c r="G134" s="2" t="s">
        <v>17</v>
      </c>
      <c r="H134" s="17">
        <f>ROUND(VLOOKUP(H$115&amp;"_1",管理者用人口入力シート!BH:CE,J134,FALSE),0)</f>
        <v>222</v>
      </c>
      <c r="I134" s="17">
        <f>ROUND(VLOOKUP(H$115&amp;"_2",管理者用人口入力シート!BH:CE,J134,FALSE),0)</f>
        <v>387</v>
      </c>
      <c r="J134" s="2">
        <v>21</v>
      </c>
      <c r="N134" s="2" t="s">
        <v>17</v>
      </c>
      <c r="O134" s="17">
        <f>ROUND(VLOOKUP(O$115&amp;"_1",管理者用人口入力シート!CO:DL,Q134,FALSE),0)</f>
        <v>222</v>
      </c>
      <c r="P134" s="17">
        <f>ROUND(VLOOKUP(O$115&amp;"_2",管理者用人口入力シート!CO:DL,Q134,FALSE),0)</f>
        <v>387</v>
      </c>
      <c r="Q134" s="2">
        <v>21</v>
      </c>
      <c r="T134" s="85"/>
    </row>
    <row r="135" spans="7:20" x14ac:dyDescent="0.15">
      <c r="G135" s="2" t="s">
        <v>18</v>
      </c>
      <c r="H135" s="17">
        <f>ROUND(VLOOKUP(H$115&amp;"_1",管理者用人口入力シート!BH:CE,J135,FALSE),0)</f>
        <v>68</v>
      </c>
      <c r="I135" s="17">
        <f>ROUND(VLOOKUP(H$115&amp;"_2",管理者用人口入力シート!BH:CE,J135,FALSE),0)</f>
        <v>170</v>
      </c>
      <c r="J135" s="2">
        <v>22</v>
      </c>
      <c r="N135" s="2" t="s">
        <v>18</v>
      </c>
      <c r="O135" s="17">
        <f>ROUND(VLOOKUP(O$115&amp;"_1",管理者用人口入力シート!CO:DL,Q135,FALSE),0)</f>
        <v>68</v>
      </c>
      <c r="P135" s="17">
        <f>ROUND(VLOOKUP(O$115&amp;"_2",管理者用人口入力シート!CO:DL,Q135,FALSE),0)</f>
        <v>170</v>
      </c>
      <c r="Q135" s="2">
        <v>22</v>
      </c>
      <c r="T135" s="85"/>
    </row>
    <row r="136" spans="7:20" x14ac:dyDescent="0.15">
      <c r="G136" s="2" t="s">
        <v>19</v>
      </c>
      <c r="H136" s="17">
        <f>ROUND(VLOOKUP(H$115&amp;"_1",管理者用人口入力シート!BH:CE,J136,FALSE),0)</f>
        <v>8</v>
      </c>
      <c r="I136" s="17">
        <f>ROUND(VLOOKUP(H$115&amp;"_2",管理者用人口入力シート!BH:CE,J136,FALSE),0)</f>
        <v>51</v>
      </c>
      <c r="J136" s="2">
        <v>23</v>
      </c>
      <c r="N136" s="2" t="s">
        <v>19</v>
      </c>
      <c r="O136" s="17">
        <f>ROUND(VLOOKUP(O$115&amp;"_1",管理者用人口入力シート!CO:DL,Q136,FALSE),0)</f>
        <v>8</v>
      </c>
      <c r="P136" s="17">
        <f>ROUND(VLOOKUP(O$115&amp;"_2",管理者用人口入力シート!CO:DL,Q136,FALSE),0)</f>
        <v>51</v>
      </c>
      <c r="Q136" s="2">
        <v>23</v>
      </c>
      <c r="T136" s="85"/>
    </row>
    <row r="137" spans="7:20" x14ac:dyDescent="0.15">
      <c r="G137" s="2" t="s">
        <v>20</v>
      </c>
      <c r="H137" s="17">
        <f>ROUND(VLOOKUP(H$115&amp;"_1",管理者用人口入力シート!BH:CE,J137,FALSE),0)</f>
        <v>0</v>
      </c>
      <c r="I137" s="17">
        <f>ROUND(VLOOKUP(H$115&amp;"_2",管理者用人口入力シート!BH:CE,J137,FALSE),0)</f>
        <v>15</v>
      </c>
      <c r="J137" s="2">
        <v>24</v>
      </c>
      <c r="N137" s="2" t="s">
        <v>20</v>
      </c>
      <c r="O137" s="17">
        <f>ROUND(VLOOKUP(O$115&amp;"_1",管理者用人口入力シート!CO:DL,Q137,FALSE),0)</f>
        <v>0</v>
      </c>
      <c r="P137" s="17">
        <f>ROUND(VLOOKUP(O$115&amp;"_2",管理者用人口入力シート!CO:DL,Q137,FALSE),0)</f>
        <v>15</v>
      </c>
      <c r="Q137" s="2">
        <v>24</v>
      </c>
      <c r="T137" s="85"/>
    </row>
    <row r="139" spans="7:20" x14ac:dyDescent="0.15">
      <c r="G139" s="2" t="s">
        <v>109</v>
      </c>
      <c r="H139" s="315">
        <f>管理者入力シート!B11</f>
        <v>2040</v>
      </c>
      <c r="I139" s="316"/>
      <c r="J139" s="2" t="s">
        <v>114</v>
      </c>
      <c r="O139" s="315">
        <f>管理者入力シート!B11</f>
        <v>2040</v>
      </c>
      <c r="P139" s="316"/>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398</v>
      </c>
      <c r="I141" s="17">
        <f>ROUND(VLOOKUP(H$139&amp;"_2",管理者用人口入力シート!BH:CE,J141,FALSE),0)</f>
        <v>397</v>
      </c>
      <c r="J141" s="2">
        <v>4</v>
      </c>
      <c r="N141" s="2" t="s">
        <v>0</v>
      </c>
      <c r="O141" s="17">
        <f>ROUND(VLOOKUP(O$139&amp;"_1",管理者用人口入力シート!CO:DL,Q141,FALSE),0)</f>
        <v>401</v>
      </c>
      <c r="P141" s="17">
        <f>ROUND(VLOOKUP(O$139&amp;"_2",管理者用人口入力シート!CO:DL,Q141,FALSE),0)</f>
        <v>399</v>
      </c>
      <c r="Q141" s="2">
        <v>4</v>
      </c>
    </row>
    <row r="142" spans="7:20" x14ac:dyDescent="0.15">
      <c r="G142" s="2" t="s">
        <v>1</v>
      </c>
      <c r="H142" s="17">
        <f>ROUND(VLOOKUP(H$139&amp;"_1",管理者用人口入力シート!BH:CE,J142,FALSE),0)</f>
        <v>381</v>
      </c>
      <c r="I142" s="17">
        <f>ROUND(VLOOKUP(H$139&amp;"_2",管理者用人口入力シート!BH:CE,J142,FALSE),0)</f>
        <v>387</v>
      </c>
      <c r="J142" s="2">
        <v>5</v>
      </c>
      <c r="N142" s="2" t="s">
        <v>1</v>
      </c>
      <c r="O142" s="17">
        <f>ROUND(VLOOKUP(O$139&amp;"_1",管理者用人口入力シート!CO:DL,Q142,FALSE),0)</f>
        <v>383</v>
      </c>
      <c r="P142" s="17">
        <f>ROUND(VLOOKUP(O$139&amp;"_2",管理者用人口入力シート!CO:DL,Q142,FALSE),0)</f>
        <v>389</v>
      </c>
      <c r="Q142" s="2">
        <v>5</v>
      </c>
    </row>
    <row r="143" spans="7:20" x14ac:dyDescent="0.15">
      <c r="G143" s="2" t="s">
        <v>2</v>
      </c>
      <c r="H143" s="17">
        <f>ROUND(VLOOKUP(H$139&amp;"_1",管理者用人口入力シート!BH:CE,J143,FALSE),0)</f>
        <v>362</v>
      </c>
      <c r="I143" s="17">
        <f>ROUND(VLOOKUP(H$139&amp;"_2",管理者用人口入力シート!BH:CE,J143,FALSE),0)</f>
        <v>375</v>
      </c>
      <c r="J143" s="2">
        <v>6</v>
      </c>
      <c r="N143" s="2" t="s">
        <v>2</v>
      </c>
      <c r="O143" s="17">
        <f>ROUND(VLOOKUP(O$139&amp;"_1",管理者用人口入力シート!CO:DL,Q143,FALSE),0)</f>
        <v>364</v>
      </c>
      <c r="P143" s="17">
        <f>ROUND(VLOOKUP(O$139&amp;"_2",管理者用人口入力シート!CO:DL,Q143,FALSE),0)</f>
        <v>377</v>
      </c>
      <c r="Q143" s="2">
        <v>6</v>
      </c>
    </row>
    <row r="144" spans="7:20" x14ac:dyDescent="0.15">
      <c r="G144" s="2" t="s">
        <v>3</v>
      </c>
      <c r="H144" s="17">
        <f>ROUND(VLOOKUP(H$139&amp;"_1",管理者用人口入力シート!BH:CE,J144,FALSE),0)</f>
        <v>355</v>
      </c>
      <c r="I144" s="17">
        <f>ROUND(VLOOKUP(H$139&amp;"_2",管理者用人口入力シート!BH:CE,J144,FALSE),0)</f>
        <v>412</v>
      </c>
      <c r="J144" s="2">
        <v>7</v>
      </c>
      <c r="N144" s="2" t="s">
        <v>3</v>
      </c>
      <c r="O144" s="17">
        <f>ROUND(VLOOKUP(O$139&amp;"_1",管理者用人口入力シート!CO:DL,Q144,FALSE),0)</f>
        <v>356</v>
      </c>
      <c r="P144" s="17">
        <f>ROUND(VLOOKUP(O$139&amp;"_2",管理者用人口入力シート!CO:DL,Q144,FALSE),0)</f>
        <v>414</v>
      </c>
      <c r="Q144" s="2">
        <v>7</v>
      </c>
    </row>
    <row r="145" spans="7:17" x14ac:dyDescent="0.15">
      <c r="G145" s="2" t="s">
        <v>4</v>
      </c>
      <c r="H145" s="17">
        <f>ROUND(VLOOKUP(H$139&amp;"_1",管理者用人口入力シート!BH:CE,J145,FALSE),0)</f>
        <v>361</v>
      </c>
      <c r="I145" s="17">
        <f>ROUND(VLOOKUP(H$139&amp;"_2",管理者用人口入力シート!BH:CE,J145,FALSE),0)</f>
        <v>445</v>
      </c>
      <c r="J145" s="2">
        <v>8</v>
      </c>
      <c r="N145" s="2" t="s">
        <v>4</v>
      </c>
      <c r="O145" s="17">
        <f>ROUND(VLOOKUP(O$139&amp;"_1",管理者用人口入力シート!CO:DL,Q145,FALSE),0)</f>
        <v>362</v>
      </c>
      <c r="P145" s="17">
        <f>ROUND(VLOOKUP(O$139&amp;"_2",管理者用人口入力シート!CO:DL,Q145,FALSE),0)</f>
        <v>447</v>
      </c>
      <c r="Q145" s="2">
        <v>8</v>
      </c>
    </row>
    <row r="146" spans="7:17" x14ac:dyDescent="0.15">
      <c r="G146" s="2" t="s">
        <v>5</v>
      </c>
      <c r="H146" s="17">
        <f>ROUND(VLOOKUP(H$139&amp;"_1",管理者用人口入力シート!BH:CE,J146,FALSE),0)</f>
        <v>410</v>
      </c>
      <c r="I146" s="17">
        <f>ROUND(VLOOKUP(H$139&amp;"_2",管理者用人口入力シート!BH:CE,J146,FALSE),0)</f>
        <v>621</v>
      </c>
      <c r="J146" s="2">
        <v>9</v>
      </c>
      <c r="N146" s="2" t="s">
        <v>5</v>
      </c>
      <c r="O146" s="17">
        <f>ROUND(VLOOKUP(O$139&amp;"_1",管理者用人口入力シート!CO:DL,Q146,FALSE),0)</f>
        <v>413</v>
      </c>
      <c r="P146" s="17">
        <f>ROUND(VLOOKUP(O$139&amp;"_2",管理者用人口入力シート!CO:DL,Q146,FALSE),0)</f>
        <v>624</v>
      </c>
      <c r="Q146" s="2">
        <v>9</v>
      </c>
    </row>
    <row r="147" spans="7:17" x14ac:dyDescent="0.15">
      <c r="G147" s="2" t="s">
        <v>6</v>
      </c>
      <c r="H147" s="17">
        <f>ROUND(VLOOKUP(H$139&amp;"_1",管理者用人口入力シート!BH:CE,J147,FALSE),0)</f>
        <v>525</v>
      </c>
      <c r="I147" s="17">
        <f>ROUND(VLOOKUP(H$139&amp;"_2",管理者用人口入力シート!BH:CE,J147,FALSE),0)</f>
        <v>600</v>
      </c>
      <c r="J147" s="2">
        <v>10</v>
      </c>
      <c r="N147" s="2" t="s">
        <v>6</v>
      </c>
      <c r="O147" s="17">
        <f>ROUND(VLOOKUP(O$139&amp;"_1",管理者用人口入力シート!CO:DL,Q147,FALSE),0)</f>
        <v>527</v>
      </c>
      <c r="P147" s="17">
        <f>ROUND(VLOOKUP(O$139&amp;"_2",管理者用人口入力シート!CO:DL,Q147,FALSE),0)</f>
        <v>602</v>
      </c>
      <c r="Q147" s="2">
        <v>10</v>
      </c>
    </row>
    <row r="148" spans="7:17" x14ac:dyDescent="0.15">
      <c r="G148" s="2" t="s">
        <v>7</v>
      </c>
      <c r="H148" s="17">
        <f>ROUND(VLOOKUP(H$139&amp;"_1",管理者用人口入力シート!BH:CE,J148,FALSE),0)</f>
        <v>443</v>
      </c>
      <c r="I148" s="17">
        <f>ROUND(VLOOKUP(H$139&amp;"_2",管理者用人口入力シート!BH:CE,J148,FALSE),0)</f>
        <v>519</v>
      </c>
      <c r="J148" s="2">
        <v>11</v>
      </c>
      <c r="N148" s="2" t="s">
        <v>7</v>
      </c>
      <c r="O148" s="17">
        <f>ROUND(VLOOKUP(O$139&amp;"_1",管理者用人口入力シート!CO:DL,Q148,FALSE),0)</f>
        <v>445</v>
      </c>
      <c r="P148" s="17">
        <f>ROUND(VLOOKUP(O$139&amp;"_2",管理者用人口入力シート!CO:DL,Q148,FALSE),0)</f>
        <v>521</v>
      </c>
      <c r="Q148" s="2">
        <v>11</v>
      </c>
    </row>
    <row r="149" spans="7:17" x14ac:dyDescent="0.15">
      <c r="G149" s="2" t="s">
        <v>8</v>
      </c>
      <c r="H149" s="17">
        <f>ROUND(VLOOKUP(H$139&amp;"_1",管理者用人口入力シート!BH:CE,J149,FALSE),0)</f>
        <v>400</v>
      </c>
      <c r="I149" s="17">
        <f>ROUND(VLOOKUP(H$139&amp;"_2",管理者用人口入力シート!BH:CE,J149,FALSE),0)</f>
        <v>517</v>
      </c>
      <c r="J149" s="2">
        <v>12</v>
      </c>
      <c r="N149" s="2" t="s">
        <v>8</v>
      </c>
      <c r="O149" s="17">
        <f>ROUND(VLOOKUP(O$139&amp;"_1",管理者用人口入力シート!CO:DL,Q149,FALSE),0)</f>
        <v>402</v>
      </c>
      <c r="P149" s="17">
        <f>ROUND(VLOOKUP(O$139&amp;"_2",管理者用人口入力シート!CO:DL,Q149,FALSE),0)</f>
        <v>520</v>
      </c>
      <c r="Q149" s="2">
        <v>12</v>
      </c>
    </row>
    <row r="150" spans="7:17" x14ac:dyDescent="0.15">
      <c r="G150" s="2" t="s">
        <v>9</v>
      </c>
      <c r="H150" s="17">
        <f>ROUND(VLOOKUP(H$139&amp;"_1",管理者用人口入力シート!BH:CE,J150,FALSE),0)</f>
        <v>511</v>
      </c>
      <c r="I150" s="17">
        <f>ROUND(VLOOKUP(H$139&amp;"_2",管理者用人口入力シート!BH:CE,J150,FALSE),0)</f>
        <v>518</v>
      </c>
      <c r="J150" s="2">
        <v>13</v>
      </c>
      <c r="N150" s="2" t="s">
        <v>9</v>
      </c>
      <c r="O150" s="17">
        <f>ROUND(VLOOKUP(O$139&amp;"_1",管理者用人口入力シート!CO:DL,Q150,FALSE),0)</f>
        <v>511</v>
      </c>
      <c r="P150" s="17">
        <f>ROUND(VLOOKUP(O$139&amp;"_2",管理者用人口入力シート!CO:DL,Q150,FALSE),0)</f>
        <v>519</v>
      </c>
      <c r="Q150" s="2">
        <v>13</v>
      </c>
    </row>
    <row r="151" spans="7:17" x14ac:dyDescent="0.15">
      <c r="G151" s="2" t="s">
        <v>10</v>
      </c>
      <c r="H151" s="17">
        <f>ROUND(VLOOKUP(H$139&amp;"_1",管理者用人口入力シート!BH:CE,J151,FALSE),0)</f>
        <v>521</v>
      </c>
      <c r="I151" s="17">
        <f>ROUND(VLOOKUP(H$139&amp;"_2",管理者用人口入力シート!BH:CE,J151,FALSE),0)</f>
        <v>574</v>
      </c>
      <c r="J151" s="2">
        <v>14</v>
      </c>
      <c r="N151" s="2" t="s">
        <v>10</v>
      </c>
      <c r="O151" s="17">
        <f>ROUND(VLOOKUP(O$139&amp;"_1",管理者用人口入力シート!CO:DL,Q151,FALSE),0)</f>
        <v>521</v>
      </c>
      <c r="P151" s="17">
        <f>ROUND(VLOOKUP(O$139&amp;"_2",管理者用人口入力シート!CO:DL,Q151,FALSE),0)</f>
        <v>575</v>
      </c>
      <c r="Q151" s="2">
        <v>14</v>
      </c>
    </row>
    <row r="152" spans="7:17" x14ac:dyDescent="0.15">
      <c r="G152" s="2" t="s">
        <v>11</v>
      </c>
      <c r="H152" s="17">
        <f>ROUND(VLOOKUP(H$139&amp;"_1",管理者用人口入力シート!BH:CE,J152,FALSE),0)</f>
        <v>568</v>
      </c>
      <c r="I152" s="17">
        <f>ROUND(VLOOKUP(H$139&amp;"_2",管理者用人口入力シート!BH:CE,J152,FALSE),0)</f>
        <v>580</v>
      </c>
      <c r="J152" s="2">
        <v>15</v>
      </c>
      <c r="N152" s="2" t="s">
        <v>11</v>
      </c>
      <c r="O152" s="17">
        <f>ROUND(VLOOKUP(O$139&amp;"_1",管理者用人口入力シート!CO:DL,Q152,FALSE),0)</f>
        <v>568</v>
      </c>
      <c r="P152" s="17">
        <f>ROUND(VLOOKUP(O$139&amp;"_2",管理者用人口入力シート!CO:DL,Q152,FALSE),0)</f>
        <v>581</v>
      </c>
      <c r="Q152" s="2">
        <v>15</v>
      </c>
    </row>
    <row r="153" spans="7:17" x14ac:dyDescent="0.15">
      <c r="G153" s="2" t="s">
        <v>12</v>
      </c>
      <c r="H153" s="17">
        <f>ROUND(VLOOKUP(H$139&amp;"_1",管理者用人口入力シート!BH:CE,J153,FALSE),0)</f>
        <v>582</v>
      </c>
      <c r="I153" s="17">
        <f>ROUND(VLOOKUP(H$139&amp;"_2",管理者用人口入力シート!BH:CE,J153,FALSE),0)</f>
        <v>646</v>
      </c>
      <c r="J153" s="2">
        <v>16</v>
      </c>
      <c r="N153" s="2" t="s">
        <v>12</v>
      </c>
      <c r="O153" s="17">
        <f>ROUND(VLOOKUP(O$139&amp;"_1",管理者用人口入力シート!CO:DL,Q153,FALSE),0)</f>
        <v>582</v>
      </c>
      <c r="P153" s="17">
        <f>ROUND(VLOOKUP(O$139&amp;"_2",管理者用人口入力シート!CO:DL,Q153,FALSE),0)</f>
        <v>646</v>
      </c>
      <c r="Q153" s="2">
        <v>16</v>
      </c>
    </row>
    <row r="154" spans="7:17" x14ac:dyDescent="0.15">
      <c r="G154" s="2" t="s">
        <v>13</v>
      </c>
      <c r="H154" s="17">
        <f>ROUND(VLOOKUP(H$139&amp;"_1",管理者用人口入力シート!BH:CE,J154,FALSE),0)</f>
        <v>641</v>
      </c>
      <c r="I154" s="17">
        <f>ROUND(VLOOKUP(H$139&amp;"_2",管理者用人口入力シート!BH:CE,J154,FALSE),0)</f>
        <v>708</v>
      </c>
      <c r="J154" s="2">
        <v>17</v>
      </c>
      <c r="N154" s="2" t="s">
        <v>13</v>
      </c>
      <c r="O154" s="17">
        <f>ROUND(VLOOKUP(O$139&amp;"_1",管理者用人口入力シート!CO:DL,Q154,FALSE),0)</f>
        <v>641</v>
      </c>
      <c r="P154" s="17">
        <f>ROUND(VLOOKUP(O$139&amp;"_2",管理者用人口入力シート!CO:DL,Q154,FALSE),0)</f>
        <v>708</v>
      </c>
      <c r="Q154" s="2">
        <v>17</v>
      </c>
    </row>
    <row r="155" spans="7:17" x14ac:dyDescent="0.15">
      <c r="G155" s="2" t="s">
        <v>14</v>
      </c>
      <c r="H155" s="17">
        <f>ROUND(VLOOKUP(H$139&amp;"_1",管理者用人口入力シート!BH:CE,J155,FALSE),0)</f>
        <v>464</v>
      </c>
      <c r="I155" s="17">
        <f>ROUND(VLOOKUP(H$139&amp;"_2",管理者用人口入力シート!BH:CE,J155,FALSE),0)</f>
        <v>562</v>
      </c>
      <c r="J155" s="2">
        <v>18</v>
      </c>
      <c r="N155" s="2" t="s">
        <v>14</v>
      </c>
      <c r="O155" s="17">
        <f>ROUND(VLOOKUP(O$139&amp;"_1",管理者用人口入力シート!CO:DL,Q155,FALSE),0)</f>
        <v>464</v>
      </c>
      <c r="P155" s="17">
        <f>ROUND(VLOOKUP(O$139&amp;"_2",管理者用人口入力シート!CO:DL,Q155,FALSE),0)</f>
        <v>562</v>
      </c>
      <c r="Q155" s="2">
        <v>18</v>
      </c>
    </row>
    <row r="156" spans="7:17" x14ac:dyDescent="0.15">
      <c r="G156" s="2" t="s">
        <v>15</v>
      </c>
      <c r="H156" s="17">
        <f>ROUND(VLOOKUP(H$139&amp;"_1",管理者用人口入力シート!BH:CE,J156,FALSE),0)</f>
        <v>414</v>
      </c>
      <c r="I156" s="17">
        <f>ROUND(VLOOKUP(H$139&amp;"_2",管理者用人口入力シート!BH:CE,J156,FALSE),0)</f>
        <v>531</v>
      </c>
      <c r="J156" s="2">
        <v>19</v>
      </c>
      <c r="N156" s="2" t="s">
        <v>15</v>
      </c>
      <c r="O156" s="17">
        <f>ROUND(VLOOKUP(O$139&amp;"_1",管理者用人口入力シート!CO:DL,Q156,FALSE),0)</f>
        <v>414</v>
      </c>
      <c r="P156" s="17">
        <f>ROUND(VLOOKUP(O$139&amp;"_2",管理者用人口入力シート!CO:DL,Q156,FALSE),0)</f>
        <v>531</v>
      </c>
      <c r="Q156" s="2">
        <v>19</v>
      </c>
    </row>
    <row r="157" spans="7:17" x14ac:dyDescent="0.15">
      <c r="G157" s="2" t="s">
        <v>16</v>
      </c>
      <c r="H157" s="17">
        <f>ROUND(VLOOKUP(H$139&amp;"_1",管理者用人口入力シート!BH:CE,J157,FALSE),0)</f>
        <v>356</v>
      </c>
      <c r="I157" s="17">
        <f>ROUND(VLOOKUP(H$139&amp;"_2",管理者用人口入力シート!BH:CE,J157,FALSE),0)</f>
        <v>481</v>
      </c>
      <c r="J157" s="2">
        <v>20</v>
      </c>
      <c r="N157" s="2" t="s">
        <v>16</v>
      </c>
      <c r="O157" s="17">
        <f>ROUND(VLOOKUP(O$139&amp;"_1",管理者用人口入力シート!CO:DL,Q157,FALSE),0)</f>
        <v>356</v>
      </c>
      <c r="P157" s="17">
        <f>ROUND(VLOOKUP(O$139&amp;"_2",管理者用人口入力シート!CO:DL,Q157,FALSE),0)</f>
        <v>481</v>
      </c>
      <c r="Q157" s="2">
        <v>20</v>
      </c>
    </row>
    <row r="158" spans="7:17" x14ac:dyDescent="0.15">
      <c r="G158" s="2" t="s">
        <v>17</v>
      </c>
      <c r="H158" s="17">
        <f>ROUND(VLOOKUP(H$139&amp;"_1",管理者用人口入力シート!BH:CE,J158,FALSE),0)</f>
        <v>205</v>
      </c>
      <c r="I158" s="17">
        <f>ROUND(VLOOKUP(H$139&amp;"_2",管理者用人口入力シート!BH:CE,J158,FALSE),0)</f>
        <v>367</v>
      </c>
      <c r="J158" s="2">
        <v>21</v>
      </c>
      <c r="N158" s="2" t="s">
        <v>17</v>
      </c>
      <c r="O158" s="17">
        <f>ROUND(VLOOKUP(O$139&amp;"_1",管理者用人口入力シート!CO:DL,Q158,FALSE),0)</f>
        <v>205</v>
      </c>
      <c r="P158" s="17">
        <f>ROUND(VLOOKUP(O$139&amp;"_2",管理者用人口入力シート!CO:DL,Q158,FALSE),0)</f>
        <v>367</v>
      </c>
      <c r="Q158" s="2">
        <v>21</v>
      </c>
    </row>
    <row r="159" spans="7:17" x14ac:dyDescent="0.15">
      <c r="G159" s="2" t="s">
        <v>18</v>
      </c>
      <c r="H159" s="17">
        <f>ROUND(VLOOKUP(H$139&amp;"_1",管理者用人口入力シート!BH:CE,J159,FALSE),0)</f>
        <v>95</v>
      </c>
      <c r="I159" s="17">
        <f>ROUND(VLOOKUP(H$139&amp;"_2",管理者用人口入力シート!BH:CE,J159,FALSE),0)</f>
        <v>204</v>
      </c>
      <c r="J159" s="2">
        <v>22</v>
      </c>
      <c r="N159" s="2" t="s">
        <v>18</v>
      </c>
      <c r="O159" s="17">
        <f>ROUND(VLOOKUP(O$139&amp;"_1",管理者用人口入力シート!CO:DL,Q159,FALSE),0)</f>
        <v>95</v>
      </c>
      <c r="P159" s="17">
        <f>ROUND(VLOOKUP(O$139&amp;"_2",管理者用人口入力シート!CO:DL,Q159,FALSE),0)</f>
        <v>204</v>
      </c>
      <c r="Q159" s="2">
        <v>22</v>
      </c>
    </row>
    <row r="160" spans="7:17" x14ac:dyDescent="0.15">
      <c r="G160" s="2" t="s">
        <v>19</v>
      </c>
      <c r="H160" s="17">
        <f>ROUND(VLOOKUP(H$139&amp;"_1",管理者用人口入力シート!BH:CE,J160,FALSE),0)</f>
        <v>7</v>
      </c>
      <c r="I160" s="17">
        <f>ROUND(VLOOKUP(H$139&amp;"_2",管理者用人口入力シート!BH:CE,J160,FALSE),0)</f>
        <v>57</v>
      </c>
      <c r="J160" s="2">
        <v>23</v>
      </c>
      <c r="N160" s="2" t="s">
        <v>19</v>
      </c>
      <c r="O160" s="17">
        <f>ROUND(VLOOKUP(O$139&amp;"_1",管理者用人口入力シート!CO:DL,Q160,FALSE),0)</f>
        <v>7</v>
      </c>
      <c r="P160" s="17">
        <f>ROUND(VLOOKUP(O$139&amp;"_2",管理者用人口入力シート!CO:DL,Q160,FALSE),0)</f>
        <v>57</v>
      </c>
      <c r="Q160" s="2">
        <v>23</v>
      </c>
    </row>
    <row r="161" spans="7:17" x14ac:dyDescent="0.15">
      <c r="G161" s="2" t="s">
        <v>20</v>
      </c>
      <c r="H161" s="17">
        <f>ROUND(VLOOKUP(H$139&amp;"_1",管理者用人口入力シート!BH:CE,J161,FALSE),0)</f>
        <v>0</v>
      </c>
      <c r="I161" s="17">
        <f>ROUND(VLOOKUP(H$139&amp;"_2",管理者用人口入力シート!BH:CE,J161,FALSE),0)</f>
        <v>12</v>
      </c>
      <c r="J161" s="2">
        <v>24</v>
      </c>
      <c r="N161" s="2" t="s">
        <v>20</v>
      </c>
      <c r="O161" s="17">
        <f>ROUND(VLOOKUP(O$139&amp;"_1",管理者用人口入力シート!CO:DL,Q161,FALSE),0)</f>
        <v>0</v>
      </c>
      <c r="P161" s="17">
        <f>ROUND(VLOOKUP(O$139&amp;"_2",管理者用人口入力シート!CO:DL,Q161,FALSE),0)</f>
        <v>12</v>
      </c>
      <c r="Q161" s="2">
        <v>24</v>
      </c>
    </row>
    <row r="163" spans="7:17" x14ac:dyDescent="0.15">
      <c r="G163" s="2" t="s">
        <v>395</v>
      </c>
      <c r="H163" s="315">
        <f>管理者入力シート!B12</f>
        <v>2045</v>
      </c>
      <c r="I163" s="316"/>
      <c r="J163" s="2" t="s">
        <v>114</v>
      </c>
      <c r="O163" s="315">
        <f>管理者入力シート!B12</f>
        <v>2045</v>
      </c>
      <c r="P163" s="316"/>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380</v>
      </c>
      <c r="I165" s="17">
        <f>ROUND(VLOOKUP(H$163&amp;"_2",管理者用人口入力シート!BH:CE,J165,FALSE),0)</f>
        <v>379</v>
      </c>
      <c r="J165" s="2">
        <v>4</v>
      </c>
      <c r="N165" s="2" t="s">
        <v>0</v>
      </c>
      <c r="O165" s="17">
        <f>ROUND(VLOOKUP(O$163&amp;"_1",管理者用人口入力シート!CO:DL,Q165,FALSE),0)</f>
        <v>383</v>
      </c>
      <c r="P165" s="17">
        <f>ROUND(VLOOKUP(O$163&amp;"_2",管理者用人口入力シート!CO:DL,Q165,FALSE),0)</f>
        <v>381</v>
      </c>
      <c r="Q165" s="2">
        <v>4</v>
      </c>
    </row>
    <row r="166" spans="7:17" x14ac:dyDescent="0.15">
      <c r="G166" s="2" t="s">
        <v>1</v>
      </c>
      <c r="H166" s="17">
        <f>ROUND(VLOOKUP(H$163&amp;"_1",管理者用人口入力シート!BH:CE,J166,FALSE),0)</f>
        <v>369</v>
      </c>
      <c r="I166" s="17">
        <f>ROUND(VLOOKUP(H$163&amp;"_2",管理者用人口入力シート!BH:CE,J166,FALSE),0)</f>
        <v>374</v>
      </c>
      <c r="J166" s="2">
        <v>5</v>
      </c>
      <c r="N166" s="2" t="s">
        <v>1</v>
      </c>
      <c r="O166" s="17">
        <f>ROUND(VLOOKUP(O$163&amp;"_1",管理者用人口入力シート!CO:DL,Q166,FALSE),0)</f>
        <v>371</v>
      </c>
      <c r="P166" s="17">
        <f>ROUND(VLOOKUP(O$163&amp;"_2",管理者用人口入力シート!CO:DL,Q166,FALSE),0)</f>
        <v>377</v>
      </c>
      <c r="Q166" s="2">
        <v>5</v>
      </c>
    </row>
    <row r="167" spans="7:17" x14ac:dyDescent="0.15">
      <c r="G167" s="2" t="s">
        <v>2</v>
      </c>
      <c r="H167" s="17">
        <f>ROUND(VLOOKUP(H$163&amp;"_1",管理者用人口入力シート!BH:CE,J167,FALSE),0)</f>
        <v>373</v>
      </c>
      <c r="I167" s="17">
        <f>ROUND(VLOOKUP(H$163&amp;"_2",管理者用人口入力シート!BH:CE,J167,FALSE),0)</f>
        <v>386</v>
      </c>
      <c r="J167" s="2">
        <v>6</v>
      </c>
      <c r="N167" s="2" t="s">
        <v>2</v>
      </c>
      <c r="O167" s="17">
        <f>ROUND(VLOOKUP(O$163&amp;"_1",管理者用人口入力シート!CO:DL,Q167,FALSE),0)</f>
        <v>376</v>
      </c>
      <c r="P167" s="17">
        <f>ROUND(VLOOKUP(O$163&amp;"_2",管理者用人口入力シート!CO:DL,Q167,FALSE),0)</f>
        <v>389</v>
      </c>
      <c r="Q167" s="2">
        <v>6</v>
      </c>
    </row>
    <row r="168" spans="7:17" x14ac:dyDescent="0.15">
      <c r="G168" s="2" t="s">
        <v>3</v>
      </c>
      <c r="H168" s="17">
        <f>ROUND(VLOOKUP(H$163&amp;"_1",管理者用人口入力シート!BH:CE,J168,FALSE),0)</f>
        <v>358</v>
      </c>
      <c r="I168" s="17">
        <f>ROUND(VLOOKUP(H$163&amp;"_2",管理者用人口入力シート!BH:CE,J168,FALSE),0)</f>
        <v>416</v>
      </c>
      <c r="J168" s="2">
        <v>7</v>
      </c>
      <c r="N168" s="2" t="s">
        <v>3</v>
      </c>
      <c r="O168" s="17">
        <f>ROUND(VLOOKUP(O$163&amp;"_1",管理者用人口入力シート!CO:DL,Q168,FALSE),0)</f>
        <v>361</v>
      </c>
      <c r="P168" s="17">
        <f>ROUND(VLOOKUP(O$163&amp;"_2",管理者用人口入力シート!CO:DL,Q168,FALSE),0)</f>
        <v>419</v>
      </c>
      <c r="Q168" s="2">
        <v>7</v>
      </c>
    </row>
    <row r="169" spans="7:17" x14ac:dyDescent="0.15">
      <c r="G169" s="2" t="s">
        <v>4</v>
      </c>
      <c r="H169" s="17">
        <f>ROUND(VLOOKUP(H$163&amp;"_1",管理者用人口入力シート!BH:CE,J169,FALSE),0)</f>
        <v>349</v>
      </c>
      <c r="I169" s="17">
        <f>ROUND(VLOOKUP(H$163&amp;"_2",管理者用人口入力シート!BH:CE,J169,FALSE),0)</f>
        <v>430</v>
      </c>
      <c r="J169" s="2">
        <v>8</v>
      </c>
      <c r="N169" s="2" t="s">
        <v>4</v>
      </c>
      <c r="O169" s="17">
        <f>ROUND(VLOOKUP(O$163&amp;"_1",管理者用人口入力シート!CO:DL,Q169,FALSE),0)</f>
        <v>351</v>
      </c>
      <c r="P169" s="17">
        <f>ROUND(VLOOKUP(O$163&amp;"_2",管理者用人口入力シート!CO:DL,Q169,FALSE),0)</f>
        <v>433</v>
      </c>
      <c r="Q169" s="2">
        <v>8</v>
      </c>
    </row>
    <row r="170" spans="7:17" x14ac:dyDescent="0.15">
      <c r="G170" s="2" t="s">
        <v>5</v>
      </c>
      <c r="H170" s="17">
        <f>ROUND(VLOOKUP(H$163&amp;"_1",管理者用人口入力シート!BH:CE,J170,FALSE),0)</f>
        <v>361</v>
      </c>
      <c r="I170" s="17">
        <f>ROUND(VLOOKUP(H$163&amp;"_2",管理者用人口入力シート!BH:CE,J170,FALSE),0)</f>
        <v>483</v>
      </c>
      <c r="J170" s="2">
        <v>9</v>
      </c>
      <c r="N170" s="2" t="s">
        <v>5</v>
      </c>
      <c r="O170" s="17">
        <f>ROUND(VLOOKUP(O$163&amp;"_1",管理者用人口入力シート!CO:DL,Q170,FALSE),0)</f>
        <v>364</v>
      </c>
      <c r="P170" s="17">
        <f>ROUND(VLOOKUP(O$163&amp;"_2",管理者用人口入力シート!CO:DL,Q170,FALSE),0)</f>
        <v>487</v>
      </c>
      <c r="Q170" s="2">
        <v>9</v>
      </c>
    </row>
    <row r="171" spans="7:17" x14ac:dyDescent="0.15">
      <c r="G171" s="2" t="s">
        <v>6</v>
      </c>
      <c r="H171" s="17">
        <f>ROUND(VLOOKUP(H$163&amp;"_1",管理者用人口入力シート!BH:CE,J171,FALSE),0)</f>
        <v>412</v>
      </c>
      <c r="I171" s="17">
        <f>ROUND(VLOOKUP(H$163&amp;"_2",管理者用人口入力シート!BH:CE,J171,FALSE),0)</f>
        <v>580</v>
      </c>
      <c r="J171" s="2">
        <v>10</v>
      </c>
      <c r="N171" s="2" t="s">
        <v>6</v>
      </c>
      <c r="O171" s="17">
        <f>ROUND(VLOOKUP(O$163&amp;"_1",管理者用人口入力シート!CO:DL,Q171,FALSE),0)</f>
        <v>415</v>
      </c>
      <c r="P171" s="17">
        <f>ROUND(VLOOKUP(O$163&amp;"_2",管理者用人口入力シート!CO:DL,Q171,FALSE),0)</f>
        <v>583</v>
      </c>
      <c r="Q171" s="2">
        <v>10</v>
      </c>
    </row>
    <row r="172" spans="7:17" x14ac:dyDescent="0.15">
      <c r="G172" s="2" t="s">
        <v>7</v>
      </c>
      <c r="H172" s="17">
        <f>ROUND(VLOOKUP(H$163&amp;"_1",管理者用人口入力シート!BH:CE,J172,FALSE),0)</f>
        <v>517</v>
      </c>
      <c r="I172" s="17">
        <f>ROUND(VLOOKUP(H$163&amp;"_2",管理者用人口入力シート!BH:CE,J172,FALSE),0)</f>
        <v>593</v>
      </c>
      <c r="J172" s="2">
        <v>11</v>
      </c>
      <c r="N172" s="2" t="s">
        <v>7</v>
      </c>
      <c r="O172" s="17">
        <f>ROUND(VLOOKUP(O$163&amp;"_1",管理者用人口入力シート!CO:DL,Q172,FALSE),0)</f>
        <v>519</v>
      </c>
      <c r="P172" s="17">
        <f>ROUND(VLOOKUP(O$163&amp;"_2",管理者用人口入力シート!CO:DL,Q172,FALSE),0)</f>
        <v>594</v>
      </c>
      <c r="Q172" s="2">
        <v>11</v>
      </c>
    </row>
    <row r="173" spans="7:17" x14ac:dyDescent="0.15">
      <c r="G173" s="2" t="s">
        <v>8</v>
      </c>
      <c r="H173" s="17">
        <f>ROUND(VLOOKUP(H$163&amp;"_1",管理者用人口入力シート!BH:CE,J173,FALSE),0)</f>
        <v>439</v>
      </c>
      <c r="I173" s="17">
        <f>ROUND(VLOOKUP(H$163&amp;"_2",管理者用人口入力シート!BH:CE,J173,FALSE),0)</f>
        <v>520</v>
      </c>
      <c r="J173" s="2">
        <v>12</v>
      </c>
      <c r="N173" s="2" t="s">
        <v>8</v>
      </c>
      <c r="O173" s="17">
        <f>ROUND(VLOOKUP(O$163&amp;"_1",管理者用人口入力シート!CO:DL,Q173,FALSE),0)</f>
        <v>441</v>
      </c>
      <c r="P173" s="17">
        <f>ROUND(VLOOKUP(O$163&amp;"_2",管理者用人口入力シート!CO:DL,Q173,FALSE),0)</f>
        <v>523</v>
      </c>
      <c r="Q173" s="2">
        <v>12</v>
      </c>
    </row>
    <row r="174" spans="7:17" x14ac:dyDescent="0.15">
      <c r="G174" s="2" t="s">
        <v>9</v>
      </c>
      <c r="H174" s="17">
        <f>ROUND(VLOOKUP(H$163&amp;"_1",管理者用人口入力シート!BH:CE,J174,FALSE),0)</f>
        <v>403</v>
      </c>
      <c r="I174" s="17">
        <f>ROUND(VLOOKUP(H$163&amp;"_2",管理者用人口入力シート!BH:CE,J174,FALSE),0)</f>
        <v>522</v>
      </c>
      <c r="J174" s="2">
        <v>13</v>
      </c>
      <c r="N174" s="2" t="s">
        <v>9</v>
      </c>
      <c r="O174" s="17">
        <f>ROUND(VLOOKUP(O$163&amp;"_1",管理者用人口入力シート!CO:DL,Q174,FALSE),0)</f>
        <v>405</v>
      </c>
      <c r="P174" s="17">
        <f>ROUND(VLOOKUP(O$163&amp;"_2",管理者用人口入力シート!CO:DL,Q174,FALSE),0)</f>
        <v>525</v>
      </c>
      <c r="Q174" s="2">
        <v>13</v>
      </c>
    </row>
    <row r="175" spans="7:17" x14ac:dyDescent="0.15">
      <c r="G175" s="2" t="s">
        <v>10</v>
      </c>
      <c r="H175" s="17">
        <f>ROUND(VLOOKUP(H$163&amp;"_1",管理者用人口入力シート!BH:CE,J175,FALSE),0)</f>
        <v>499</v>
      </c>
      <c r="I175" s="17">
        <f>ROUND(VLOOKUP(H$163&amp;"_2",管理者用人口入力シート!BH:CE,J175,FALSE),0)</f>
        <v>514</v>
      </c>
      <c r="J175" s="2">
        <v>14</v>
      </c>
      <c r="N175" s="2" t="s">
        <v>10</v>
      </c>
      <c r="O175" s="17">
        <f>ROUND(VLOOKUP(O$163&amp;"_1",管理者用人口入力シート!CO:DL,Q175,FALSE),0)</f>
        <v>499</v>
      </c>
      <c r="P175" s="17">
        <f>ROUND(VLOOKUP(O$163&amp;"_2",管理者用人口入力シート!CO:DL,Q175,FALSE),0)</f>
        <v>515</v>
      </c>
      <c r="Q175" s="2">
        <v>14</v>
      </c>
    </row>
    <row r="176" spans="7:17" x14ac:dyDescent="0.15">
      <c r="G176" s="2" t="s">
        <v>11</v>
      </c>
      <c r="H176" s="17">
        <f>ROUND(VLOOKUP(H$163&amp;"_1",管理者用人口入力シート!BH:CE,J176,FALSE),0)</f>
        <v>506</v>
      </c>
      <c r="I176" s="17">
        <f>ROUND(VLOOKUP(H$163&amp;"_2",管理者用人口入力シート!BH:CE,J176,FALSE),0)</f>
        <v>558</v>
      </c>
      <c r="J176" s="2">
        <v>15</v>
      </c>
      <c r="N176" s="2" t="s">
        <v>11</v>
      </c>
      <c r="O176" s="17">
        <f>ROUND(VLOOKUP(O$163&amp;"_1",管理者用人口入力シート!CO:DL,Q176,FALSE),0)</f>
        <v>506</v>
      </c>
      <c r="P176" s="17">
        <f>ROUND(VLOOKUP(O$163&amp;"_2",管理者用人口入力シート!CO:DL,Q176,FALSE),0)</f>
        <v>559</v>
      </c>
      <c r="Q176" s="2">
        <v>15</v>
      </c>
    </row>
    <row r="177" spans="7:17" x14ac:dyDescent="0.15">
      <c r="G177" s="2" t="s">
        <v>12</v>
      </c>
      <c r="H177" s="17">
        <f>ROUND(VLOOKUP(H$163&amp;"_1",管理者用人口入力シート!BH:CE,J177,FALSE),0)</f>
        <v>559</v>
      </c>
      <c r="I177" s="17">
        <f>ROUND(VLOOKUP(H$163&amp;"_2",管理者用人口入力シート!BH:CE,J177,FALSE),0)</f>
        <v>587</v>
      </c>
      <c r="J177" s="2">
        <v>16</v>
      </c>
      <c r="N177" s="2" t="s">
        <v>12</v>
      </c>
      <c r="O177" s="17">
        <f>ROUND(VLOOKUP(O$163&amp;"_1",管理者用人口入力シート!CO:DL,Q177,FALSE),0)</f>
        <v>559</v>
      </c>
      <c r="P177" s="17">
        <f>ROUND(VLOOKUP(O$163&amp;"_2",管理者用人口入力シート!CO:DL,Q177,FALSE),0)</f>
        <v>588</v>
      </c>
      <c r="Q177" s="2">
        <v>16</v>
      </c>
    </row>
    <row r="178" spans="7:17" x14ac:dyDescent="0.15">
      <c r="G178" s="2" t="s">
        <v>13</v>
      </c>
      <c r="H178" s="17">
        <f>ROUND(VLOOKUP(H$163&amp;"_1",管理者用人口入力シート!BH:CE,J178,FALSE),0)</f>
        <v>561</v>
      </c>
      <c r="I178" s="17">
        <f>ROUND(VLOOKUP(H$163&amp;"_2",管理者用人口入力シート!BH:CE,J178,FALSE),0)</f>
        <v>640</v>
      </c>
      <c r="J178" s="2">
        <v>17</v>
      </c>
      <c r="N178" s="2" t="s">
        <v>13</v>
      </c>
      <c r="O178" s="17">
        <f>ROUND(VLOOKUP(O$163&amp;"_1",管理者用人口入力シート!CO:DL,Q178,FALSE),0)</f>
        <v>561</v>
      </c>
      <c r="P178" s="17">
        <f>ROUND(VLOOKUP(O$163&amp;"_2",管理者用人口入力シート!CO:DL,Q178,FALSE),0)</f>
        <v>640</v>
      </c>
      <c r="Q178" s="2">
        <v>17</v>
      </c>
    </row>
    <row r="179" spans="7:17" x14ac:dyDescent="0.15">
      <c r="G179" s="2" t="s">
        <v>14</v>
      </c>
      <c r="H179" s="17">
        <f>ROUND(VLOOKUP(H$163&amp;"_1",管理者用人口入力シート!BH:CE,J179,FALSE),0)</f>
        <v>582</v>
      </c>
      <c r="I179" s="17">
        <f>ROUND(VLOOKUP(H$163&amp;"_2",管理者用人口入力シート!BH:CE,J179,FALSE),0)</f>
        <v>659</v>
      </c>
      <c r="J179" s="2">
        <v>18</v>
      </c>
      <c r="N179" s="2" t="s">
        <v>14</v>
      </c>
      <c r="O179" s="17">
        <f>ROUND(VLOOKUP(O$163&amp;"_1",管理者用人口入力シート!CO:DL,Q179,FALSE),0)</f>
        <v>582</v>
      </c>
      <c r="P179" s="17">
        <f>ROUND(VLOOKUP(O$163&amp;"_2",管理者用人口入力シート!CO:DL,Q179,FALSE),0)</f>
        <v>659</v>
      </c>
      <c r="Q179" s="2">
        <v>18</v>
      </c>
    </row>
    <row r="180" spans="7:17" x14ac:dyDescent="0.15">
      <c r="G180" s="2" t="s">
        <v>15</v>
      </c>
      <c r="H180" s="17">
        <f>ROUND(VLOOKUP(H$163&amp;"_1",管理者用人口入力シート!BH:CE,J180,FALSE),0)</f>
        <v>396</v>
      </c>
      <c r="I180" s="17">
        <f>ROUND(VLOOKUP(H$163&amp;"_2",管理者用人口入力シート!BH:CE,J180,FALSE),0)</f>
        <v>534</v>
      </c>
      <c r="J180" s="2">
        <v>19</v>
      </c>
      <c r="N180" s="2" t="s">
        <v>15</v>
      </c>
      <c r="O180" s="17">
        <f>ROUND(VLOOKUP(O$163&amp;"_1",管理者用人口入力シート!CO:DL,Q180,FALSE),0)</f>
        <v>396</v>
      </c>
      <c r="P180" s="17">
        <f>ROUND(VLOOKUP(O$163&amp;"_2",管理者用人口入力シート!CO:DL,Q180,FALSE),0)</f>
        <v>534</v>
      </c>
      <c r="Q180" s="2">
        <v>19</v>
      </c>
    </row>
    <row r="181" spans="7:17" x14ac:dyDescent="0.15">
      <c r="G181" s="2" t="s">
        <v>16</v>
      </c>
      <c r="H181" s="17">
        <f>ROUND(VLOOKUP(H$163&amp;"_1",管理者用人口入力シート!BH:CE,J181,FALSE),0)</f>
        <v>321</v>
      </c>
      <c r="I181" s="17">
        <f>ROUND(VLOOKUP(H$163&amp;"_2",管理者用人口入力シート!BH:CE,J181,FALSE),0)</f>
        <v>471</v>
      </c>
      <c r="J181" s="2">
        <v>20</v>
      </c>
      <c r="N181" s="2" t="s">
        <v>16</v>
      </c>
      <c r="O181" s="17">
        <f>ROUND(VLOOKUP(O$163&amp;"_1",管理者用人口入力シート!CO:DL,Q181,FALSE),0)</f>
        <v>321</v>
      </c>
      <c r="P181" s="17">
        <f>ROUND(VLOOKUP(O$163&amp;"_2",管理者用人口入力シート!CO:DL,Q181,FALSE),0)</f>
        <v>471</v>
      </c>
      <c r="Q181" s="2">
        <v>20</v>
      </c>
    </row>
    <row r="182" spans="7:17" x14ac:dyDescent="0.15">
      <c r="G182" s="2" t="s">
        <v>17</v>
      </c>
      <c r="H182" s="17">
        <f>ROUND(VLOOKUP(H$163&amp;"_1",管理者用人口入力シート!BH:CE,J182,FALSE),0)</f>
        <v>218</v>
      </c>
      <c r="I182" s="17">
        <f>ROUND(VLOOKUP(H$163&amp;"_2",管理者用人口入力シート!BH:CE,J182,FALSE),0)</f>
        <v>364</v>
      </c>
      <c r="J182" s="2">
        <v>21</v>
      </c>
      <c r="N182" s="2" t="s">
        <v>17</v>
      </c>
      <c r="O182" s="17">
        <f>ROUND(VLOOKUP(O$163&amp;"_1",管理者用人口入力シート!CO:DL,Q182,FALSE),0)</f>
        <v>218</v>
      </c>
      <c r="P182" s="17">
        <f>ROUND(VLOOKUP(O$163&amp;"_2",管理者用人口入力シート!CO:DL,Q182,FALSE),0)</f>
        <v>364</v>
      </c>
      <c r="Q182" s="2">
        <v>21</v>
      </c>
    </row>
    <row r="183" spans="7:17" x14ac:dyDescent="0.15">
      <c r="G183" s="2" t="s">
        <v>18</v>
      </c>
      <c r="H183" s="17">
        <f>ROUND(VLOOKUP(H$163&amp;"_1",管理者用人口入力シート!BH:CE,J183,FALSE),0)</f>
        <v>88</v>
      </c>
      <c r="I183" s="17">
        <f>ROUND(VLOOKUP(H$163&amp;"_2",管理者用人口入力シート!BH:CE,J183,FALSE),0)</f>
        <v>194</v>
      </c>
      <c r="J183" s="2">
        <v>22</v>
      </c>
      <c r="N183" s="2" t="s">
        <v>18</v>
      </c>
      <c r="O183" s="17">
        <f>ROUND(VLOOKUP(O$163&amp;"_1",管理者用人口入力シート!CO:DL,Q183,FALSE),0)</f>
        <v>88</v>
      </c>
      <c r="P183" s="17">
        <f>ROUND(VLOOKUP(O$163&amp;"_2",管理者用人口入力シート!CO:DL,Q183,FALSE),0)</f>
        <v>194</v>
      </c>
      <c r="Q183" s="2">
        <v>22</v>
      </c>
    </row>
    <row r="184" spans="7:17" x14ac:dyDescent="0.15">
      <c r="G184" s="2" t="s">
        <v>19</v>
      </c>
      <c r="H184" s="17">
        <f>ROUND(VLOOKUP(H$163&amp;"_1",管理者用人口入力シート!BH:CE,J184,FALSE),0)</f>
        <v>10</v>
      </c>
      <c r="I184" s="17">
        <f>ROUND(VLOOKUP(H$163&amp;"_2",管理者用人口入力シート!BH:CE,J184,FALSE),0)</f>
        <v>69</v>
      </c>
      <c r="J184" s="2">
        <v>23</v>
      </c>
      <c r="N184" s="2" t="s">
        <v>19</v>
      </c>
      <c r="O184" s="17">
        <f>ROUND(VLOOKUP(O$163&amp;"_1",管理者用人口入力シート!CO:DL,Q184,FALSE),0)</f>
        <v>10</v>
      </c>
      <c r="P184" s="17">
        <f>ROUND(VLOOKUP(O$163&amp;"_2",管理者用人口入力シート!CO:DL,Q184,FALSE),0)</f>
        <v>69</v>
      </c>
      <c r="Q184" s="2">
        <v>23</v>
      </c>
    </row>
    <row r="185" spans="7:17" x14ac:dyDescent="0.15">
      <c r="G185" s="2" t="s">
        <v>20</v>
      </c>
      <c r="H185" s="17">
        <f>ROUND(VLOOKUP(H$163&amp;"_1",管理者用人口入力シート!BH:CE,J185,FALSE),0)</f>
        <v>0</v>
      </c>
      <c r="I185" s="17">
        <f>ROUND(VLOOKUP(H$163&amp;"_2",管理者用人口入力シート!BH:CE,J185,FALSE),0)</f>
        <v>14</v>
      </c>
      <c r="J185" s="2">
        <v>24</v>
      </c>
      <c r="N185" s="2" t="s">
        <v>20</v>
      </c>
      <c r="O185" s="17">
        <f>ROUND(VLOOKUP(O$163&amp;"_1",管理者用人口入力シート!CO:DL,Q185,FALSE),0)</f>
        <v>0</v>
      </c>
      <c r="P185" s="17">
        <f>ROUND(VLOOKUP(O$163&amp;"_2",管理者用人口入力シート!CO:DL,Q185,FALSE),0)</f>
        <v>14</v>
      </c>
      <c r="Q185" s="2">
        <v>24</v>
      </c>
    </row>
    <row r="187" spans="7:17" x14ac:dyDescent="0.15">
      <c r="G187" s="2" t="s">
        <v>396</v>
      </c>
      <c r="H187" s="315">
        <f>管理者入力シート!B13</f>
        <v>2050</v>
      </c>
      <c r="I187" s="316"/>
      <c r="J187" s="2" t="s">
        <v>114</v>
      </c>
      <c r="O187" s="315">
        <f>管理者入力シート!B13</f>
        <v>2050</v>
      </c>
      <c r="P187" s="316"/>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351</v>
      </c>
      <c r="I189" s="17">
        <f>ROUND(VLOOKUP(H$187&amp;"_2",管理者用人口入力シート!BH:CE,J189,FALSE),0)</f>
        <v>349</v>
      </c>
      <c r="J189" s="2">
        <v>4</v>
      </c>
      <c r="N189" s="2" t="s">
        <v>0</v>
      </c>
      <c r="O189" s="17">
        <f>ROUND(VLOOKUP(O$187&amp;"_1",管理者用人口入力シート!CO:DL,Q189,FALSE),0)</f>
        <v>354</v>
      </c>
      <c r="P189" s="17">
        <f>ROUND(VLOOKUP(O$187&amp;"_2",管理者用人口入力シート!CO:DL,Q189,FALSE),0)</f>
        <v>353</v>
      </c>
      <c r="Q189" s="2">
        <v>4</v>
      </c>
    </row>
    <row r="190" spans="7:17" x14ac:dyDescent="0.15">
      <c r="G190" s="2" t="s">
        <v>1</v>
      </c>
      <c r="H190" s="17">
        <f>ROUND(VLOOKUP(H$187&amp;"_1",管理者用人口入力シート!BH:CE,J190,FALSE),0)</f>
        <v>352</v>
      </c>
      <c r="I190" s="17">
        <f>ROUND(VLOOKUP(H$187&amp;"_2",管理者用人口入力シート!BH:CE,J190,FALSE),0)</f>
        <v>357</v>
      </c>
      <c r="J190" s="2">
        <v>5</v>
      </c>
      <c r="N190" s="2" t="s">
        <v>1</v>
      </c>
      <c r="O190" s="17">
        <f>ROUND(VLOOKUP(O$187&amp;"_1",管理者用人口入力シート!CO:DL,Q190,FALSE),0)</f>
        <v>355</v>
      </c>
      <c r="P190" s="17">
        <f>ROUND(VLOOKUP(O$187&amp;"_2",管理者用人口入力シート!CO:DL,Q190,FALSE),0)</f>
        <v>360</v>
      </c>
      <c r="Q190" s="2">
        <v>5</v>
      </c>
    </row>
    <row r="191" spans="7:17" x14ac:dyDescent="0.15">
      <c r="G191" s="2" t="s">
        <v>2</v>
      </c>
      <c r="H191" s="17">
        <f>ROUND(VLOOKUP(H$187&amp;"_1",管理者用人口入力シート!BH:CE,J191,FALSE),0)</f>
        <v>361</v>
      </c>
      <c r="I191" s="17">
        <f>ROUND(VLOOKUP(H$187&amp;"_2",管理者用人口入力シート!BH:CE,J191,FALSE),0)</f>
        <v>374</v>
      </c>
      <c r="J191" s="2">
        <v>6</v>
      </c>
      <c r="N191" s="2" t="s">
        <v>2</v>
      </c>
      <c r="O191" s="17">
        <f>ROUND(VLOOKUP(O$187&amp;"_1",管理者用人口入力シート!CO:DL,Q191,FALSE),0)</f>
        <v>364</v>
      </c>
      <c r="P191" s="17">
        <f>ROUND(VLOOKUP(O$187&amp;"_2",管理者用人口入力シート!CO:DL,Q191,FALSE),0)</f>
        <v>377</v>
      </c>
      <c r="Q191" s="2">
        <v>6</v>
      </c>
    </row>
    <row r="192" spans="7:17" x14ac:dyDescent="0.15">
      <c r="G192" s="2" t="s">
        <v>3</v>
      </c>
      <c r="H192" s="17">
        <f>ROUND(VLOOKUP(H$187&amp;"_1",管理者用人口入力シート!BH:CE,J192,FALSE),0)</f>
        <v>369</v>
      </c>
      <c r="I192" s="17">
        <f>ROUND(VLOOKUP(H$187&amp;"_2",管理者用人口入力シート!BH:CE,J192,FALSE),0)</f>
        <v>428</v>
      </c>
      <c r="J192" s="2">
        <v>7</v>
      </c>
      <c r="N192" s="2" t="s">
        <v>3</v>
      </c>
      <c r="O192" s="17">
        <f>ROUND(VLOOKUP(O$187&amp;"_1",管理者用人口入力シート!CO:DL,Q192,FALSE),0)</f>
        <v>372</v>
      </c>
      <c r="P192" s="17">
        <f>ROUND(VLOOKUP(O$187&amp;"_2",管理者用人口入力シート!CO:DL,Q192,FALSE),0)</f>
        <v>432</v>
      </c>
      <c r="Q192" s="2">
        <v>7</v>
      </c>
    </row>
    <row r="193" spans="7:17" x14ac:dyDescent="0.15">
      <c r="G193" s="2" t="s">
        <v>4</v>
      </c>
      <c r="H193" s="17">
        <f>ROUND(VLOOKUP(H$187&amp;"_1",管理者用人口入力シート!BH:CE,J193,FALSE),0)</f>
        <v>353</v>
      </c>
      <c r="I193" s="17">
        <f>ROUND(VLOOKUP(H$187&amp;"_2",管理者用人口入力シート!BH:CE,J193,FALSE),0)</f>
        <v>435</v>
      </c>
      <c r="J193" s="2">
        <v>8</v>
      </c>
      <c r="N193" s="2" t="s">
        <v>4</v>
      </c>
      <c r="O193" s="17">
        <f>ROUND(VLOOKUP(O$187&amp;"_1",管理者用人口入力シート!CO:DL,Q193,FALSE),0)</f>
        <v>355</v>
      </c>
      <c r="P193" s="17">
        <f>ROUND(VLOOKUP(O$187&amp;"_2",管理者用人口入力シート!CO:DL,Q193,FALSE),0)</f>
        <v>438</v>
      </c>
      <c r="Q193" s="2">
        <v>8</v>
      </c>
    </row>
    <row r="194" spans="7:17" x14ac:dyDescent="0.15">
      <c r="G194" s="2" t="s">
        <v>5</v>
      </c>
      <c r="H194" s="17">
        <f>ROUND(VLOOKUP(H$187&amp;"_1",管理者用人口入力シート!BH:CE,J194,FALSE),0)</f>
        <v>349</v>
      </c>
      <c r="I194" s="17">
        <f>ROUND(VLOOKUP(H$187&amp;"_2",管理者用人口入力シート!BH:CE,J194,FALSE),0)</f>
        <v>467</v>
      </c>
      <c r="J194" s="2">
        <v>9</v>
      </c>
      <c r="N194" s="2" t="s">
        <v>5</v>
      </c>
      <c r="O194" s="17">
        <f>ROUND(VLOOKUP(O$187&amp;"_1",管理者用人口入力シート!CO:DL,Q194,FALSE),0)</f>
        <v>353</v>
      </c>
      <c r="P194" s="17">
        <f>ROUND(VLOOKUP(O$187&amp;"_2",管理者用人口入力シート!CO:DL,Q194,FALSE),0)</f>
        <v>471</v>
      </c>
      <c r="Q194" s="2">
        <v>9</v>
      </c>
    </row>
    <row r="195" spans="7:17" x14ac:dyDescent="0.15">
      <c r="G195" s="2" t="s">
        <v>6</v>
      </c>
      <c r="H195" s="17">
        <f>ROUND(VLOOKUP(H$187&amp;"_1",管理者用人口入力シート!BH:CE,J195,FALSE),0)</f>
        <v>363</v>
      </c>
      <c r="I195" s="17">
        <f>ROUND(VLOOKUP(H$187&amp;"_2",管理者用人口入力シート!BH:CE,J195,FALSE),0)</f>
        <v>452</v>
      </c>
      <c r="J195" s="2">
        <v>10</v>
      </c>
      <c r="N195" s="2" t="s">
        <v>6</v>
      </c>
      <c r="O195" s="17">
        <f>ROUND(VLOOKUP(O$187&amp;"_1",管理者用人口入力シート!CO:DL,Q195,FALSE),0)</f>
        <v>366</v>
      </c>
      <c r="P195" s="17">
        <f>ROUND(VLOOKUP(O$187&amp;"_2",管理者用人口入力シート!CO:DL,Q195,FALSE),0)</f>
        <v>455</v>
      </c>
      <c r="Q195" s="2">
        <v>10</v>
      </c>
    </row>
    <row r="196" spans="7:17" x14ac:dyDescent="0.15">
      <c r="G196" s="2" t="s">
        <v>7</v>
      </c>
      <c r="H196" s="17">
        <f>ROUND(VLOOKUP(H$187&amp;"_1",管理者用人口入力シート!BH:CE,J196,FALSE),0)</f>
        <v>406</v>
      </c>
      <c r="I196" s="17">
        <f>ROUND(VLOOKUP(H$187&amp;"_2",管理者用人口入力シート!BH:CE,J196,FALSE),0)</f>
        <v>572</v>
      </c>
      <c r="J196" s="2">
        <v>11</v>
      </c>
      <c r="N196" s="2" t="s">
        <v>7</v>
      </c>
      <c r="O196" s="17">
        <f>ROUND(VLOOKUP(O$187&amp;"_1",管理者用人口入力シート!CO:DL,Q196,FALSE),0)</f>
        <v>409</v>
      </c>
      <c r="P196" s="17">
        <f>ROUND(VLOOKUP(O$187&amp;"_2",管理者用人口入力シート!CO:DL,Q196,FALSE),0)</f>
        <v>575</v>
      </c>
      <c r="Q196" s="2">
        <v>11</v>
      </c>
    </row>
    <row r="197" spans="7:17" x14ac:dyDescent="0.15">
      <c r="G197" s="2" t="s">
        <v>8</v>
      </c>
      <c r="H197" s="17">
        <f>ROUND(VLOOKUP(H$187&amp;"_1",管理者用人口入力シート!BH:CE,J197,FALSE),0)</f>
        <v>512</v>
      </c>
      <c r="I197" s="17">
        <f>ROUND(VLOOKUP(H$187&amp;"_2",管理者用人口入力シート!BH:CE,J197,FALSE),0)</f>
        <v>594</v>
      </c>
      <c r="J197" s="2">
        <v>12</v>
      </c>
      <c r="N197" s="2" t="s">
        <v>8</v>
      </c>
      <c r="O197" s="17">
        <f>ROUND(VLOOKUP(O$187&amp;"_1",管理者用人口入力シート!CO:DL,Q197,FALSE),0)</f>
        <v>514</v>
      </c>
      <c r="P197" s="17">
        <f>ROUND(VLOOKUP(O$187&amp;"_2",管理者用人口入力シート!CO:DL,Q197,FALSE),0)</f>
        <v>597</v>
      </c>
      <c r="Q197" s="2">
        <v>12</v>
      </c>
    </row>
    <row r="198" spans="7:17" x14ac:dyDescent="0.15">
      <c r="G198" s="2" t="s">
        <v>9</v>
      </c>
      <c r="H198" s="17">
        <f>ROUND(VLOOKUP(H$187&amp;"_1",管理者用人口入力シート!BH:CE,J198,FALSE),0)</f>
        <v>442</v>
      </c>
      <c r="I198" s="17">
        <f>ROUND(VLOOKUP(H$187&amp;"_2",管理者用人口入力シート!BH:CE,J198,FALSE),0)</f>
        <v>526</v>
      </c>
      <c r="J198" s="2">
        <v>13</v>
      </c>
      <c r="N198" s="2" t="s">
        <v>9</v>
      </c>
      <c r="O198" s="17">
        <f>ROUND(VLOOKUP(O$187&amp;"_1",管理者用人口入力シート!CO:DL,Q198,FALSE),0)</f>
        <v>444</v>
      </c>
      <c r="P198" s="17">
        <f>ROUND(VLOOKUP(O$187&amp;"_2",管理者用人口入力シート!CO:DL,Q198,FALSE),0)</f>
        <v>529</v>
      </c>
      <c r="Q198" s="2">
        <v>13</v>
      </c>
    </row>
    <row r="199" spans="7:17" x14ac:dyDescent="0.15">
      <c r="G199" s="2" t="s">
        <v>10</v>
      </c>
      <c r="H199" s="17">
        <f>ROUND(VLOOKUP(H$187&amp;"_1",管理者用人口入力シート!BH:CE,J199,FALSE),0)</f>
        <v>393</v>
      </c>
      <c r="I199" s="17">
        <f>ROUND(VLOOKUP(H$187&amp;"_2",管理者用人口入力シート!BH:CE,J199,FALSE),0)</f>
        <v>518</v>
      </c>
      <c r="J199" s="2">
        <v>14</v>
      </c>
      <c r="N199" s="2" t="s">
        <v>10</v>
      </c>
      <c r="O199" s="17">
        <f>ROUND(VLOOKUP(O$187&amp;"_1",管理者用人口入力シート!CO:DL,Q199,FALSE),0)</f>
        <v>395</v>
      </c>
      <c r="P199" s="17">
        <f>ROUND(VLOOKUP(O$187&amp;"_2",管理者用人口入力シート!CO:DL,Q199,FALSE),0)</f>
        <v>521</v>
      </c>
      <c r="Q199" s="2">
        <v>14</v>
      </c>
    </row>
    <row r="200" spans="7:17" x14ac:dyDescent="0.15">
      <c r="G200" s="2" t="s">
        <v>11</v>
      </c>
      <c r="H200" s="17">
        <f>ROUND(VLOOKUP(H$187&amp;"_1",管理者用人口入力シート!BH:CE,J200,FALSE),0)</f>
        <v>484</v>
      </c>
      <c r="I200" s="17">
        <f>ROUND(VLOOKUP(H$187&amp;"_2",管理者用人口入力シート!BH:CE,J200,FALSE),0)</f>
        <v>499</v>
      </c>
      <c r="J200" s="2">
        <v>15</v>
      </c>
      <c r="N200" s="2" t="s">
        <v>11</v>
      </c>
      <c r="O200" s="17">
        <f>ROUND(VLOOKUP(O$187&amp;"_1",管理者用人口入力シート!CO:DL,Q200,FALSE),0)</f>
        <v>484</v>
      </c>
      <c r="P200" s="17">
        <f>ROUND(VLOOKUP(O$187&amp;"_2",管理者用人口入力シート!CO:DL,Q200,FALSE),0)</f>
        <v>500</v>
      </c>
      <c r="Q200" s="2">
        <v>15</v>
      </c>
    </row>
    <row r="201" spans="7:17" x14ac:dyDescent="0.15">
      <c r="G201" s="2" t="s">
        <v>12</v>
      </c>
      <c r="H201" s="17">
        <f>ROUND(VLOOKUP(H$187&amp;"_1",管理者用人口入力シート!BH:CE,J201,FALSE),0)</f>
        <v>499</v>
      </c>
      <c r="I201" s="17">
        <f>ROUND(VLOOKUP(H$187&amp;"_2",管理者用人口入力シート!BH:CE,J201,FALSE),0)</f>
        <v>565</v>
      </c>
      <c r="J201" s="2">
        <v>16</v>
      </c>
      <c r="N201" s="2" t="s">
        <v>12</v>
      </c>
      <c r="O201" s="17">
        <f>ROUND(VLOOKUP(O$187&amp;"_1",管理者用人口入力シート!CO:DL,Q201,FALSE),0)</f>
        <v>499</v>
      </c>
      <c r="P201" s="17">
        <f>ROUND(VLOOKUP(O$187&amp;"_2",管理者用人口入力シート!CO:DL,Q201,FALSE),0)</f>
        <v>566</v>
      </c>
      <c r="Q201" s="2">
        <v>16</v>
      </c>
    </row>
    <row r="202" spans="7:17" x14ac:dyDescent="0.15">
      <c r="G202" s="2" t="s">
        <v>13</v>
      </c>
      <c r="H202" s="17">
        <f>ROUND(VLOOKUP(H$187&amp;"_1",管理者用人口入力シート!BH:CE,J202,FALSE),0)</f>
        <v>540</v>
      </c>
      <c r="I202" s="17">
        <f>ROUND(VLOOKUP(H$187&amp;"_2",管理者用人口入力シート!BH:CE,J202,FALSE),0)</f>
        <v>582</v>
      </c>
      <c r="J202" s="2">
        <v>17</v>
      </c>
      <c r="N202" s="2" t="s">
        <v>13</v>
      </c>
      <c r="O202" s="17">
        <f>ROUND(VLOOKUP(O$187&amp;"_1",管理者用人口入力シート!CO:DL,Q202,FALSE),0)</f>
        <v>540</v>
      </c>
      <c r="P202" s="17">
        <f>ROUND(VLOOKUP(O$187&amp;"_2",管理者用人口入力シート!CO:DL,Q202,FALSE),0)</f>
        <v>583</v>
      </c>
      <c r="Q202" s="2">
        <v>17</v>
      </c>
    </row>
    <row r="203" spans="7:17" x14ac:dyDescent="0.15">
      <c r="G203" s="2" t="s">
        <v>14</v>
      </c>
      <c r="H203" s="17">
        <f>ROUND(VLOOKUP(H$187&amp;"_1",管理者用人口入力シート!BH:CE,J203,FALSE),0)</f>
        <v>510</v>
      </c>
      <c r="I203" s="17">
        <f>ROUND(VLOOKUP(H$187&amp;"_2",管理者用人口入力シート!BH:CE,J203,FALSE),0)</f>
        <v>595</v>
      </c>
      <c r="J203" s="2">
        <v>18</v>
      </c>
      <c r="N203" s="2" t="s">
        <v>14</v>
      </c>
      <c r="O203" s="17">
        <f>ROUND(VLOOKUP(O$187&amp;"_1",管理者用人口入力シート!CO:DL,Q203,FALSE),0)</f>
        <v>510</v>
      </c>
      <c r="P203" s="17">
        <f>ROUND(VLOOKUP(O$187&amp;"_2",管理者用人口入力シート!CO:DL,Q203,FALSE),0)</f>
        <v>595</v>
      </c>
      <c r="Q203" s="2">
        <v>18</v>
      </c>
    </row>
    <row r="204" spans="7:17" x14ac:dyDescent="0.15">
      <c r="G204" s="2" t="s">
        <v>15</v>
      </c>
      <c r="H204" s="17">
        <f>ROUND(VLOOKUP(H$187&amp;"_1",管理者用人口入力シート!BH:CE,J204,FALSE),0)</f>
        <v>497</v>
      </c>
      <c r="I204" s="17">
        <f>ROUND(VLOOKUP(H$187&amp;"_2",管理者用人口入力シート!BH:CE,J204,FALSE),0)</f>
        <v>627</v>
      </c>
      <c r="J204" s="2">
        <v>19</v>
      </c>
      <c r="N204" s="2" t="s">
        <v>15</v>
      </c>
      <c r="O204" s="17">
        <f>ROUND(VLOOKUP(O$187&amp;"_1",管理者用人口入力シート!CO:DL,Q204,FALSE),0)</f>
        <v>497</v>
      </c>
      <c r="P204" s="17">
        <f>ROUND(VLOOKUP(O$187&amp;"_2",管理者用人口入力シート!CO:DL,Q204,FALSE),0)</f>
        <v>627</v>
      </c>
      <c r="Q204" s="2">
        <v>19</v>
      </c>
    </row>
    <row r="205" spans="7:17" x14ac:dyDescent="0.15">
      <c r="G205" s="2" t="s">
        <v>16</v>
      </c>
      <c r="H205" s="17">
        <f>ROUND(VLOOKUP(H$187&amp;"_1",管理者用人口入力シート!BH:CE,J205,FALSE),0)</f>
        <v>307</v>
      </c>
      <c r="I205" s="17">
        <f>ROUND(VLOOKUP(H$187&amp;"_2",管理者用人口入力シート!BH:CE,J205,FALSE),0)</f>
        <v>474</v>
      </c>
      <c r="J205" s="2">
        <v>20</v>
      </c>
      <c r="N205" s="2" t="s">
        <v>16</v>
      </c>
      <c r="O205" s="17">
        <f>ROUND(VLOOKUP(O$187&amp;"_1",管理者用人口入力シート!CO:DL,Q205,FALSE),0)</f>
        <v>307</v>
      </c>
      <c r="P205" s="17">
        <f>ROUND(VLOOKUP(O$187&amp;"_2",管理者用人口入力シート!CO:DL,Q205,FALSE),0)</f>
        <v>474</v>
      </c>
      <c r="Q205" s="2">
        <v>20</v>
      </c>
    </row>
    <row r="206" spans="7:17" x14ac:dyDescent="0.15">
      <c r="G206" s="2" t="s">
        <v>17</v>
      </c>
      <c r="H206" s="17">
        <f>ROUND(VLOOKUP(H$187&amp;"_1",管理者用人口入力シート!BH:CE,J206,FALSE),0)</f>
        <v>196</v>
      </c>
      <c r="I206" s="17">
        <f>ROUND(VLOOKUP(H$187&amp;"_2",管理者用人口入力シート!BH:CE,J206,FALSE),0)</f>
        <v>357</v>
      </c>
      <c r="J206" s="2">
        <v>21</v>
      </c>
      <c r="N206" s="2" t="s">
        <v>17</v>
      </c>
      <c r="O206" s="17">
        <f>ROUND(VLOOKUP(O$187&amp;"_1",管理者用人口入力シート!CO:DL,Q206,FALSE),0)</f>
        <v>196</v>
      </c>
      <c r="P206" s="17">
        <f>ROUND(VLOOKUP(O$187&amp;"_2",管理者用人口入力シート!CO:DL,Q206,FALSE),0)</f>
        <v>357</v>
      </c>
      <c r="Q206" s="2">
        <v>21</v>
      </c>
    </row>
    <row r="207" spans="7:17" x14ac:dyDescent="0.15">
      <c r="G207" s="2" t="s">
        <v>18</v>
      </c>
      <c r="H207" s="17">
        <f>ROUND(VLOOKUP(H$187&amp;"_1",管理者用人口入力シート!BH:CE,J207,FALSE),0)</f>
        <v>93</v>
      </c>
      <c r="I207" s="17">
        <f>ROUND(VLOOKUP(H$187&amp;"_2",管理者用人口入力シート!BH:CE,J207,FALSE),0)</f>
        <v>192</v>
      </c>
      <c r="J207" s="2">
        <v>22</v>
      </c>
      <c r="N207" s="2" t="s">
        <v>18</v>
      </c>
      <c r="O207" s="17">
        <f>ROUND(VLOOKUP(O$187&amp;"_1",管理者用人口入力シート!CO:DL,Q207,FALSE),0)</f>
        <v>93</v>
      </c>
      <c r="P207" s="17">
        <f>ROUND(VLOOKUP(O$187&amp;"_2",管理者用人口入力シート!CO:DL,Q207,FALSE),0)</f>
        <v>192</v>
      </c>
      <c r="Q207" s="2">
        <v>22</v>
      </c>
    </row>
    <row r="208" spans="7:17" x14ac:dyDescent="0.15">
      <c r="G208" s="2" t="s">
        <v>19</v>
      </c>
      <c r="H208" s="17">
        <f>ROUND(VLOOKUP(H$187&amp;"_1",管理者用人口入力シート!BH:CE,J208,FALSE),0)</f>
        <v>10</v>
      </c>
      <c r="I208" s="17">
        <f>ROUND(VLOOKUP(H$187&amp;"_2",管理者用人口入力シート!BH:CE,J208,FALSE),0)</f>
        <v>66</v>
      </c>
      <c r="J208" s="2">
        <v>23</v>
      </c>
      <c r="N208" s="2" t="s">
        <v>19</v>
      </c>
      <c r="O208" s="17">
        <f>ROUND(VLOOKUP(O$187&amp;"_1",管理者用人口入力シート!CO:DL,Q208,FALSE),0)</f>
        <v>10</v>
      </c>
      <c r="P208" s="17">
        <f>ROUND(VLOOKUP(O$187&amp;"_2",管理者用人口入力シート!CO:DL,Q208,FALSE),0)</f>
        <v>66</v>
      </c>
      <c r="Q208" s="2">
        <v>23</v>
      </c>
    </row>
    <row r="209" spans="7:17" x14ac:dyDescent="0.15">
      <c r="G209" s="2" t="s">
        <v>20</v>
      </c>
      <c r="H209" s="17">
        <f>ROUND(VLOOKUP(H$187&amp;"_1",管理者用人口入力シート!BH:CE,J209,FALSE),0)</f>
        <v>0</v>
      </c>
      <c r="I209" s="17">
        <f>ROUND(VLOOKUP(H$187&amp;"_2",管理者用人口入力シート!BH:CE,J209,FALSE),0)</f>
        <v>16</v>
      </c>
      <c r="J209" s="2">
        <v>24</v>
      </c>
      <c r="N209" s="2" t="s">
        <v>20</v>
      </c>
      <c r="O209" s="17">
        <f>ROUND(VLOOKUP(O$187&amp;"_1",管理者用人口入力シート!CO:DL,Q209,FALSE),0)</f>
        <v>0</v>
      </c>
      <c r="P209" s="17">
        <f>ROUND(VLOOKUP(O$187&amp;"_2",管理者用人口入力シート!CO:DL,Q209,FALSE),0)</f>
        <v>16</v>
      </c>
      <c r="Q209" s="2">
        <v>24</v>
      </c>
    </row>
    <row r="212" spans="7:17" x14ac:dyDescent="0.15">
      <c r="N212" s="2" t="s">
        <v>273</v>
      </c>
      <c r="O212" s="315">
        <f>O91</f>
        <v>2030</v>
      </c>
      <c r="P212" s="316"/>
      <c r="Q212" s="2" t="s">
        <v>114</v>
      </c>
    </row>
    <row r="213" spans="7:17" x14ac:dyDescent="0.15">
      <c r="N213" s="2" t="s">
        <v>115</v>
      </c>
      <c r="O213" s="78" t="s">
        <v>329</v>
      </c>
      <c r="P213" s="78" t="s">
        <v>330</v>
      </c>
    </row>
    <row r="214" spans="7:17" x14ac:dyDescent="0.15">
      <c r="N214" s="2" t="s">
        <v>0</v>
      </c>
      <c r="O214" s="17">
        <f>H93+I93</f>
        <v>796</v>
      </c>
      <c r="P214" s="17">
        <f>O93+P93</f>
        <v>800</v>
      </c>
      <c r="Q214" s="2">
        <v>4</v>
      </c>
    </row>
    <row r="215" spans="7:17" x14ac:dyDescent="0.15">
      <c r="N215" s="2" t="s">
        <v>1</v>
      </c>
      <c r="O215" s="17">
        <f t="shared" ref="O215:O233" si="37">H94+I94</f>
        <v>738</v>
      </c>
      <c r="P215" s="17">
        <f t="shared" ref="P215:P233" si="38">O94+P94</f>
        <v>740</v>
      </c>
      <c r="Q215" s="2">
        <v>5</v>
      </c>
    </row>
    <row r="216" spans="7:17" x14ac:dyDescent="0.15">
      <c r="N216" s="2" t="s">
        <v>2</v>
      </c>
      <c r="O216" s="17">
        <f t="shared" si="37"/>
        <v>755</v>
      </c>
      <c r="P216" s="17">
        <f t="shared" si="38"/>
        <v>757</v>
      </c>
      <c r="Q216" s="2">
        <v>6</v>
      </c>
    </row>
    <row r="217" spans="7:17" x14ac:dyDescent="0.15">
      <c r="N217" s="2" t="s">
        <v>3</v>
      </c>
      <c r="O217" s="17">
        <f t="shared" si="37"/>
        <v>964</v>
      </c>
      <c r="P217" s="17">
        <f t="shared" si="38"/>
        <v>966</v>
      </c>
      <c r="Q217" s="2">
        <v>7</v>
      </c>
    </row>
    <row r="218" spans="7:17" x14ac:dyDescent="0.15">
      <c r="N218" s="2" t="s">
        <v>4</v>
      </c>
      <c r="O218" s="17">
        <f t="shared" si="37"/>
        <v>1116</v>
      </c>
      <c r="P218" s="17">
        <f t="shared" si="38"/>
        <v>1116</v>
      </c>
      <c r="Q218" s="2">
        <v>8</v>
      </c>
    </row>
    <row r="219" spans="7:17" x14ac:dyDescent="0.15">
      <c r="N219" s="2" t="s">
        <v>5</v>
      </c>
      <c r="O219" s="17">
        <f t="shared" si="37"/>
        <v>1011</v>
      </c>
      <c r="P219" s="17">
        <f t="shared" si="38"/>
        <v>1015</v>
      </c>
      <c r="Q219" s="2">
        <v>9</v>
      </c>
    </row>
    <row r="220" spans="7:17" x14ac:dyDescent="0.15">
      <c r="N220" s="2" t="s">
        <v>6</v>
      </c>
      <c r="O220" s="17">
        <f t="shared" si="37"/>
        <v>933</v>
      </c>
      <c r="P220" s="17">
        <f t="shared" si="38"/>
        <v>937</v>
      </c>
      <c r="Q220" s="2">
        <v>10</v>
      </c>
    </row>
    <row r="221" spans="7:17" x14ac:dyDescent="0.15">
      <c r="N221" s="2" t="s">
        <v>7</v>
      </c>
      <c r="O221" s="17">
        <f t="shared" si="37"/>
        <v>1025</v>
      </c>
      <c r="P221" s="17">
        <f t="shared" si="38"/>
        <v>1025</v>
      </c>
      <c r="Q221" s="2">
        <v>11</v>
      </c>
    </row>
    <row r="222" spans="7:17" x14ac:dyDescent="0.15">
      <c r="N222" s="2" t="s">
        <v>8</v>
      </c>
      <c r="O222" s="17">
        <f t="shared" si="37"/>
        <v>1103</v>
      </c>
      <c r="P222" s="17">
        <f t="shared" si="38"/>
        <v>1104</v>
      </c>
      <c r="Q222" s="2">
        <v>12</v>
      </c>
    </row>
    <row r="223" spans="7:17" x14ac:dyDescent="0.15">
      <c r="N223" s="2" t="s">
        <v>9</v>
      </c>
      <c r="O223" s="17">
        <f t="shared" si="37"/>
        <v>1201</v>
      </c>
      <c r="P223" s="17">
        <f t="shared" si="38"/>
        <v>1202</v>
      </c>
      <c r="Q223" s="2">
        <v>13</v>
      </c>
    </row>
    <row r="224" spans="7:17" x14ac:dyDescent="0.15">
      <c r="N224" s="2" t="s">
        <v>10</v>
      </c>
      <c r="O224" s="17">
        <f t="shared" si="37"/>
        <v>1265</v>
      </c>
      <c r="P224" s="17">
        <f t="shared" si="38"/>
        <v>1265</v>
      </c>
      <c r="Q224" s="2">
        <v>14</v>
      </c>
    </row>
    <row r="225" spans="14:17" x14ac:dyDescent="0.15">
      <c r="N225" s="2" t="s">
        <v>11</v>
      </c>
      <c r="O225" s="17">
        <f t="shared" si="37"/>
        <v>1380</v>
      </c>
      <c r="P225" s="17">
        <f t="shared" si="38"/>
        <v>1380</v>
      </c>
      <c r="Q225" s="2">
        <v>15</v>
      </c>
    </row>
    <row r="226" spans="14:17" x14ac:dyDescent="0.15">
      <c r="N226" s="2" t="s">
        <v>12</v>
      </c>
      <c r="O226" s="17">
        <f t="shared" si="37"/>
        <v>1138</v>
      </c>
      <c r="P226" s="17">
        <f t="shared" si="38"/>
        <v>1138</v>
      </c>
      <c r="Q226" s="2">
        <v>16</v>
      </c>
    </row>
    <row r="227" spans="14:17" x14ac:dyDescent="0.15">
      <c r="N227" s="2" t="s">
        <v>13</v>
      </c>
      <c r="O227" s="17">
        <f t="shared" si="37"/>
        <v>1134</v>
      </c>
      <c r="P227" s="17">
        <f t="shared" si="38"/>
        <v>1134</v>
      </c>
      <c r="Q227" s="2">
        <v>17</v>
      </c>
    </row>
    <row r="228" spans="14:17" x14ac:dyDescent="0.15">
      <c r="N228" s="2" t="s">
        <v>14</v>
      </c>
      <c r="O228" s="17">
        <f t="shared" si="37"/>
        <v>1108</v>
      </c>
      <c r="P228" s="17">
        <f t="shared" si="38"/>
        <v>1108</v>
      </c>
      <c r="Q228" s="2">
        <v>18</v>
      </c>
    </row>
    <row r="229" spans="14:17" x14ac:dyDescent="0.15">
      <c r="N229" s="2" t="s">
        <v>15</v>
      </c>
      <c r="O229" s="17">
        <f t="shared" si="37"/>
        <v>979</v>
      </c>
      <c r="P229" s="17">
        <f t="shared" si="38"/>
        <v>979</v>
      </c>
      <c r="Q229" s="2">
        <v>19</v>
      </c>
    </row>
    <row r="230" spans="14:17" x14ac:dyDescent="0.15">
      <c r="N230" s="2" t="s">
        <v>16</v>
      </c>
      <c r="O230" s="17">
        <f t="shared" si="37"/>
        <v>874</v>
      </c>
      <c r="P230" s="17">
        <f t="shared" si="38"/>
        <v>874</v>
      </c>
      <c r="Q230" s="2">
        <v>20</v>
      </c>
    </row>
    <row r="231" spans="14:17" x14ac:dyDescent="0.15">
      <c r="N231" s="2" t="s">
        <v>17</v>
      </c>
      <c r="O231" s="17">
        <f t="shared" si="37"/>
        <v>481</v>
      </c>
      <c r="P231" s="17">
        <f t="shared" si="38"/>
        <v>481</v>
      </c>
      <c r="Q231" s="2">
        <v>21</v>
      </c>
    </row>
    <row r="232" spans="14:17" x14ac:dyDescent="0.15">
      <c r="N232" s="2" t="s">
        <v>18</v>
      </c>
      <c r="O232" s="17">
        <f t="shared" si="37"/>
        <v>222</v>
      </c>
      <c r="P232" s="17">
        <f t="shared" si="38"/>
        <v>222</v>
      </c>
      <c r="Q232" s="2">
        <v>22</v>
      </c>
    </row>
    <row r="233" spans="14:17" x14ac:dyDescent="0.15">
      <c r="N233" s="2" t="s">
        <v>19</v>
      </c>
      <c r="O233" s="17">
        <f t="shared" si="37"/>
        <v>68</v>
      </c>
      <c r="P233" s="17">
        <f t="shared" si="38"/>
        <v>68</v>
      </c>
      <c r="Q233" s="2">
        <v>23</v>
      </c>
    </row>
    <row r="234" spans="14:17" x14ac:dyDescent="0.15">
      <c r="N234" s="2" t="s">
        <v>20</v>
      </c>
      <c r="O234" s="17">
        <f>H113+I113</f>
        <v>14</v>
      </c>
      <c r="P234" s="17">
        <f>O113+P113</f>
        <v>14</v>
      </c>
      <c r="Q234" s="2">
        <v>24</v>
      </c>
    </row>
    <row r="236" spans="14:17" x14ac:dyDescent="0.15">
      <c r="N236" s="2" t="s">
        <v>273</v>
      </c>
      <c r="O236" s="315">
        <f>O139</f>
        <v>2040</v>
      </c>
      <c r="P236" s="316"/>
      <c r="Q236" s="2" t="s">
        <v>114</v>
      </c>
    </row>
    <row r="237" spans="14:17" x14ac:dyDescent="0.15">
      <c r="N237" s="2" t="s">
        <v>115</v>
      </c>
      <c r="O237" s="78" t="s">
        <v>329</v>
      </c>
      <c r="P237" s="78" t="s">
        <v>330</v>
      </c>
    </row>
    <row r="238" spans="14:17" x14ac:dyDescent="0.15">
      <c r="N238" s="2" t="s">
        <v>0</v>
      </c>
      <c r="O238" s="17">
        <f>H141+I141</f>
        <v>795</v>
      </c>
      <c r="P238" s="17">
        <f>O141+P141</f>
        <v>800</v>
      </c>
      <c r="Q238" s="2">
        <v>4</v>
      </c>
    </row>
    <row r="239" spans="14:17" x14ac:dyDescent="0.15">
      <c r="N239" s="2" t="s">
        <v>1</v>
      </c>
      <c r="O239" s="17">
        <f t="shared" ref="O239:O257" si="39">H142+I142</f>
        <v>768</v>
      </c>
      <c r="P239" s="17">
        <f t="shared" ref="P239:P257" si="40">O142+P142</f>
        <v>772</v>
      </c>
      <c r="Q239" s="2">
        <v>5</v>
      </c>
    </row>
    <row r="240" spans="14:17" x14ac:dyDescent="0.15">
      <c r="N240" s="2" t="s">
        <v>2</v>
      </c>
      <c r="O240" s="17">
        <f t="shared" si="39"/>
        <v>737</v>
      </c>
      <c r="P240" s="17">
        <f t="shared" si="40"/>
        <v>741</v>
      </c>
      <c r="Q240" s="2">
        <v>6</v>
      </c>
    </row>
    <row r="241" spans="14:17" x14ac:dyDescent="0.15">
      <c r="N241" s="2" t="s">
        <v>3</v>
      </c>
      <c r="O241" s="17">
        <f t="shared" si="39"/>
        <v>767</v>
      </c>
      <c r="P241" s="17">
        <f t="shared" si="40"/>
        <v>770</v>
      </c>
      <c r="Q241" s="2">
        <v>7</v>
      </c>
    </row>
    <row r="242" spans="14:17" x14ac:dyDescent="0.15">
      <c r="N242" s="2" t="s">
        <v>4</v>
      </c>
      <c r="O242" s="17">
        <f t="shared" si="39"/>
        <v>806</v>
      </c>
      <c r="P242" s="17">
        <f t="shared" si="40"/>
        <v>809</v>
      </c>
      <c r="Q242" s="2">
        <v>8</v>
      </c>
    </row>
    <row r="243" spans="14:17" x14ac:dyDescent="0.15">
      <c r="N243" s="2" t="s">
        <v>5</v>
      </c>
      <c r="O243" s="17">
        <f t="shared" si="39"/>
        <v>1031</v>
      </c>
      <c r="P243" s="17">
        <f t="shared" si="40"/>
        <v>1037</v>
      </c>
      <c r="Q243" s="2">
        <v>9</v>
      </c>
    </row>
    <row r="244" spans="14:17" x14ac:dyDescent="0.15">
      <c r="N244" s="2" t="s">
        <v>6</v>
      </c>
      <c r="O244" s="17">
        <f t="shared" si="39"/>
        <v>1125</v>
      </c>
      <c r="P244" s="17">
        <f t="shared" si="40"/>
        <v>1129</v>
      </c>
      <c r="Q244" s="2">
        <v>10</v>
      </c>
    </row>
    <row r="245" spans="14:17" x14ac:dyDescent="0.15">
      <c r="N245" s="2" t="s">
        <v>7</v>
      </c>
      <c r="O245" s="17">
        <f t="shared" si="39"/>
        <v>962</v>
      </c>
      <c r="P245" s="17">
        <f t="shared" si="40"/>
        <v>966</v>
      </c>
      <c r="Q245" s="2">
        <v>11</v>
      </c>
    </row>
    <row r="246" spans="14:17" x14ac:dyDescent="0.15">
      <c r="N246" s="2" t="s">
        <v>8</v>
      </c>
      <c r="O246" s="17">
        <f t="shared" si="39"/>
        <v>917</v>
      </c>
      <c r="P246" s="17">
        <f t="shared" si="40"/>
        <v>922</v>
      </c>
      <c r="Q246" s="2">
        <v>12</v>
      </c>
    </row>
    <row r="247" spans="14:17" x14ac:dyDescent="0.15">
      <c r="N247" s="2" t="s">
        <v>9</v>
      </c>
      <c r="O247" s="17">
        <f t="shared" si="39"/>
        <v>1029</v>
      </c>
      <c r="P247" s="17">
        <f t="shared" si="40"/>
        <v>1030</v>
      </c>
      <c r="Q247" s="2">
        <v>13</v>
      </c>
    </row>
    <row r="248" spans="14:17" x14ac:dyDescent="0.15">
      <c r="N248" s="2" t="s">
        <v>10</v>
      </c>
      <c r="O248" s="17">
        <f t="shared" si="39"/>
        <v>1095</v>
      </c>
      <c r="P248" s="17">
        <f t="shared" si="40"/>
        <v>1096</v>
      </c>
      <c r="Q248" s="2">
        <v>14</v>
      </c>
    </row>
    <row r="249" spans="14:17" x14ac:dyDescent="0.15">
      <c r="N249" s="2" t="s">
        <v>11</v>
      </c>
      <c r="O249" s="17">
        <f t="shared" si="39"/>
        <v>1148</v>
      </c>
      <c r="P249" s="17">
        <f t="shared" si="40"/>
        <v>1149</v>
      </c>
      <c r="Q249" s="2">
        <v>15</v>
      </c>
    </row>
    <row r="250" spans="14:17" x14ac:dyDescent="0.15">
      <c r="N250" s="2" t="s">
        <v>12</v>
      </c>
      <c r="O250" s="17">
        <f t="shared" si="39"/>
        <v>1228</v>
      </c>
      <c r="P250" s="17">
        <f t="shared" si="40"/>
        <v>1228</v>
      </c>
      <c r="Q250" s="2">
        <v>16</v>
      </c>
    </row>
    <row r="251" spans="14:17" x14ac:dyDescent="0.15">
      <c r="N251" s="2" t="s">
        <v>13</v>
      </c>
      <c r="O251" s="17">
        <f t="shared" si="39"/>
        <v>1349</v>
      </c>
      <c r="P251" s="17">
        <f t="shared" si="40"/>
        <v>1349</v>
      </c>
      <c r="Q251" s="2">
        <v>17</v>
      </c>
    </row>
    <row r="252" spans="14:17" x14ac:dyDescent="0.15">
      <c r="N252" s="2" t="s">
        <v>14</v>
      </c>
      <c r="O252" s="17">
        <f t="shared" si="39"/>
        <v>1026</v>
      </c>
      <c r="P252" s="17">
        <f t="shared" si="40"/>
        <v>1026</v>
      </c>
      <c r="Q252" s="2">
        <v>18</v>
      </c>
    </row>
    <row r="253" spans="14:17" x14ac:dyDescent="0.15">
      <c r="N253" s="2" t="s">
        <v>15</v>
      </c>
      <c r="O253" s="17">
        <f t="shared" si="39"/>
        <v>945</v>
      </c>
      <c r="P253" s="17">
        <f t="shared" si="40"/>
        <v>945</v>
      </c>
      <c r="Q253" s="2">
        <v>19</v>
      </c>
    </row>
    <row r="254" spans="14:17" x14ac:dyDescent="0.15">
      <c r="N254" s="2" t="s">
        <v>16</v>
      </c>
      <c r="O254" s="17">
        <f t="shared" si="39"/>
        <v>837</v>
      </c>
      <c r="P254" s="17">
        <f t="shared" si="40"/>
        <v>837</v>
      </c>
      <c r="Q254" s="2">
        <v>20</v>
      </c>
    </row>
    <row r="255" spans="14:17" x14ac:dyDescent="0.15">
      <c r="N255" s="2" t="s">
        <v>17</v>
      </c>
      <c r="O255" s="17">
        <f t="shared" si="39"/>
        <v>572</v>
      </c>
      <c r="P255" s="17">
        <f t="shared" si="40"/>
        <v>572</v>
      </c>
      <c r="Q255" s="2">
        <v>21</v>
      </c>
    </row>
    <row r="256" spans="14:17" x14ac:dyDescent="0.15">
      <c r="N256" s="2" t="s">
        <v>18</v>
      </c>
      <c r="O256" s="17">
        <f t="shared" si="39"/>
        <v>299</v>
      </c>
      <c r="P256" s="17">
        <f t="shared" si="40"/>
        <v>299</v>
      </c>
      <c r="Q256" s="2">
        <v>22</v>
      </c>
    </row>
    <row r="257" spans="14:17" x14ac:dyDescent="0.15">
      <c r="N257" s="2" t="s">
        <v>19</v>
      </c>
      <c r="O257" s="17">
        <f t="shared" si="39"/>
        <v>64</v>
      </c>
      <c r="P257" s="17">
        <f t="shared" si="40"/>
        <v>64</v>
      </c>
      <c r="Q257" s="2">
        <v>23</v>
      </c>
    </row>
    <row r="258" spans="14:17" x14ac:dyDescent="0.15">
      <c r="N258" s="2" t="s">
        <v>20</v>
      </c>
      <c r="O258" s="17">
        <f>H161+I161</f>
        <v>12</v>
      </c>
      <c r="P258" s="17">
        <f>O161+P161</f>
        <v>12</v>
      </c>
      <c r="Q258" s="2">
        <v>24</v>
      </c>
    </row>
  </sheetData>
  <mergeCells count="17">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 ref="H163:I163"/>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2019-03-15T09:43:28Z</cp:lastPrinted>
  <dcterms:created xsi:type="dcterms:W3CDTF">2018-08-17T00:57:13Z</dcterms:created>
  <dcterms:modified xsi:type="dcterms:W3CDTF">2023-03-06T08:47:43Z</dcterms:modified>
</cp:coreProperties>
</file>