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ptV0gVyCqfyzjMHyxemm3ZnjNrzQum0qNBw/lvAoUiizP8KEiKVHTxN3WgBrFanyWsaDa8POxh9kbUyq2dNwA==" workbookSaltValue="i2D4ZAvABNu97z0sOdItA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BB8" i="17"/>
  <c r="CA4" i="17" s="1"/>
  <c r="BF8" i="17"/>
  <c r="CE4" i="17" s="1"/>
  <c r="ET4" i="17" s="1"/>
  <c r="ET21" i="17" s="1"/>
  <c r="AP8" i="17"/>
  <c r="BO4" i="17" s="1"/>
  <c r="CV4" i="17" s="1"/>
  <c r="AX8" i="17"/>
  <c r="BW4" i="17" s="1"/>
  <c r="BW5" i="17" s="1"/>
  <c r="O14" i="18"/>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DL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U7" i="17"/>
  <c r="BX6" i="17"/>
  <c r="BP6" i="17"/>
  <c r="BT6" i="17"/>
  <c r="O42" i="18"/>
  <c r="O60" i="18"/>
  <c r="O52" i="18"/>
  <c r="O24" i="18"/>
  <c r="O34" i="18"/>
  <c r="O16" i="18"/>
  <c r="BU5" i="17" l="1"/>
  <c r="DJ4" i="17"/>
  <c r="BZ7" i="17"/>
  <c r="CA10" i="17" s="1"/>
  <c r="CB13" i="17" s="1"/>
  <c r="ED4" i="17"/>
  <c r="ED5" i="17" s="1"/>
  <c r="BO5" i="17"/>
  <c r="O75" i="18"/>
  <c r="O76" i="18"/>
  <c r="DK4" i="17"/>
  <c r="DL7" i="17" s="1"/>
  <c r="DL8" i="17" s="1"/>
  <c r="DB7" i="17"/>
  <c r="DC10" i="17" s="1"/>
  <c r="O71" i="18"/>
  <c r="BR7" i="17"/>
  <c r="BR8" i="17" s="1"/>
  <c r="BQ5" i="17"/>
  <c r="CE7" i="17"/>
  <c r="CE8" i="17" s="1"/>
  <c r="DK7" i="17"/>
  <c r="DL10" i="17" s="1"/>
  <c r="P137" i="18" s="1"/>
  <c r="O88" i="18"/>
  <c r="BR5" i="17"/>
  <c r="ES4" i="17"/>
  <c r="ES21" i="17" s="1"/>
  <c r="CY4" i="17"/>
  <c r="CZ7" i="17" s="1"/>
  <c r="DA10" i="17" s="1"/>
  <c r="CD7" i="17"/>
  <c r="CE10" i="17" s="1"/>
  <c r="I137" i="18" s="1"/>
  <c r="EQ4" i="17"/>
  <c r="ER7" i="17" s="1"/>
  <c r="CC5" i="17"/>
  <c r="CJ5" i="17" s="1"/>
  <c r="E74" i="15"/>
  <c r="DI7" i="17"/>
  <c r="DJ10" i="17" s="1"/>
  <c r="DG4" i="17"/>
  <c r="DH7" i="17" s="1"/>
  <c r="P85" i="18" s="1"/>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BS10" i="17"/>
  <c r="BT13" i="17" s="1"/>
  <c r="I150" i="18" s="1"/>
  <c r="I76" i="18"/>
  <c r="I88" i="18"/>
  <c r="BV10" i="17"/>
  <c r="BW13" i="17" s="1"/>
  <c r="I79" i="18"/>
  <c r="BU10" i="17"/>
  <c r="BV13" i="17" s="1"/>
  <c r="I152" i="18" s="1"/>
  <c r="I78" i="18"/>
  <c r="BT10" i="17"/>
  <c r="BU13" i="17" s="1"/>
  <c r="I151" i="18" s="1"/>
  <c r="I77" i="18"/>
  <c r="I75" i="18"/>
  <c r="I81" i="18"/>
  <c r="I82" i="18"/>
  <c r="P86" i="18"/>
  <c r="I86" i="18"/>
  <c r="I80" i="18"/>
  <c r="CE9" i="17"/>
  <c r="H137" i="18" s="1"/>
  <c r="H88" i="18"/>
  <c r="P87" i="18"/>
  <c r="DL5" i="17"/>
  <c r="DA9" i="17"/>
  <c r="DO3" i="17"/>
  <c r="DC6" i="17"/>
  <c r="DD5" i="17"/>
  <c r="EQ6" i="17"/>
  <c r="EQ23" i="17" s="1"/>
  <c r="EP5" i="17"/>
  <c r="EC7"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BZ8" i="17" l="1"/>
  <c r="DG5" i="17"/>
  <c r="ED21" i="17"/>
  <c r="ED22" i="17" s="1"/>
  <c r="CM5" i="17"/>
  <c r="CD10" i="17"/>
  <c r="CE13" i="17" s="1"/>
  <c r="CE14" i="17" s="1"/>
  <c r="CD8" i="17"/>
  <c r="EM5" i="17"/>
  <c r="DK8" i="17"/>
  <c r="EV4" i="17"/>
  <c r="CI5" i="17"/>
  <c r="CY5" i="17"/>
  <c r="ES5" i="17"/>
  <c r="BV8" i="17"/>
  <c r="DD10" i="17"/>
  <c r="DE13" i="17" s="1"/>
  <c r="DF16" i="17" s="1"/>
  <c r="P76" i="18"/>
  <c r="P88" i="18"/>
  <c r="EQ21" i="17"/>
  <c r="EQ22" i="17" s="1"/>
  <c r="ET7" i="17"/>
  <c r="ET24" i="17" s="1"/>
  <c r="ET25" i="17" s="1"/>
  <c r="P84" i="18"/>
  <c r="BX8" i="17"/>
  <c r="EQ5" i="17"/>
  <c r="DK5" i="17"/>
  <c r="CC10" i="17"/>
  <c r="CD13" i="17" s="1"/>
  <c r="I160" i="18" s="1"/>
  <c r="I113" i="18"/>
  <c r="O234" i="18" s="1"/>
  <c r="DI5" i="17"/>
  <c r="I110" i="18"/>
  <c r="CZ10" i="17"/>
  <c r="P125" i="18" s="1"/>
  <c r="EN7" i="17"/>
  <c r="EN24" i="17" s="1"/>
  <c r="EN25"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X20" i="17"/>
  <c r="EJ10" i="17"/>
  <c r="EI24" i="17"/>
  <c r="EI25" i="17" s="1"/>
  <c r="EB22" i="17"/>
  <c r="DL11" i="17"/>
  <c r="DD9" i="17"/>
  <c r="O80" i="18"/>
  <c r="BY16" i="17"/>
  <c r="I106" i="18"/>
  <c r="P112"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BK5" i="17"/>
  <c r="CF5" i="17" s="1"/>
  <c r="CF3" i="17"/>
  <c r="BO11" i="17"/>
  <c r="BP12" i="17"/>
  <c r="H146" i="18" s="1"/>
  <c r="CM9" i="17"/>
  <c r="BV11" i="17"/>
  <c r="BO12" i="17"/>
  <c r="BN11" i="17"/>
  <c r="BY11" i="17"/>
  <c r="BZ12" i="17"/>
  <c r="DJ9" i="17"/>
  <c r="O135" i="18" s="1"/>
  <c r="DI8" i="17"/>
  <c r="DB11" i="17"/>
  <c r="CX8" i="17"/>
  <c r="DG9" i="17"/>
  <c r="O132" i="18" s="1"/>
  <c r="DF8" i="17"/>
  <c r="CD12" i="17"/>
  <c r="H160" i="18" s="1"/>
  <c r="O257"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L7" i="17"/>
  <c r="BR12" i="17"/>
  <c r="H148" i="18" s="1"/>
  <c r="DE9" i="17"/>
  <c r="O130" i="18" s="1"/>
  <c r="DD8" i="17"/>
  <c r="DP7" i="17"/>
  <c r="BU11" i="17"/>
  <c r="BV12" i="17"/>
  <c r="H152" i="18" s="1"/>
  <c r="O249" i="18" s="1"/>
  <c r="EO10" i="17" l="1"/>
  <c r="EO27" i="17" s="1"/>
  <c r="CE16" i="17"/>
  <c r="I185" i="18" s="1"/>
  <c r="CI8" i="17"/>
  <c r="CF4" i="17"/>
  <c r="CL4" i="17" s="1"/>
  <c r="I136" i="18"/>
  <c r="EN8" i="17"/>
  <c r="CJ8" i="17"/>
  <c r="DT5" i="17"/>
  <c r="ET8" i="17"/>
  <c r="P129" i="18"/>
  <c r="DQ5" i="17"/>
  <c r="O255" i="18"/>
  <c r="I135" i="18"/>
  <c r="CC11" i="17"/>
  <c r="O244" i="18"/>
  <c r="EY21" i="17"/>
  <c r="EO8" i="17"/>
  <c r="CR4" i="17"/>
  <c r="CR5" i="17" s="1"/>
  <c r="DM5" i="17"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P150"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CS7" i="17"/>
  <c r="P70" i="18" s="1"/>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94"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O28"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CL5" i="17"/>
  <c r="DT9" i="17"/>
  <c r="CK5" i="17"/>
  <c r="DL12" i="17"/>
  <c r="DK11" i="17"/>
  <c r="DO8" i="17"/>
  <c r="Q26" i="18" s="1"/>
  <c r="CU11" i="17"/>
  <c r="BZ14" i="17"/>
  <c r="CJ12" i="17"/>
  <c r="BM9" i="17"/>
  <c r="H119" i="18" s="1"/>
  <c r="BL8" i="17"/>
  <c r="CG6" i="17"/>
  <c r="DJ12" i="17"/>
  <c r="DI11" i="17"/>
  <c r="CK4" i="17"/>
  <c r="CW11" i="17"/>
  <c r="CI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BM10" i="17"/>
  <c r="I119" i="18" s="1"/>
  <c r="CG7" i="17"/>
  <c r="DT8" i="17"/>
  <c r="DP8" i="17"/>
  <c r="EO11" i="17" l="1"/>
  <c r="EC11" i="17"/>
  <c r="EP13" i="17"/>
  <c r="EP30" i="17" s="1"/>
  <c r="P224" i="18"/>
  <c r="DE14" i="17"/>
  <c r="P248" i="18"/>
  <c r="EX8" i="17"/>
  <c r="ED13" i="17"/>
  <c r="ED14" i="17" s="1"/>
  <c r="EY8" i="17"/>
  <c r="CF7" i="17"/>
  <c r="I45" i="18"/>
  <c r="P45" i="18" s="1"/>
  <c r="BK8" i="17"/>
  <c r="CF8" i="17" s="1"/>
  <c r="I93" i="18"/>
  <c r="P249" i="18"/>
  <c r="DM4" i="17"/>
  <c r="DR4" i="17" s="1"/>
  <c r="P69" i="18"/>
  <c r="Q61" i="18" s="1"/>
  <c r="P226" i="18"/>
  <c r="P250" i="18"/>
  <c r="CJ11" i="17"/>
  <c r="CW14" i="17"/>
  <c r="DB16" i="17"/>
  <c r="DC19" i="17" s="1"/>
  <c r="P200" i="18" s="1"/>
  <c r="EM11" i="17"/>
  <c r="EN13" i="17"/>
  <c r="EN30" i="17" s="1"/>
  <c r="CJ16" i="17"/>
  <c r="I182" i="18"/>
  <c r="CI16" i="17"/>
  <c r="DP13" i="17"/>
  <c r="P223" i="18"/>
  <c r="P247"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O214" i="18"/>
  <c r="P111" i="18"/>
  <c r="P159" i="18"/>
  <c r="DG14" i="17"/>
  <c r="CZ14" i="17"/>
  <c r="O111" i="18"/>
  <c r="O159" i="18"/>
  <c r="DQ13" i="17"/>
  <c r="CT10" i="17"/>
  <c r="CU13" i="17" s="1"/>
  <c r="I53" i="18"/>
  <c r="P53" i="18" s="1"/>
  <c r="I61" i="18"/>
  <c r="P61" i="18" s="1"/>
  <c r="DD20" i="17"/>
  <c r="P201" i="18"/>
  <c r="O200" i="18"/>
  <c r="P100" i="18"/>
  <c r="P221" i="18" s="1"/>
  <c r="P148" i="18"/>
  <c r="P245" i="18" s="1"/>
  <c r="Q53" i="18"/>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L14" i="17"/>
  <c r="EL29" i="17"/>
  <c r="EL31" i="17" s="1"/>
  <c r="EV23" i="17"/>
  <c r="EA25" i="17"/>
  <c r="EV25" i="17" s="1"/>
  <c r="ES14" i="17"/>
  <c r="ES29" i="17"/>
  <c r="ES31" i="17" s="1"/>
  <c r="EN29" i="17"/>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N7" i="17"/>
  <c r="BN13" i="17"/>
  <c r="CH10" i="17"/>
  <c r="DS3" i="17"/>
  <c r="DR3" i="17"/>
  <c r="CM14" i="17"/>
  <c r="CG8" i="17"/>
  <c r="I18" i="18" s="1"/>
  <c r="CJ14" i="17"/>
  <c r="DQ11" i="17"/>
  <c r="CG9" i="17"/>
  <c r="BN12" i="17"/>
  <c r="CH9" i="17"/>
  <c r="BM11" i="17"/>
  <c r="CH11" i="17" s="1"/>
  <c r="I27" i="18" s="1"/>
  <c r="P27" i="18" s="1"/>
  <c r="CV14" i="17"/>
  <c r="DT12" i="17"/>
  <c r="CK7" i="17"/>
  <c r="CL7" i="17"/>
  <c r="DN6" i="17"/>
  <c r="CS8" i="17"/>
  <c r="BL11" i="17"/>
  <c r="BM12" i="17"/>
  <c r="DP12" i="17"/>
  <c r="DS5" i="17"/>
  <c r="DR5" i="17"/>
  <c r="CI14" i="17"/>
  <c r="BM13" i="17"/>
  <c r="CG10" i="17"/>
  <c r="ED30" i="17" l="1"/>
  <c r="DS4" i="17"/>
  <c r="T7" i="18"/>
  <c r="U7" i="18" s="1"/>
  <c r="BM15" i="17"/>
  <c r="H167" i="18" s="1"/>
  <c r="P175" i="18"/>
  <c r="DC20" i="17"/>
  <c r="DB17" i="17"/>
  <c r="H142" i="18"/>
  <c r="EX30" i="17"/>
  <c r="EN31" i="17"/>
  <c r="EN14" i="17"/>
  <c r="DJ19" i="17"/>
  <c r="P207" i="18" s="1"/>
  <c r="CR13" i="17"/>
  <c r="P141" i="18" s="1"/>
  <c r="P238" i="18" s="1"/>
  <c r="P119" i="18"/>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P144" i="18"/>
  <c r="CT13" i="17"/>
  <c r="P118" i="18"/>
  <c r="CV16" i="17"/>
  <c r="DT16" i="17" s="1"/>
  <c r="CR15" i="17" s="1"/>
  <c r="O165" i="18" s="1"/>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DM10" i="17"/>
  <c r="DR10" i="17" s="1"/>
  <c r="DR7"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M8" i="17"/>
  <c r="DR8" i="17" s="1"/>
  <c r="DN10" i="17"/>
  <c r="DT14" i="17"/>
  <c r="BN14" i="17"/>
  <c r="CG11" i="17"/>
  <c r="I19" i="18" s="1"/>
  <c r="P19" i="18" s="1"/>
  <c r="P46" i="18"/>
  <c r="P38" i="18"/>
  <c r="BM14" i="17"/>
  <c r="CH12" i="17"/>
  <c r="CT11" i="17"/>
  <c r="DO9" i="17"/>
  <c r="CL8" i="17"/>
  <c r="CK8" i="17"/>
  <c r="CH13" i="17"/>
  <c r="CG12" i="17"/>
  <c r="DM9" i="17"/>
  <c r="DO10" i="17"/>
  <c r="DN8" i="17"/>
  <c r="Q18" i="18" s="1"/>
  <c r="P18" i="18"/>
  <c r="DN9" i="17"/>
  <c r="DW8" i="17" l="1"/>
  <c r="DW9" i="17" s="1"/>
  <c r="O240" i="18"/>
  <c r="DW10" i="17"/>
  <c r="DW16" i="17" s="1"/>
  <c r="BN18" i="17"/>
  <c r="O239" i="18"/>
  <c r="EX31" i="17"/>
  <c r="CF12" i="17"/>
  <c r="CK12" i="17" s="1"/>
  <c r="CR14" i="17"/>
  <c r="EY31" i="17"/>
  <c r="CS16" i="17"/>
  <c r="DN16" i="17" s="1"/>
  <c r="T9" i="18"/>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T10" i="18" s="1"/>
  <c r="CW19" i="17"/>
  <c r="P194" i="18" s="1"/>
  <c r="P169" i="18"/>
  <c r="DN13" i="17"/>
  <c r="DM13" i="17"/>
  <c r="DS13" i="17" s="1"/>
  <c r="CT14" i="17"/>
  <c r="CU16" i="17"/>
  <c r="P168" i="18" s="1"/>
  <c r="O94" i="18"/>
  <c r="O142" i="18"/>
  <c r="CT15" i="17"/>
  <c r="DO15" i="17" s="1"/>
  <c r="CS14" i="17"/>
  <c r="O95" i="18"/>
  <c r="O143" i="18"/>
  <c r="S9" i="18"/>
  <c r="Q63" i="18"/>
  <c r="Q55" i="18"/>
  <c r="CV18" i="17"/>
  <c r="O193" i="18" s="1"/>
  <c r="O168" i="18"/>
  <c r="O96" i="18"/>
  <c r="P217" i="18" s="1"/>
  <c r="O144" i="18"/>
  <c r="P241" i="18" s="1"/>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N11" i="17"/>
  <c r="Q19" i="18" s="1"/>
  <c r="DH20" i="17"/>
  <c r="DP18" i="17"/>
  <c r="DQ18" i="17"/>
  <c r="BN17" i="17"/>
  <c r="BO18" i="17"/>
  <c r="H193" i="18" s="1"/>
  <c r="BO17" i="17"/>
  <c r="CM17" i="17" s="1"/>
  <c r="BP18" i="17"/>
  <c r="H194" i="18" s="1"/>
  <c r="CM15" i="17"/>
  <c r="DQ17" i="17"/>
  <c r="DP17" i="17"/>
  <c r="CM16" i="17"/>
  <c r="BP19" i="17"/>
  <c r="CL11" i="17"/>
  <c r="CK11" i="17"/>
  <c r="DM12" i="17"/>
  <c r="DR12" i="17" s="1"/>
  <c r="DO13" i="17"/>
  <c r="DO11" i="17"/>
  <c r="Q27" i="18" s="1"/>
  <c r="DR9" i="17"/>
  <c r="DS9" i="17"/>
  <c r="DM11" i="17"/>
  <c r="CU14" i="17"/>
  <c r="CH14" i="17"/>
  <c r="I28" i="18" s="1"/>
  <c r="CL12" i="17" l="1"/>
  <c r="DR13" i="17"/>
  <c r="CL13" i="17"/>
  <c r="DW17" i="17"/>
  <c r="DX1" i="17" s="1"/>
  <c r="U9" i="18"/>
  <c r="CT19" i="17"/>
  <c r="CT20" i="17" s="1"/>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P191"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DO19" i="17" l="1"/>
  <c r="CL14" i="17"/>
  <c r="P64" i="18"/>
  <c r="DN17" i="17"/>
  <c r="E75" i="19"/>
  <c r="BK18" i="17"/>
  <c r="H189" i="18" s="1"/>
  <c r="DX18" i="17"/>
  <c r="EF3" i="17"/>
  <c r="EE9" i="17"/>
  <c r="EG3" i="17"/>
  <c r="EE12" i="17"/>
  <c r="EE10" i="17"/>
  <c r="C37" i="21"/>
  <c r="EE7" i="17"/>
  <c r="EE13" i="17"/>
  <c r="EE3" i="17"/>
  <c r="EG4" i="17"/>
  <c r="EF4" i="17"/>
  <c r="EF21" i="17" s="1"/>
  <c r="EE4" i="17"/>
  <c r="EF7" i="17" s="1"/>
  <c r="EE6" i="17"/>
  <c r="EF9" i="17" s="1"/>
  <c r="G70" i="19"/>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E116" i="21"/>
  <c r="DR16" i="17"/>
  <c r="BL18" i="17"/>
  <c r="BK17" i="17"/>
  <c r="CF17" i="17" s="1"/>
  <c r="CF15" i="17"/>
  <c r="CM20" i="17"/>
  <c r="CF16" i="17"/>
  <c r="BL19" i="17"/>
  <c r="DR14" i="17"/>
  <c r="DS14" i="17"/>
  <c r="BK20" i="17" l="1"/>
  <c r="CH20" i="17"/>
  <c r="EF6" i="17"/>
  <c r="EE5" i="17"/>
  <c r="EE20" i="17"/>
  <c r="EU3" i="17"/>
  <c r="FB3" i="17"/>
  <c r="EE30" i="17"/>
  <c r="EF10" i="17"/>
  <c r="EF11" i="17" s="1"/>
  <c r="EE24" i="17"/>
  <c r="C39" i="21"/>
  <c r="C38" i="21"/>
  <c r="D37" i="21"/>
  <c r="D39" i="21"/>
  <c r="D38" i="21"/>
  <c r="EG7" i="17"/>
  <c r="FB7" i="17" s="1"/>
  <c r="EF13" i="17"/>
  <c r="EF30" i="17" s="1"/>
  <c r="EE27" i="17"/>
  <c r="EG21" i="17"/>
  <c r="EH7" i="17"/>
  <c r="EF26" i="17"/>
  <c r="EG12" i="17"/>
  <c r="EE29" i="17"/>
  <c r="EE14" i="17"/>
  <c r="EH6" i="17"/>
  <c r="EG5" i="17"/>
  <c r="EG20" i="17"/>
  <c r="EF8" i="17"/>
  <c r="EF24" i="17"/>
  <c r="EG10" i="17"/>
  <c r="EF12" i="17"/>
  <c r="EE26" i="17"/>
  <c r="EE11" i="17"/>
  <c r="D10" i="19"/>
  <c r="D47" i="21" s="1"/>
  <c r="EE23" i="17"/>
  <c r="EE8" i="17"/>
  <c r="EG6" i="17"/>
  <c r="EF5" i="17"/>
  <c r="EF20" i="17"/>
  <c r="EF22" i="17" s="1"/>
  <c r="EE21" i="17"/>
  <c r="EU4" i="17"/>
  <c r="FB4"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E28" i="17"/>
  <c r="EG29" i="17"/>
  <c r="DZ7" i="17"/>
  <c r="DZ6" i="17"/>
  <c r="FA4" i="17"/>
  <c r="EZ4" i="17"/>
  <c r="EF29" i="17"/>
  <c r="EF31" i="17" s="1"/>
  <c r="EF14" i="17"/>
  <c r="FB12" i="17"/>
  <c r="EH24" i="17"/>
  <c r="EI10" i="17"/>
  <c r="EF27" i="17"/>
  <c r="EF28" i="17" s="1"/>
  <c r="EG13" i="17"/>
  <c r="EG30" i="17" s="1"/>
  <c r="FB30" i="17" s="1"/>
  <c r="EU21" i="17"/>
  <c r="FB21" i="17"/>
  <c r="FB10" i="17"/>
  <c r="EG27" i="17"/>
  <c r="EH13" i="17"/>
  <c r="EH30" i="17" s="1"/>
  <c r="EG23" i="17"/>
  <c r="EH9" i="17"/>
  <c r="EG8" i="17"/>
  <c r="FB8" i="17" s="1"/>
  <c r="EG22" i="17"/>
  <c r="EH10" i="17"/>
  <c r="EG24" i="17"/>
  <c r="FB24" i="17" s="1"/>
  <c r="FA3" i="17"/>
  <c r="EZ3" i="17"/>
  <c r="FB6" i="17"/>
  <c r="EE22" i="17"/>
  <c r="FB20" i="17"/>
  <c r="EU20" i="17"/>
  <c r="D11" i="19"/>
  <c r="EI9" i="17"/>
  <c r="EH23" i="17"/>
  <c r="EH8" i="17"/>
  <c r="EU5" i="17"/>
  <c r="FB5" i="17"/>
  <c r="EE25" i="17"/>
  <c r="EF23" i="17"/>
  <c r="EF25" i="17" s="1"/>
  <c r="EG9" i="17"/>
  <c r="CK18" i="17"/>
  <c r="DS20" i="17"/>
  <c r="DS18" i="17"/>
  <c r="CK19" i="17"/>
  <c r="CL19" i="17"/>
  <c r="CF20" i="17"/>
  <c r="EG25" i="17" l="1"/>
  <c r="FB25" i="17" s="1"/>
  <c r="FB13" i="17"/>
  <c r="DZ13" i="17" s="1"/>
  <c r="FB27" i="17"/>
  <c r="EZ20" i="17"/>
  <c r="FA20" i="17"/>
  <c r="DZ9" i="17"/>
  <c r="DZ10" i="17"/>
  <c r="EU6" i="17"/>
  <c r="DZ23" i="17"/>
  <c r="DZ8" i="17"/>
  <c r="EU8" i="17" s="1"/>
  <c r="EA9" i="17"/>
  <c r="FB22" i="17"/>
  <c r="EU22" i="17"/>
  <c r="DZ24" i="17"/>
  <c r="EU24" i="17" s="1"/>
  <c r="EA10" i="17"/>
  <c r="EU7" i="17"/>
  <c r="EG26" i="17"/>
  <c r="FB26" i="17" s="1"/>
  <c r="EH12" i="17"/>
  <c r="EG11" i="17"/>
  <c r="FB11" i="17" s="1"/>
  <c r="FB9" i="17"/>
  <c r="FB23" i="17"/>
  <c r="FA5" i="17"/>
  <c r="EZ5" i="17"/>
  <c r="EI13" i="17"/>
  <c r="EI30" i="17" s="1"/>
  <c r="EH27" i="17"/>
  <c r="EZ21" i="17"/>
  <c r="FA21" i="17"/>
  <c r="EH25" i="17"/>
  <c r="EG14" i="17"/>
  <c r="FB14" i="17" s="1"/>
  <c r="EI11" i="17"/>
  <c r="EJ12" i="17"/>
  <c r="EI26" i="17"/>
  <c r="EH26" i="17"/>
  <c r="EH28" i="17" s="1"/>
  <c r="EH11" i="17"/>
  <c r="EI12" i="17"/>
  <c r="EJ13" i="17"/>
  <c r="EJ30" i="17" s="1"/>
  <c r="EI27" i="17"/>
  <c r="FB29" i="17"/>
  <c r="EG31" i="17"/>
  <c r="FB31" i="17" s="1"/>
  <c r="CK20" i="17"/>
  <c r="CL20" i="17"/>
  <c r="EI28" i="17" l="1"/>
  <c r="DZ12" i="17"/>
  <c r="DZ29" i="17" s="1"/>
  <c r="EU23" i="17"/>
  <c r="DZ25" i="17"/>
  <c r="EU25" i="17" s="1"/>
  <c r="DZ11" i="17"/>
  <c r="DZ27" i="17"/>
  <c r="EU10" i="17"/>
  <c r="EA13" i="17"/>
  <c r="EA30" i="17" s="1"/>
  <c r="FA8" i="17"/>
  <c r="EZ8" i="17"/>
  <c r="EH29" i="17"/>
  <c r="EH31" i="17" s="1"/>
  <c r="EH14" i="17"/>
  <c r="DZ26" i="17"/>
  <c r="EA12" i="17"/>
  <c r="FA7" i="17"/>
  <c r="EZ7" i="17"/>
  <c r="EG28" i="17"/>
  <c r="FB28" i="17" s="1"/>
  <c r="EJ29" i="17"/>
  <c r="EJ31" i="17" s="1"/>
  <c r="EJ14" i="17"/>
  <c r="EB13" i="17"/>
  <c r="EV10" i="17"/>
  <c r="EA27" i="17"/>
  <c r="EV27" i="17" s="1"/>
  <c r="EZ24" i="17"/>
  <c r="FA24" i="17"/>
  <c r="DZ14" i="17"/>
  <c r="EZ22" i="17"/>
  <c r="H36" i="21"/>
  <c r="FA22" i="17"/>
  <c r="DZ30" i="17"/>
  <c r="EZ6" i="17"/>
  <c r="FA6" i="17"/>
  <c r="EI29" i="17"/>
  <c r="EI31" i="17" s="1"/>
  <c r="EI14" i="17"/>
  <c r="EU9" i="17"/>
  <c r="EB12" i="17"/>
  <c r="EA26" i="17"/>
  <c r="EA11" i="17"/>
  <c r="EV11" i="17" s="1"/>
  <c r="EV9" i="17"/>
  <c r="DZ28" i="17" l="1"/>
  <c r="EU26" i="17"/>
  <c r="EV13" i="17"/>
  <c r="EB30" i="17"/>
  <c r="EW30" i="17" s="1"/>
  <c r="EW13" i="17"/>
  <c r="EZ10" i="17"/>
  <c r="FA10" i="17"/>
  <c r="EZ9" i="17"/>
  <c r="FA9" i="17"/>
  <c r="EU27" i="17"/>
  <c r="DZ31" i="17"/>
  <c r="EU11" i="17"/>
  <c r="EA29" i="17"/>
  <c r="EA14" i="17"/>
  <c r="EV12" i="17"/>
  <c r="EV26" i="17"/>
  <c r="EA28" i="17"/>
  <c r="EV28" i="17" s="1"/>
  <c r="H37" i="21"/>
  <c r="EZ25" i="17"/>
  <c r="FA25" i="17"/>
  <c r="EU13" i="17"/>
  <c r="EW12" i="17"/>
  <c r="EB14" i="17"/>
  <c r="EW14" i="17" s="1"/>
  <c r="EB29" i="17"/>
  <c r="EU12" i="17"/>
  <c r="FA23" i="17"/>
  <c r="EZ23" i="17"/>
  <c r="EU30" i="17" l="1"/>
  <c r="FA30" i="17" s="1"/>
  <c r="EV30" i="17"/>
  <c r="EV14" i="17"/>
  <c r="EU29" i="17"/>
  <c r="EZ29" i="17" s="1"/>
  <c r="EZ30" i="17"/>
  <c r="EW29" i="17"/>
  <c r="EB31" i="17"/>
  <c r="EW31" i="17" s="1"/>
  <c r="EU14" i="17"/>
  <c r="EZ12" i="17"/>
  <c r="FA12" i="17"/>
  <c r="EU31" i="17"/>
  <c r="EZ26" i="17"/>
  <c r="FA26" i="17"/>
  <c r="EA31" i="17"/>
  <c r="EV29" i="17"/>
  <c r="EZ11" i="17"/>
  <c r="FA11" i="17"/>
  <c r="FA13" i="17"/>
  <c r="EZ13" i="17"/>
  <c r="FA27" i="17"/>
  <c r="EZ27" i="17"/>
  <c r="EU28" i="17"/>
  <c r="FA29" i="17" l="1"/>
  <c r="EZ31" i="17"/>
  <c r="H39" i="21"/>
  <c r="FA31" i="17"/>
  <c r="H38" i="21"/>
  <c r="FA28" i="17"/>
  <c r="EZ28" i="17"/>
  <c r="FA14" i="17"/>
  <c r="EZ14" i="17"/>
  <c r="EV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<sst xmlns="http://schemas.openxmlformats.org/spreadsheetml/2006/main" count="1357" uniqueCount="444">
  <si>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</si>
  <si>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</si>
  <si>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</si>
  <si>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</si>
  <si>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</si>
  <si>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</si>
  <si>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</si>
  <si>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</si>
  <si>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</si>
  <si>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</si>
  <si>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</si>
  <si>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</si>
  <si>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</si>
  <si>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</si>
  <si>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</si>
  <si>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</si>
  <si>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</si>
  <si>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</si>
  <si>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</si>
  <si>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</si>
  <si>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</si>
  <si>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</si>
  <si>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</si>
  <si>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</si>
  <si>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</si>
  <si>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</si>
  <si>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</si>
  <si>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</si>
  <si>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</si>
  <si>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</si>
  <si>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</si>
  <si>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</si>
  <si>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</si>
  <si>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</si>
  <si>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</si>
  <si>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</si>
  <si>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</si>
  <si>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</si>
  <si>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</si>
  <si>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</si>
  <si>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</si>
  <si>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</si>
  <si>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</si>
  <si>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</si>
  <si>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</si>
  <si>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</si>
  <si>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</si>
  <si>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</si>
  <si>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</si>
  <si>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</si>
  <si>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</si>
  <si>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</si>
  <si>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</si>
  <si>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</si>
  <si>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</si>
  <si>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</si>
  <si>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</si>
  <si>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</si>
  <si>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</si>
  <si>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</si>
  <si>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</si>
  <si>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</si>
  <si>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</si>
  <si>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</si>
  <si>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</si>
  <si>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</si>
  <si>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</si>
  <si>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</si>
  <si>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</si>
  <si>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</si>
  <si>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</si>
  <si>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</si>
  <si>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</si>
  <si>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</si>
  <si>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</si>
  <si>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</si>
  <si>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</si>
  <si>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</si>
  <si>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</si>
  <si>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</si>
  <si>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</si>
  <si>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</si>
  <si>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</si>
  <si>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</si>
  <si>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</si>
  <si>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</si>
  <si>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</si>
  <si>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</si>
  <si>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</si>
  <si>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</si>
  <si>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</si>
  <si>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</si>
  <si>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</si>
  <si>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</si>
  <si>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</si>
  <si>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</si>
  <si>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</si>
  <si>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</si>
  <si>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</si>
  <si>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</si>
  <si>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</si>
  <si>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</si>
  <si>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</si>
  <si>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</si>
  <si>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</si>
  <si>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</si>
  <si>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</si>
  <si>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</si>
  <si>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</si>
  <si>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</si>
  <si>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</si>
  <si>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</si>
  <si>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</si>
  <si>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</si>
  <si>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</si>
  <si>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</si>
  <si>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</si>
  <si>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</si>
  <si>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</si>
  <si>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</si>
  <si>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</si>
  <si>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</si>
  <si>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</si>
  <si>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</si>
  <si>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</si>
  <si>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</si>
  <si>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</si>
  <si>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</si>
  <si>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</si>
  <si>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</si>
  <si>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</si>
  <si>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</si>
  <si>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</si>
  <si>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</si>
  <si>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</si>
  <si>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</si>
  <si>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</si>
  <si>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</si>
  <si>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</si>
  <si>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</si>
  <si>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</si>
  <si>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</si>
  <si>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</si>
  <si>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</si>
  <si>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</si>
  <si>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</si>
  <si>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</si>
  <si>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</si>
  <si>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</si>
  <si>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</si>
  <si>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</si>
  <si>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</si>
  <si>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</si>
  <si>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</si>
  <si>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</si>
  <si>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</si>
  <si>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</si>
  <si>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</si>
  <si>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</si>
  <si>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</si>
  <si>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</si>
  <si>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</si>
  <si>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</si>
  <si>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</si>
  <si>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</si>
  <si>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</si>
  <si>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</si>
  <si>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</si>
  <si>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</si>
  <si>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</si>
  <si>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</si>
  <si>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</si>
  <si>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</si>
  <si>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</si>
  <si>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</si>
  <si>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</si>
  <si>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</si>
  <si>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</si>
  <si>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</si>
  <si>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</si>
  <si>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</si>
  <si>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</si>
  <si>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</si>
  <si>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</si>
  <si>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</si>
  <si>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</si>
  <si>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</si>
  <si>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</si>
  <si>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</si>
  <si>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</si>
  <si>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</si>
  <si>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</si>
  <si>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</si>
  <si>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</si>
  <si>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</si>
  <si>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</si>
  <si>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</si>
  <si>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</si>
  <si>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</si>
  <si>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</si>
  <si>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</si>
  <si>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</si>
  <si>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</si>
  <si>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</si>
  <si>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</si>
  <si>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</si>
  <si>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</si>
  <si>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</si>
  <si>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</si>
  <si>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</si>
  <si>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</si>
  <si>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</si>
  <si>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</si>
  <si>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</si>
  <si>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</si>
  <si>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</si>
  <si>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</si>
  <si>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</si>
  <si>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</si>
  <si>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</si>
  <si>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</si>
  <si>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</si>
  <si>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</si>
  <si>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</si>
  <si>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</si>
  <si>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</si>
  <si>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</si>
  <si>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</si>
  <si>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</si>
  <si>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</si>
  <si>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</si>
  <si>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</si>
  <si>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</si>
  <si>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</si>
  <si>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</si>
  <si>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</si>
  <si>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</si>
  <si>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</si>
  <si>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</si>
  <si>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</si>
  <si>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</si>
  <si>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</si>
  <si>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</si>
  <si>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</si>
  <si>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</si>
  <si>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</si>
  <si>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</si>
  <si>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</si>
  <si>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</si>
  <si>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</si>
  <si>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</si>
  <si>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</si>
  <si>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</si>
  <si>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</si>
  <si>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</si>
  <si>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</si>
  <si>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</si>
  <si>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</si>
  <si>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</si>
  <si>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</si>
  <si>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</si>
  <si>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</si>
  <si>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</si>
  <si>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</si>
  <si>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</si>
  <si>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</si>
  <si>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</si>
  <si>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</si>
  <si>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</si>
  <si>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</si>
  <si>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</si>
  <si>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</si>
  <si>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</si>
  <si>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</si>
  <si>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</si>
  <si>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</si>
  <si>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</si>
  <si>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</si>
  <si>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</si>
  <si>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</si>
  <si>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</si>
  <si>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</si>
  <si>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</si>
  <si>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</si>
  <si>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</si>
  <si>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</si>
  <si>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</si>
  <si>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</si>
  <si>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</si>
  <si>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</si>
  <si>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</si>
  <si>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</si>
  <si>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</si>
  <si>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</si>
  <si>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</si>
  <si>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</si>
  <si>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</si>
  <si>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</si>
  <si>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</si>
  <si>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</si>
  <si>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</si>
  <si>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</si>
  <si>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</si>
  <si>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</si>
  <si>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</si>
  <si>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</si>
  <si>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</si>
  <si>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</si>
  <si>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</si>
  <si>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</si>
  <si>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</si>
  <si>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</si>
  <si>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</si>
  <si>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</si>
  <si>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</si>
  <si>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</si>
  <si>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</si>
  <si>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</si>
  <si>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</si>
  <si>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</si>
  <si>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</si>
  <si>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</si>
  <si>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</si>
  <si>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</si>
  <si>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</si>
  <si>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</si>
  <si>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</si>
  <si>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</si>
  <si>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</si>
  <si>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</si>
  <si>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</si>
  <si>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</si>
  <si>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</si>
  <si>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</si>
  <si>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</si>
  <si>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</si>
  <si>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</si>
  <si>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</si>
  <si>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</si>
  <si>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</si>
  <si>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</si>
  <si>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</si>
  <si>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</si>
  <si>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</si>
  <si>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</si>
  <si>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</si>
  <si>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</si>
  <si>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</si>
  <si>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</si>
  <si>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</si>
  <si>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</si>
  <si>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</si>
  <si>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</si>
  <si>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</si>
  <si>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</si>
  <si>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</si>
  <si>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</si>
  <si>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</si>
  <si>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</si>
  <si>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</si>
  <si>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</si>
  <si>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</si>
  <si>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</si>
  <si>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</si>
  <si>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</si>
  <si>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</si>
  <si>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</si>
  <si>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</si>
  <si>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</si>
  <si>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</si>
  <si>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</si>
  <si>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</si>
  <si>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</si>
  <si>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</si>
  <si>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</si>
  <si>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</si>
  <si>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</si>
  <si>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</si>
  <si>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</si>
  <si>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</si>
  <si>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</si>
  <si>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</si>
  <si>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</si>
  <si>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</si>
  <si>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</si>
  <si>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</si>
  <si>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</si>
  <si>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</si>
  <si>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</si>
  <si>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</si>
  <si>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</si>
  <si>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</si>
  <si>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</si>
  <si>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</si>
  <si>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</si>
  <si>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</si>
  <si>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</si>
  <si>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</si>
  <si>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</si>
  <si>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</si>
  <si>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</si>
  <si>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</si>
  <si>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</si>
  <si>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</si>
  <si>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</si>
  <si>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</si>
  <si>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</si>
  <si>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</si>
  <si>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</si>
  <si>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</si>
  <si>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</si>
  <si>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</si>
  <si>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</si>
  <si>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</si>
  <si>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</si>
  <si>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</si>
  <si>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</si>
  <si>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</si>
  <si>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</si>
  <si>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</si>
  <si>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</si>
  <si>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</si>
  <si>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</si>
  <si>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</si>
  <si>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</si>
  <si>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</si>
  <si>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</si>
  <si>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</si>
  <si>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45208_4</t>
  </si>
  <si>
    <t>45208_4</t>
    <phoneticPr fontId="2"/>
  </si>
  <si>
    <t>45208_1</t>
  </si>
  <si>
    <t>西都市</t>
    <rPh sb="0" eb="3">
      <t>サイトシ</t>
    </rPh>
    <phoneticPr fontId="1"/>
  </si>
  <si>
    <t>45208_3</t>
  </si>
  <si>
    <t>45208_5</t>
  </si>
  <si>
    <t>45208_6</t>
  </si>
  <si>
    <t>45208_7</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</si>
  <si>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</si>
  <si>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</si>
  <si>
    <t>妻地区</t>
    <rPh sb="1" eb="3">
      <t>チク</t>
    </rPh>
    <phoneticPr fontId="1"/>
  </si>
  <si>
    <t>穂北地区</t>
    <rPh sb="2" eb="4">
      <t>チク</t>
    </rPh>
    <phoneticPr fontId="1"/>
  </si>
  <si>
    <t>三納地区</t>
    <rPh sb="2" eb="4">
      <t>チク</t>
    </rPh>
    <phoneticPr fontId="1"/>
  </si>
  <si>
    <t>都於郡地区</t>
    <rPh sb="3" eb="5">
      <t>チク</t>
    </rPh>
    <phoneticPr fontId="1"/>
  </si>
  <si>
    <t>三財地区</t>
    <rPh sb="2" eb="4">
      <t>チク</t>
    </rPh>
    <phoneticPr fontId="1"/>
  </si>
  <si>
    <t>東米良地区</t>
    <rPh sb="0" eb="1">
      <t>ヒガシ</t>
    </rPh>
    <rPh sb="1" eb="3">
      <t>メラ</t>
    </rPh>
    <rPh sb="3" eb="5">
      <t>チク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</si>
</sst>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119</c:v>
                </c:pt>
                <c:pt idx="1">
                  <c:v>97</c:v>
                </c:pt>
                <c:pt idx="2">
                  <c:v>83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712040"/>
        <c:axId val="393714000"/>
      </c:barChart>
      <c:catAx>
        <c:axId val="393712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4000"/>
        <c:crosses val="autoZero"/>
        <c:auto val="1"/>
        <c:lblAlgn val="ctr"/>
        <c:lblOffset val="100"/>
        <c:noMultiLvlLbl val="0"/>
      </c:catAx>
      <c:valAx>
        <c:axId val="3937140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7120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76</c:v>
                </c:pt>
                <c:pt idx="1">
                  <c:v>52</c:v>
                </c:pt>
                <c:pt idx="2">
                  <c:v>45</c:v>
                </c:pt>
                <c:pt idx="3">
                  <c:v>38</c:v>
                </c:pt>
                <c:pt idx="4">
                  <c:v>30</c:v>
                </c:pt>
                <c:pt idx="5">
                  <c:v>23</c:v>
                </c:pt>
                <c:pt idx="6">
                  <c:v>17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8980632"/>
        <c:axId val="398984552"/>
      </c:barChart>
      <c:catAx>
        <c:axId val="398980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4552"/>
        <c:crosses val="autoZero"/>
        <c:auto val="1"/>
        <c:lblAlgn val="ctr"/>
        <c:lblOffset val="100"/>
        <c:noMultiLvlLbl val="0"/>
      </c:catAx>
      <c:valAx>
        <c:axId val="398984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0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0.37</c:v>
                </c:pt>
                <c:pt idx="1">
                  <c:v>0.42</c:v>
                </c:pt>
                <c:pt idx="2">
                  <c:v>0.48</c:v>
                </c:pt>
                <c:pt idx="3">
                  <c:v>0.52</c:v>
                </c:pt>
                <c:pt idx="4">
                  <c:v>0.55000000000000004</c:v>
                </c:pt>
                <c:pt idx="5">
                  <c:v>0.56000000000000005</c:v>
                </c:pt>
                <c:pt idx="6">
                  <c:v>0.57999999999999996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8985336"/>
        <c:axId val="398979064"/>
      </c:barChart>
      <c:catAx>
        <c:axId val="398985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79064"/>
        <c:crosses val="autoZero"/>
        <c:auto val="1"/>
        <c:lblAlgn val="ctr"/>
        <c:lblOffset val="100"/>
        <c:noMultiLvlLbl val="0"/>
      </c:catAx>
      <c:valAx>
        <c:axId val="39897906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53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0.24</c:v>
                </c:pt>
                <c:pt idx="2">
                  <c:v>0.26</c:v>
                </c:pt>
                <c:pt idx="3">
                  <c:v>0.28999999999999998</c:v>
                </c:pt>
                <c:pt idx="4">
                  <c:v>0.35</c:v>
                </c:pt>
                <c:pt idx="5">
                  <c:v>0.38</c:v>
                </c:pt>
                <c:pt idx="6">
                  <c:v>0.4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8280144"/>
        <c:axId val="398280928"/>
      </c:barChart>
      <c:catAx>
        <c:axId val="398280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0928"/>
        <c:crosses val="autoZero"/>
        <c:auto val="1"/>
        <c:lblAlgn val="ctr"/>
        <c:lblOffset val="100"/>
        <c:noMultiLvlLbl val="0"/>
      </c:catAx>
      <c:valAx>
        <c:axId val="398280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01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2926340346200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E05-4E83-BCEE-31F1FC6C0E7F}"/>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E05-4E83-BCEE-31F1FC6C0E7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14</c:v>
                </c:pt>
                <c:pt idx="1">
                  <c:v>20</c:v>
                </c:pt>
                <c:pt idx="2">
                  <c:v>25</c:v>
                </c:pt>
                <c:pt idx="3">
                  <c:v>26</c:v>
                </c:pt>
                <c:pt idx="4">
                  <c:v>16</c:v>
                </c:pt>
                <c:pt idx="5">
                  <c:v>15</c:v>
                </c:pt>
                <c:pt idx="6">
                  <c:v>21</c:v>
                </c:pt>
                <c:pt idx="7">
                  <c:v>24</c:v>
                </c:pt>
                <c:pt idx="8">
                  <c:v>35</c:v>
                </c:pt>
                <c:pt idx="9">
                  <c:v>50</c:v>
                </c:pt>
                <c:pt idx="10">
                  <c:v>54</c:v>
                </c:pt>
                <c:pt idx="11">
                  <c:v>59</c:v>
                </c:pt>
                <c:pt idx="12">
                  <c:v>48</c:v>
                </c:pt>
                <c:pt idx="13">
                  <c:v>76</c:v>
                </c:pt>
                <c:pt idx="14">
                  <c:v>100</c:v>
                </c:pt>
                <c:pt idx="15">
                  <c:v>102</c:v>
                </c:pt>
                <c:pt idx="16">
                  <c:v>86</c:v>
                </c:pt>
                <c:pt idx="17">
                  <c:v>42</c:v>
                </c:pt>
                <c:pt idx="18">
                  <c:v>19</c:v>
                </c:pt>
                <c:pt idx="19">
                  <c:v>8</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283280"/>
        <c:axId val="46263802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10</c:v>
                </c:pt>
                <c:pt idx="1">
                  <c:v>16</c:v>
                </c:pt>
                <c:pt idx="2">
                  <c:v>23</c:v>
                </c:pt>
                <c:pt idx="3">
                  <c:v>28</c:v>
                </c:pt>
                <c:pt idx="4">
                  <c:v>20</c:v>
                </c:pt>
                <c:pt idx="5">
                  <c:v>16</c:v>
                </c:pt>
                <c:pt idx="6">
                  <c:v>14</c:v>
                </c:pt>
                <c:pt idx="7">
                  <c:v>20</c:v>
                </c:pt>
                <c:pt idx="8">
                  <c:v>32</c:v>
                </c:pt>
                <c:pt idx="9">
                  <c:v>40</c:v>
                </c:pt>
                <c:pt idx="10">
                  <c:v>50</c:v>
                </c:pt>
                <c:pt idx="11">
                  <c:v>68</c:v>
                </c:pt>
                <c:pt idx="12">
                  <c:v>61</c:v>
                </c:pt>
                <c:pt idx="13">
                  <c:v>92</c:v>
                </c:pt>
                <c:pt idx="14">
                  <c:v>102</c:v>
                </c:pt>
                <c:pt idx="15">
                  <c:v>127</c:v>
                </c:pt>
                <c:pt idx="16">
                  <c:v>93</c:v>
                </c:pt>
                <c:pt idx="17">
                  <c:v>64</c:v>
                </c:pt>
                <c:pt idx="18">
                  <c:v>49</c:v>
                </c:pt>
                <c:pt idx="19">
                  <c:v>29</c:v>
                </c:pt>
                <c:pt idx="20">
                  <c:v>1</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643512"/>
        <c:axId val="462639592"/>
      </c:barChart>
      <c:catAx>
        <c:axId val="398283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38024"/>
        <c:crosses val="autoZero"/>
        <c:auto val="1"/>
        <c:lblAlgn val="ctr"/>
        <c:lblOffset val="100"/>
        <c:noMultiLvlLbl val="0"/>
      </c:catAx>
      <c:valAx>
        <c:axId val="46263802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3280"/>
        <c:crosses val="autoZero"/>
        <c:crossBetween val="between"/>
        <c:majorUnit val="100"/>
      </c:valAx>
      <c:valAx>
        <c:axId val="4626395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3512"/>
        <c:crosses val="max"/>
        <c:crossBetween val="between"/>
        <c:majorUnit val="100"/>
      </c:valAx>
      <c:catAx>
        <c:axId val="462643512"/>
        <c:scaling>
          <c:orientation val="minMax"/>
        </c:scaling>
        <c:delete val="1"/>
        <c:axPos val="l"/>
        <c:numFmt formatCode="General" sourceLinked="1"/>
        <c:majorTickMark val="out"/>
        <c:minorTickMark val="none"/>
        <c:tickLblPos val="nextTo"/>
        <c:crossAx val="462639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F53-44AF-BFC0-949BFB9B7B92}"/>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53-44AF-BFC0-949BFB9B7B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9</c:v>
                </c:pt>
                <c:pt idx="1">
                  <c:v>12</c:v>
                </c:pt>
                <c:pt idx="2">
                  <c:v>14</c:v>
                </c:pt>
                <c:pt idx="3">
                  <c:v>16</c:v>
                </c:pt>
                <c:pt idx="4">
                  <c:v>12</c:v>
                </c:pt>
                <c:pt idx="5">
                  <c:v>12</c:v>
                </c:pt>
                <c:pt idx="6">
                  <c:v>12</c:v>
                </c:pt>
                <c:pt idx="7">
                  <c:v>13</c:v>
                </c:pt>
                <c:pt idx="8">
                  <c:v>21</c:v>
                </c:pt>
                <c:pt idx="9">
                  <c:v>25</c:v>
                </c:pt>
                <c:pt idx="10">
                  <c:v>33</c:v>
                </c:pt>
                <c:pt idx="11">
                  <c:v>48</c:v>
                </c:pt>
                <c:pt idx="12">
                  <c:v>54</c:v>
                </c:pt>
                <c:pt idx="13">
                  <c:v>58</c:v>
                </c:pt>
                <c:pt idx="14">
                  <c:v>43</c:v>
                </c:pt>
                <c:pt idx="15">
                  <c:v>54</c:v>
                </c:pt>
                <c:pt idx="16">
                  <c:v>67</c:v>
                </c:pt>
                <c:pt idx="17">
                  <c:v>57</c:v>
                </c:pt>
                <c:pt idx="18">
                  <c:v>23</c:v>
                </c:pt>
                <c:pt idx="19">
                  <c:v>6</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641552"/>
        <c:axId val="46264194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c:v>
                </c:pt>
                <c:pt idx="1">
                  <c:v>10</c:v>
                </c:pt>
                <c:pt idx="2">
                  <c:v>13</c:v>
                </c:pt>
                <c:pt idx="3">
                  <c:v>15</c:v>
                </c:pt>
                <c:pt idx="4">
                  <c:v>11</c:v>
                </c:pt>
                <c:pt idx="5">
                  <c:v>10</c:v>
                </c:pt>
                <c:pt idx="6">
                  <c:v>10</c:v>
                </c:pt>
                <c:pt idx="7">
                  <c:v>12</c:v>
                </c:pt>
                <c:pt idx="8">
                  <c:v>14</c:v>
                </c:pt>
                <c:pt idx="9">
                  <c:v>21</c:v>
                </c:pt>
                <c:pt idx="10">
                  <c:v>34</c:v>
                </c:pt>
                <c:pt idx="11">
                  <c:v>42</c:v>
                </c:pt>
                <c:pt idx="12">
                  <c:v>52</c:v>
                </c:pt>
                <c:pt idx="13">
                  <c:v>69</c:v>
                </c:pt>
                <c:pt idx="14">
                  <c:v>59</c:v>
                </c:pt>
                <c:pt idx="15">
                  <c:v>83</c:v>
                </c:pt>
                <c:pt idx="16">
                  <c:v>81</c:v>
                </c:pt>
                <c:pt idx="17">
                  <c:v>84</c:v>
                </c:pt>
                <c:pt idx="18">
                  <c:v>41</c:v>
                </c:pt>
                <c:pt idx="19">
                  <c:v>18</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639984"/>
        <c:axId val="462637632"/>
      </c:barChart>
      <c:catAx>
        <c:axId val="462641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1944"/>
        <c:crosses val="autoZero"/>
        <c:auto val="1"/>
        <c:lblAlgn val="ctr"/>
        <c:lblOffset val="100"/>
        <c:noMultiLvlLbl val="0"/>
      </c:catAx>
      <c:valAx>
        <c:axId val="46264194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1552"/>
        <c:crosses val="autoZero"/>
        <c:crossBetween val="between"/>
        <c:majorUnit val="100"/>
      </c:valAx>
      <c:valAx>
        <c:axId val="46263763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39984"/>
        <c:crosses val="max"/>
        <c:crossBetween val="between"/>
        <c:majorUnit val="100"/>
      </c:valAx>
      <c:catAx>
        <c:axId val="462639984"/>
        <c:scaling>
          <c:orientation val="minMax"/>
        </c:scaling>
        <c:delete val="1"/>
        <c:axPos val="l"/>
        <c:numFmt formatCode="General" sourceLinked="1"/>
        <c:majorTickMark val="out"/>
        <c:minorTickMark val="none"/>
        <c:tickLblPos val="nextTo"/>
        <c:crossAx val="462637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2988</c:v>
                </c:pt>
                <c:pt idx="1">
                  <c:v>2683</c:v>
                </c:pt>
                <c:pt idx="2">
                  <c:v>2399</c:v>
                </c:pt>
                <c:pt idx="3">
                  <c:v>2089</c:v>
                </c:pt>
                <c:pt idx="4">
                  <c:v>1795</c:v>
                </c:pt>
                <c:pt idx="5">
                  <c:v>1521</c:v>
                </c:pt>
                <c:pt idx="6">
                  <c:v>1274</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783-4906-A356-114C0075571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783-4906-A356-114C0075571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783-4906-A356-114C00755713}"/>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783-4906-A356-114C0075571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2098</c:v>
                </c:pt>
                <c:pt idx="4" formatCode="#,##0_);[Red]\(#,##0\)">
                  <c:v>1816</c:v>
                </c:pt>
                <c:pt idx="5" formatCode="#,##0_);[Red]\(#,##0\)">
                  <c:v>1548</c:v>
                </c:pt>
                <c:pt idx="6" formatCode="#,##0_);[Red]\(#,##0\)">
                  <c:v>1311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638416"/>
        <c:axId val="462641160"/>
      </c:barChart>
      <c:catAx>
        <c:axId val="462638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1160"/>
        <c:crosses val="autoZero"/>
        <c:auto val="1"/>
        <c:lblAlgn val="ctr"/>
        <c:lblOffset val="100"/>
        <c:noMultiLvlLbl val="0"/>
      </c:catAx>
      <c:valAx>
        <c:axId val="462641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3841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119</c:v>
                </c:pt>
                <c:pt idx="1">
                  <c:v>97</c:v>
                </c:pt>
                <c:pt idx="2">
                  <c:v>83</c:v>
                </c:pt>
                <c:pt idx="3">
                  <c:v>67</c:v>
                </c:pt>
                <c:pt idx="4">
                  <c:v>51</c:v>
                </c:pt>
                <c:pt idx="5">
                  <c:v>38</c:v>
                </c:pt>
                <c:pt idx="6">
                  <c:v>29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69</c:v>
                </c:pt>
                <c:pt idx="4">
                  <c:v>53</c:v>
                </c:pt>
                <c:pt idx="5">
                  <c:v>43</c:v>
                </c:pt>
                <c:pt idx="6">
                  <c:v>35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638808"/>
        <c:axId val="462640768"/>
      </c:barChart>
      <c:catAx>
        <c:axId val="462638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0768"/>
        <c:crosses val="autoZero"/>
        <c:auto val="1"/>
        <c:lblAlgn val="ctr"/>
        <c:lblOffset val="100"/>
        <c:noMultiLvlLbl val="0"/>
      </c:catAx>
      <c:valAx>
        <c:axId val="462640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38808"/>
        <c:crosses val="autoZero"/>
        <c:crossBetween val="between"/>
      </c:valAx>
      <c:spPr>
        <a:noFill/>
        <a:ln>
          <a:noFill/>
        </a:ln>
        <a:effectLst/>
      </c:spPr>
    </c:plotArea>
    <c:legend>
      <c:legendPos val="t"/>
      <c:layout>
        <c:manualLayout>
          <c:xMode val="edge"/>
          <c:yMode val="edge"/>
          <c:x val="5.5207664058325827E-2"/>
          <c:y val="0.14774313634248487"/>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0.37</c:v>
                </c:pt>
                <c:pt idx="1">
                  <c:v>0.42</c:v>
                </c:pt>
                <c:pt idx="2">
                  <c:v>0.48</c:v>
                </c:pt>
                <c:pt idx="3">
                  <c:v>0.52</c:v>
                </c:pt>
                <c:pt idx="4">
                  <c:v>0.55000000000000004</c:v>
                </c:pt>
                <c:pt idx="5">
                  <c:v>0.56000000000000005</c:v>
                </c:pt>
                <c:pt idx="6">
                  <c:v>0.57999999999999996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F322-4E00-A4CF-5D6D7EE3E077}"/>
                </c:ext>
                <c:ext xmlns:c15="http://schemas.microsoft.com/office/drawing/2012/chart" uri="{CE6537A1-D6FC-4f65-9D91-7224C49458BB}"/>
              </c:extLst>
            </c:dLbl>
            <c:dLbl>
              <c:idx val="4"/>
              <c:layout>
                <c:manualLayout>
                  <c:x val="2.3218844926453002E-3"/>
                  <c:y val="-0.10307065795691059"/>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322-4E00-A4CF-5D6D7EE3E077}"/>
                </c:ext>
                <c:ext xmlns:c15="http://schemas.microsoft.com/office/drawing/2012/chart" uri="{CE6537A1-D6FC-4f65-9D91-7224C49458BB}"/>
              </c:extLst>
            </c:dLbl>
            <c:dLbl>
              <c:idx val="5"/>
              <c:layout>
                <c:manualLayout>
                  <c:x val="6.9656534779361555E-3"/>
                  <c:y val="-0.12215781683781994"/>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F322-4E00-A4CF-5D6D7EE3E077}"/>
                </c:ext>
                <c:ext xmlns:c15="http://schemas.microsoft.com/office/drawing/2012/chart" uri="{CE6537A1-D6FC-4f65-9D91-7224C49458BB}"/>
              </c:extLst>
            </c:dLbl>
            <c:dLbl>
              <c:idx val="6"/>
              <c:layout>
                <c:manualLayout>
                  <c:x val="2.7862613911744622E-2"/>
                  <c:y val="-0.16796699815200231"/>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322-4E00-A4CF-5D6D7EE3E07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0.52</c:v>
                </c:pt>
                <c:pt idx="4" formatCode="0%">
                  <c:v>0.55000000000000004</c:v>
                </c:pt>
                <c:pt idx="5" formatCode="0%">
                  <c:v>0.55000000000000004</c:v>
                </c:pt>
                <c:pt idx="6" formatCode="0%">
                  <c:v>0.56999999999999995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642336"/>
        <c:axId val="462642728"/>
      </c:barChart>
      <c:catAx>
        <c:axId val="462642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2728"/>
        <c:crosses val="autoZero"/>
        <c:auto val="1"/>
        <c:lblAlgn val="ctr"/>
        <c:lblOffset val="100"/>
        <c:noMultiLvlLbl val="0"/>
      </c:catAx>
      <c:valAx>
        <c:axId val="4626427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23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0.24</c:v>
                </c:pt>
                <c:pt idx="2">
                  <c:v>0.26</c:v>
                </c:pt>
                <c:pt idx="3">
                  <c:v>0.28999999999999998</c:v>
                </c:pt>
                <c:pt idx="4">
                  <c:v>0.35</c:v>
                </c:pt>
                <c:pt idx="5">
                  <c:v>0.38</c:v>
                </c:pt>
                <c:pt idx="6">
                  <c:v>0.4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A7E-4588-9435-B53C59377AB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A7E-4588-9435-B53C59377AB5}"/>
                </c:ext>
                <c:ext xmlns:c15="http://schemas.microsoft.com/office/drawing/2012/chart" uri="{CE6537A1-D6FC-4f65-9D91-7224C49458BB}"/>
              </c:extLst>
            </c:dLbl>
            <c:dLbl>
              <c:idx val="5"/>
              <c:layout>
                <c:manualLayout>
                  <c:x val="4.8280571402974145E-3"/>
                  <c:y val="-0.1012677784915008"/>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A7E-4588-9435-B53C59377AB5}"/>
                </c:ext>
                <c:ext xmlns:c15="http://schemas.microsoft.com/office/drawing/2012/chart" uri="{CE6537A1-D6FC-4f65-9D91-7224C49458BB}"/>
              </c:extLst>
            </c:dLbl>
            <c:dLbl>
              <c:idx val="6"/>
              <c:layout>
                <c:manualLayout>
                  <c:x val="2.6387760195038128E-2"/>
                  <c:y val="-0.1090027392335616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A7E-4588-9435-B53C59377A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0.28999999999999998</c:v>
                </c:pt>
                <c:pt idx="4" formatCode="0%">
                  <c:v>0.34</c:v>
                </c:pt>
                <c:pt idx="5" formatCode="0%">
                  <c:v>0.38</c:v>
                </c:pt>
                <c:pt idx="6" formatCode="0%">
                  <c:v>0.39</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639200"/>
        <c:axId val="462640376"/>
      </c:barChart>
      <c:catAx>
        <c:axId val="462639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40376"/>
        <c:crosses val="autoZero"/>
        <c:auto val="1"/>
        <c:lblAlgn val="ctr"/>
        <c:lblOffset val="100"/>
        <c:noMultiLvlLbl val="0"/>
      </c:catAx>
      <c:valAx>
        <c:axId val="462640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392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76</c:v>
                </c:pt>
                <c:pt idx="1">
                  <c:v>52</c:v>
                </c:pt>
                <c:pt idx="2">
                  <c:v>45</c:v>
                </c:pt>
                <c:pt idx="3">
                  <c:v>38</c:v>
                </c:pt>
                <c:pt idx="4">
                  <c:v>30</c:v>
                </c:pt>
                <c:pt idx="5">
                  <c:v>23</c:v>
                </c:pt>
                <c:pt idx="6">
                  <c:v>17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39</c:v>
                </c:pt>
                <c:pt idx="4">
                  <c:v>31</c:v>
                </c:pt>
                <c:pt idx="5">
                  <c:v>25</c:v>
                </c:pt>
                <c:pt idx="6">
                  <c:v>20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927096"/>
        <c:axId val="462926312"/>
      </c:barChart>
      <c:catAx>
        <c:axId val="462927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6312"/>
        <c:crosses val="autoZero"/>
        <c:auto val="1"/>
        <c:lblAlgn val="ctr"/>
        <c:lblOffset val="100"/>
        <c:noMultiLvlLbl val="0"/>
      </c:catAx>
      <c:valAx>
        <c:axId val="46292631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70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76</c:v>
                </c:pt>
                <c:pt idx="1">
                  <c:v>52</c:v>
                </c:pt>
                <c:pt idx="2">
                  <c:v>45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8279360"/>
        <c:axId val="398277400"/>
      </c:barChart>
      <c:catAx>
        <c:axId val="39827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7400"/>
        <c:crosses val="autoZero"/>
        <c:auto val="1"/>
        <c:lblAlgn val="ctr"/>
        <c:lblOffset val="100"/>
        <c:noMultiLvlLbl val="0"/>
      </c:catAx>
      <c:valAx>
        <c:axId val="3982774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9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2335743742743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25-406A-ABB4-DE2BB2B1DCB5}"/>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25-406A-ABB4-DE2BB2B1DCB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16</c:v>
                </c:pt>
                <c:pt idx="1">
                  <c:v>21</c:v>
                </c:pt>
                <c:pt idx="2">
                  <c:v>26</c:v>
                </c:pt>
                <c:pt idx="3">
                  <c:v>27</c:v>
                </c:pt>
                <c:pt idx="4">
                  <c:v>16</c:v>
                </c:pt>
                <c:pt idx="5">
                  <c:v>17</c:v>
                </c:pt>
                <c:pt idx="6">
                  <c:v>23</c:v>
                </c:pt>
                <c:pt idx="7">
                  <c:v>24</c:v>
                </c:pt>
                <c:pt idx="8">
                  <c:v>35</c:v>
                </c:pt>
                <c:pt idx="9">
                  <c:v>50</c:v>
                </c:pt>
                <c:pt idx="10">
                  <c:v>54</c:v>
                </c:pt>
                <c:pt idx="11">
                  <c:v>59</c:v>
                </c:pt>
                <c:pt idx="12">
                  <c:v>48</c:v>
                </c:pt>
                <c:pt idx="13">
                  <c:v>76</c:v>
                </c:pt>
                <c:pt idx="14">
                  <c:v>100</c:v>
                </c:pt>
                <c:pt idx="15">
                  <c:v>102</c:v>
                </c:pt>
                <c:pt idx="16">
                  <c:v>86</c:v>
                </c:pt>
                <c:pt idx="17">
                  <c:v>42</c:v>
                </c:pt>
                <c:pt idx="18">
                  <c:v>19</c:v>
                </c:pt>
                <c:pt idx="19">
                  <c:v>8</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925528"/>
        <c:axId val="4629282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12</c:v>
                </c:pt>
                <c:pt idx="1">
                  <c:v>18</c:v>
                </c:pt>
                <c:pt idx="2">
                  <c:v>24</c:v>
                </c:pt>
                <c:pt idx="3">
                  <c:v>29</c:v>
                </c:pt>
                <c:pt idx="4">
                  <c:v>20</c:v>
                </c:pt>
                <c:pt idx="5">
                  <c:v>18</c:v>
                </c:pt>
                <c:pt idx="6">
                  <c:v>16</c:v>
                </c:pt>
                <c:pt idx="7">
                  <c:v>20</c:v>
                </c:pt>
                <c:pt idx="8">
                  <c:v>33</c:v>
                </c:pt>
                <c:pt idx="9">
                  <c:v>41</c:v>
                </c:pt>
                <c:pt idx="10">
                  <c:v>50</c:v>
                </c:pt>
                <c:pt idx="11">
                  <c:v>68</c:v>
                </c:pt>
                <c:pt idx="12">
                  <c:v>61</c:v>
                </c:pt>
                <c:pt idx="13">
                  <c:v>92</c:v>
                </c:pt>
                <c:pt idx="14">
                  <c:v>102</c:v>
                </c:pt>
                <c:pt idx="15">
                  <c:v>127</c:v>
                </c:pt>
                <c:pt idx="16">
                  <c:v>93</c:v>
                </c:pt>
                <c:pt idx="17">
                  <c:v>64</c:v>
                </c:pt>
                <c:pt idx="18">
                  <c:v>49</c:v>
                </c:pt>
                <c:pt idx="19">
                  <c:v>29</c:v>
                </c:pt>
                <c:pt idx="20">
                  <c:v>1</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925920"/>
        <c:axId val="462926704"/>
      </c:barChart>
      <c:catAx>
        <c:axId val="4629255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8272"/>
        <c:crosses val="autoZero"/>
        <c:auto val="1"/>
        <c:lblAlgn val="ctr"/>
        <c:lblOffset val="100"/>
        <c:noMultiLvlLbl val="0"/>
      </c:catAx>
      <c:valAx>
        <c:axId val="46292827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5528"/>
        <c:crosses val="autoZero"/>
        <c:crossBetween val="between"/>
        <c:majorUnit val="100"/>
      </c:valAx>
      <c:valAx>
        <c:axId val="4629267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5920"/>
        <c:crosses val="max"/>
        <c:crossBetween val="between"/>
        <c:majorUnit val="100"/>
      </c:valAx>
      <c:catAx>
        <c:axId val="462925920"/>
        <c:scaling>
          <c:orientation val="minMax"/>
        </c:scaling>
        <c:delete val="1"/>
        <c:axPos val="l"/>
        <c:numFmt formatCode="General" sourceLinked="1"/>
        <c:majorTickMark val="out"/>
        <c:minorTickMark val="none"/>
        <c:tickLblPos val="nextTo"/>
        <c:crossAx val="4629267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2.24233574374274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858-4384-8EC6-F2A33B08D1E0}"/>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858-4384-8EC6-F2A33B08D1E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11</c:v>
                </c:pt>
                <c:pt idx="1">
                  <c:v>14</c:v>
                </c:pt>
                <c:pt idx="2">
                  <c:v>17</c:v>
                </c:pt>
                <c:pt idx="3">
                  <c:v>17</c:v>
                </c:pt>
                <c:pt idx="4">
                  <c:v>12</c:v>
                </c:pt>
                <c:pt idx="5">
                  <c:v>14</c:v>
                </c:pt>
                <c:pt idx="6">
                  <c:v>13</c:v>
                </c:pt>
                <c:pt idx="7">
                  <c:v>14</c:v>
                </c:pt>
                <c:pt idx="8">
                  <c:v>23</c:v>
                </c:pt>
                <c:pt idx="9">
                  <c:v>25</c:v>
                </c:pt>
                <c:pt idx="10">
                  <c:v>33</c:v>
                </c:pt>
                <c:pt idx="11">
                  <c:v>48</c:v>
                </c:pt>
                <c:pt idx="12">
                  <c:v>54</c:v>
                </c:pt>
                <c:pt idx="13">
                  <c:v>58</c:v>
                </c:pt>
                <c:pt idx="14">
                  <c:v>43</c:v>
                </c:pt>
                <c:pt idx="15">
                  <c:v>54</c:v>
                </c:pt>
                <c:pt idx="16">
                  <c:v>67</c:v>
                </c:pt>
                <c:pt idx="17">
                  <c:v>57</c:v>
                </c:pt>
                <c:pt idx="18">
                  <c:v>23</c:v>
                </c:pt>
                <c:pt idx="19">
                  <c:v>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30624"/>
        <c:axId val="46292905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8</c:v>
                </c:pt>
                <c:pt idx="1">
                  <c:v>12</c:v>
                </c:pt>
                <c:pt idx="2">
                  <c:v>16</c:v>
                </c:pt>
                <c:pt idx="3">
                  <c:v>17</c:v>
                </c:pt>
                <c:pt idx="4">
                  <c:v>12</c:v>
                </c:pt>
                <c:pt idx="5">
                  <c:v>13</c:v>
                </c:pt>
                <c:pt idx="6">
                  <c:v>12</c:v>
                </c:pt>
                <c:pt idx="7">
                  <c:v>14</c:v>
                </c:pt>
                <c:pt idx="8">
                  <c:v>17</c:v>
                </c:pt>
                <c:pt idx="9">
                  <c:v>22</c:v>
                </c:pt>
                <c:pt idx="10">
                  <c:v>35</c:v>
                </c:pt>
                <c:pt idx="11">
                  <c:v>43</c:v>
                </c:pt>
                <c:pt idx="12">
                  <c:v>52</c:v>
                </c:pt>
                <c:pt idx="13">
                  <c:v>69</c:v>
                </c:pt>
                <c:pt idx="14">
                  <c:v>59</c:v>
                </c:pt>
                <c:pt idx="15">
                  <c:v>83</c:v>
                </c:pt>
                <c:pt idx="16">
                  <c:v>81</c:v>
                </c:pt>
                <c:pt idx="17">
                  <c:v>84</c:v>
                </c:pt>
                <c:pt idx="18">
                  <c:v>41</c:v>
                </c:pt>
                <c:pt idx="19">
                  <c:v>18</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27488"/>
        <c:axId val="462929840"/>
      </c:barChart>
      <c:catAx>
        <c:axId val="462930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9056"/>
        <c:crosses val="autoZero"/>
        <c:auto val="1"/>
        <c:lblAlgn val="ctr"/>
        <c:lblOffset val="100"/>
        <c:noMultiLvlLbl val="0"/>
      </c:catAx>
      <c:valAx>
        <c:axId val="46292905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30624"/>
        <c:crosses val="autoZero"/>
        <c:crossBetween val="between"/>
        <c:majorUnit val="100"/>
      </c:valAx>
      <c:valAx>
        <c:axId val="46292984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7488"/>
        <c:crosses val="max"/>
        <c:crossBetween val="between"/>
        <c:majorUnit val="100"/>
      </c:valAx>
      <c:catAx>
        <c:axId val="462927488"/>
        <c:scaling>
          <c:orientation val="minMax"/>
        </c:scaling>
        <c:delete val="1"/>
        <c:axPos val="l"/>
        <c:numFmt formatCode="General" sourceLinked="1"/>
        <c:majorTickMark val="out"/>
        <c:minorTickMark val="none"/>
        <c:tickLblPos val="nextTo"/>
        <c:crossAx val="4629298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24</c:v>
                </c:pt>
                <c:pt idx="1">
                  <c:v>36</c:v>
                </c:pt>
                <c:pt idx="2">
                  <c:v>48</c:v>
                </c:pt>
                <c:pt idx="3">
                  <c:v>54</c:v>
                </c:pt>
                <c:pt idx="4">
                  <c:v>36</c:v>
                </c:pt>
                <c:pt idx="5">
                  <c:v>31</c:v>
                </c:pt>
                <c:pt idx="6">
                  <c:v>35</c:v>
                </c:pt>
                <c:pt idx="7">
                  <c:v>44</c:v>
                </c:pt>
                <c:pt idx="8">
                  <c:v>67</c:v>
                </c:pt>
                <c:pt idx="9">
                  <c:v>90</c:v>
                </c:pt>
                <c:pt idx="10">
                  <c:v>104</c:v>
                </c:pt>
                <c:pt idx="11">
                  <c:v>127</c:v>
                </c:pt>
                <c:pt idx="12">
                  <c:v>109</c:v>
                </c:pt>
                <c:pt idx="13">
                  <c:v>168</c:v>
                </c:pt>
                <c:pt idx="14">
                  <c:v>202</c:v>
                </c:pt>
                <c:pt idx="15">
                  <c:v>229</c:v>
                </c:pt>
                <c:pt idx="16">
                  <c:v>179</c:v>
                </c:pt>
                <c:pt idx="17">
                  <c:v>106</c:v>
                </c:pt>
                <c:pt idx="18">
                  <c:v>68</c:v>
                </c:pt>
                <c:pt idx="19">
                  <c:v>37</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31800"/>
        <c:axId val="46292866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28</c:v>
                </c:pt>
                <c:pt idx="1">
                  <c:v>39</c:v>
                </c:pt>
                <c:pt idx="2">
                  <c:v>50</c:v>
                </c:pt>
                <c:pt idx="3">
                  <c:v>56</c:v>
                </c:pt>
                <c:pt idx="4">
                  <c:v>36</c:v>
                </c:pt>
                <c:pt idx="5">
                  <c:v>35</c:v>
                </c:pt>
                <c:pt idx="6">
                  <c:v>39</c:v>
                </c:pt>
                <c:pt idx="7">
                  <c:v>44</c:v>
                </c:pt>
                <c:pt idx="8">
                  <c:v>68</c:v>
                </c:pt>
                <c:pt idx="9">
                  <c:v>91</c:v>
                </c:pt>
                <c:pt idx="10">
                  <c:v>104</c:v>
                </c:pt>
                <c:pt idx="11">
                  <c:v>127</c:v>
                </c:pt>
                <c:pt idx="12">
                  <c:v>109</c:v>
                </c:pt>
                <c:pt idx="13">
                  <c:v>168</c:v>
                </c:pt>
                <c:pt idx="14">
                  <c:v>202</c:v>
                </c:pt>
                <c:pt idx="15">
                  <c:v>229</c:v>
                </c:pt>
                <c:pt idx="16">
                  <c:v>179</c:v>
                </c:pt>
                <c:pt idx="17">
                  <c:v>106</c:v>
                </c:pt>
                <c:pt idx="18">
                  <c:v>68</c:v>
                </c:pt>
                <c:pt idx="19">
                  <c:v>37</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24744"/>
        <c:axId val="462932192"/>
      </c:barChart>
      <c:catAx>
        <c:axId val="4629318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8664"/>
        <c:crosses val="autoZero"/>
        <c:auto val="1"/>
        <c:lblAlgn val="ctr"/>
        <c:lblOffset val="100"/>
        <c:noMultiLvlLbl val="0"/>
      </c:catAx>
      <c:valAx>
        <c:axId val="4629286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31800"/>
        <c:crosses val="autoZero"/>
        <c:crossBetween val="between"/>
        <c:majorUnit val="150"/>
      </c:valAx>
      <c:valAx>
        <c:axId val="46293219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4744"/>
        <c:crosses val="max"/>
        <c:crossBetween val="between"/>
        <c:majorUnit val="150"/>
      </c:valAx>
      <c:catAx>
        <c:axId val="462924744"/>
        <c:scaling>
          <c:orientation val="minMax"/>
        </c:scaling>
        <c:delete val="1"/>
        <c:axPos val="l"/>
        <c:numFmt formatCode="General" sourceLinked="1"/>
        <c:majorTickMark val="out"/>
        <c:minorTickMark val="none"/>
        <c:tickLblPos val="nextTo"/>
        <c:crossAx val="46293219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15</c:v>
                </c:pt>
                <c:pt idx="1">
                  <c:v>22</c:v>
                </c:pt>
                <c:pt idx="2">
                  <c:v>27</c:v>
                </c:pt>
                <c:pt idx="3">
                  <c:v>31</c:v>
                </c:pt>
                <c:pt idx="4">
                  <c:v>23</c:v>
                </c:pt>
                <c:pt idx="5">
                  <c:v>22</c:v>
                </c:pt>
                <c:pt idx="6">
                  <c:v>22</c:v>
                </c:pt>
                <c:pt idx="7">
                  <c:v>25</c:v>
                </c:pt>
                <c:pt idx="8">
                  <c:v>35</c:v>
                </c:pt>
                <c:pt idx="9">
                  <c:v>46</c:v>
                </c:pt>
                <c:pt idx="10">
                  <c:v>67</c:v>
                </c:pt>
                <c:pt idx="11">
                  <c:v>90</c:v>
                </c:pt>
                <c:pt idx="12">
                  <c:v>106</c:v>
                </c:pt>
                <c:pt idx="13">
                  <c:v>127</c:v>
                </c:pt>
                <c:pt idx="14">
                  <c:v>102</c:v>
                </c:pt>
                <c:pt idx="15">
                  <c:v>137</c:v>
                </c:pt>
                <c:pt idx="16">
                  <c:v>148</c:v>
                </c:pt>
                <c:pt idx="17">
                  <c:v>141</c:v>
                </c:pt>
                <c:pt idx="18">
                  <c:v>64</c:v>
                </c:pt>
                <c:pt idx="19">
                  <c:v>24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27880"/>
        <c:axId val="463075192"/>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19</c:v>
                </c:pt>
                <c:pt idx="1">
                  <c:v>26</c:v>
                </c:pt>
                <c:pt idx="2">
                  <c:v>33</c:v>
                </c:pt>
                <c:pt idx="3">
                  <c:v>34</c:v>
                </c:pt>
                <c:pt idx="4">
                  <c:v>24</c:v>
                </c:pt>
                <c:pt idx="5">
                  <c:v>27</c:v>
                </c:pt>
                <c:pt idx="6">
                  <c:v>25</c:v>
                </c:pt>
                <c:pt idx="7">
                  <c:v>28</c:v>
                </c:pt>
                <c:pt idx="8">
                  <c:v>40</c:v>
                </c:pt>
                <c:pt idx="9">
                  <c:v>47</c:v>
                </c:pt>
                <c:pt idx="10">
                  <c:v>68</c:v>
                </c:pt>
                <c:pt idx="11">
                  <c:v>91</c:v>
                </c:pt>
                <c:pt idx="12">
                  <c:v>106</c:v>
                </c:pt>
                <c:pt idx="13">
                  <c:v>127</c:v>
                </c:pt>
                <c:pt idx="14">
                  <c:v>102</c:v>
                </c:pt>
                <c:pt idx="15">
                  <c:v>137</c:v>
                </c:pt>
                <c:pt idx="16">
                  <c:v>148</c:v>
                </c:pt>
                <c:pt idx="17">
                  <c:v>141</c:v>
                </c:pt>
                <c:pt idx="18">
                  <c:v>64</c:v>
                </c:pt>
                <c:pt idx="19">
                  <c:v>24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076368"/>
        <c:axId val="463073624"/>
      </c:barChart>
      <c:catAx>
        <c:axId val="4629278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5192"/>
        <c:crosses val="autoZero"/>
        <c:auto val="1"/>
        <c:lblAlgn val="ctr"/>
        <c:lblOffset val="100"/>
        <c:noMultiLvlLbl val="0"/>
      </c:catAx>
      <c:valAx>
        <c:axId val="46307519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27880"/>
        <c:crosses val="autoZero"/>
        <c:crossBetween val="between"/>
        <c:majorUnit val="150"/>
      </c:valAx>
      <c:valAx>
        <c:axId val="46307362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6368"/>
        <c:crosses val="max"/>
        <c:crossBetween val="between"/>
        <c:majorUnit val="150"/>
      </c:valAx>
      <c:catAx>
        <c:axId val="463076368"/>
        <c:scaling>
          <c:orientation val="minMax"/>
        </c:scaling>
        <c:delete val="1"/>
        <c:axPos val="l"/>
        <c:numFmt formatCode="General" sourceLinked="1"/>
        <c:majorTickMark val="out"/>
        <c:minorTickMark val="none"/>
        <c:tickLblPos val="nextTo"/>
        <c:crossAx val="46307362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三納地区</c:v>
                </c:pt>
              </c:strCache>
            </c:strRef>
          </c:cat>
          <c:val>
            <c:numRef>
              <c:f>管理者用地域特徴シート!$H$3:$H$5</c:f>
              <c:numCache>
                <c:formatCode>0.0%</c:formatCode>
                <c:ptCount val="3"/>
                <c:pt idx="0">
                  <c:v>0.46108733927332846</c:v>
                </c:pt>
                <c:pt idx="1">
                  <c:v>0.56650204359673029</c:v>
                </c:pt>
                <c:pt idx="2">
                  <c:v>0.71732817037754115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079504"/>
        <c:axId val="463079896"/>
      </c:barChart>
      <c:catAx>
        <c:axId val="4630795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9896"/>
        <c:crosses val="autoZero"/>
        <c:auto val="1"/>
        <c:lblAlgn val="ctr"/>
        <c:lblOffset val="100"/>
        <c:noMultiLvlLbl val="0"/>
      </c:catAx>
      <c:valAx>
        <c:axId val="4630798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95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三納地区</c:v>
                </c:pt>
              </c:strCache>
            </c:strRef>
          </c:cat>
          <c:val>
            <c:numRef>
              <c:f>管理者用地域特徴シート!$J$3:$J$5</c:f>
              <c:numCache>
                <c:formatCode>0.0%</c:formatCode>
                <c:ptCount val="3"/>
                <c:pt idx="0">
                  <c:v>0.15075281438403673</c:v>
                </c:pt>
                <c:pt idx="1">
                  <c:v>0.17915531335149865</c:v>
                </c:pt>
                <c:pt idx="2">
                  <c:v>0.25072604065827686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080288"/>
        <c:axId val="463077544"/>
      </c:barChart>
      <c:catAx>
        <c:axId val="463080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7544"/>
        <c:crosses val="autoZero"/>
        <c:auto val="1"/>
        <c:lblAlgn val="ctr"/>
        <c:lblOffset val="100"/>
        <c:noMultiLvlLbl val="0"/>
      </c:catAx>
      <c:valAx>
        <c:axId val="4630775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0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三納地区</c:v>
                </c:pt>
              </c:strCache>
            </c:strRef>
          </c:cat>
          <c:val>
            <c:numRef>
              <c:f>管理者用地域特徴シート!$P$3:$P$5</c:f>
              <c:numCache>
                <c:formatCode>0.0%</c:formatCode>
                <c:ptCount val="3"/>
                <c:pt idx="0">
                  <c:v>0.34758352842621743</c:v>
                </c:pt>
                <c:pt idx="1">
                  <c:v>0.27794477455435163</c:v>
                </c:pt>
                <c:pt idx="2">
                  <c:v>0.185108153078203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074408"/>
        <c:axId val="463074016"/>
      </c:barChart>
      <c:catAx>
        <c:axId val="4630744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4016"/>
        <c:crosses val="autoZero"/>
        <c:auto val="1"/>
        <c:lblAlgn val="ctr"/>
        <c:lblOffset val="100"/>
        <c:noMultiLvlLbl val="0"/>
      </c:catAx>
      <c:valAx>
        <c:axId val="4630740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44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三納地区</c:v>
                </c:pt>
              </c:strCache>
            </c:strRef>
          </c:cat>
          <c:val>
            <c:numRef>
              <c:f>管理者用地域特徴シート!$AO$3:$AO$5</c:f>
              <c:numCache>
                <c:formatCode>0.0%</c:formatCode>
                <c:ptCount val="3"/>
                <c:pt idx="0">
                  <c:v>0.5259093009439566</c:v>
                </c:pt>
                <c:pt idx="1">
                  <c:v>0.54762394569018724</c:v>
                </c:pt>
                <c:pt idx="2">
                  <c:v>0.53359683794466406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080680"/>
        <c:axId val="463073232"/>
      </c:barChart>
      <c:catAx>
        <c:axId val="463080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3232"/>
        <c:crosses val="autoZero"/>
        <c:auto val="1"/>
        <c:lblAlgn val="ctr"/>
        <c:lblOffset val="100"/>
        <c:noMultiLvlLbl val="0"/>
      </c:catAx>
      <c:valAx>
        <c:axId val="4630732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806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三納地区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0.29051217464315698</c:v>
                </c:pt>
                <c:pt idx="1">
                  <c:v>2.5188916876574307E-3</c:v>
                </c:pt>
                <c:pt idx="2">
                  <c:v>0</c:v>
                </c:pt>
                <c:pt idx="3">
                  <c:v>0.10579345088161209</c:v>
                </c:pt>
                <c:pt idx="4">
                  <c:v>0.12762384550797648</c:v>
                </c:pt>
                <c:pt idx="5">
                  <c:v>3.3585222502099076E-3</c:v>
                </c:pt>
                <c:pt idx="6">
                  <c:v>5.0377833753148613E-3</c:v>
                </c:pt>
                <c:pt idx="7">
                  <c:v>2.6028547439126783E-2</c:v>
                </c:pt>
                <c:pt idx="8">
                  <c:v>8.8161209068010074E-2</c:v>
                </c:pt>
                <c:pt idx="9">
                  <c:v>1.0075566750629723E-2</c:v>
                </c:pt>
                <c:pt idx="10">
                  <c:v>2.5188916876574307E-3</c:v>
                </c:pt>
                <c:pt idx="11">
                  <c:v>7.556675062972292E-3</c:v>
                </c:pt>
                <c:pt idx="12">
                  <c:v>2.938706968933669E-2</c:v>
                </c:pt>
                <c:pt idx="13">
                  <c:v>3.6943744752308987E-2</c:v>
                </c:pt>
                <c:pt idx="14">
                  <c:v>1.7632241813602016E-2</c:v>
                </c:pt>
                <c:pt idx="15">
                  <c:v>0.10747271200671704</c:v>
                </c:pt>
                <c:pt idx="16">
                  <c:v>2.7707808564231738E-2</c:v>
                </c:pt>
                <c:pt idx="17">
                  <c:v>5.3736356003358521E-2</c:v>
                </c:pt>
                <c:pt idx="18">
                  <c:v>2.0151133501259445E-2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西都市平均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0.22171526342054609</c:v>
                </c:pt>
                <c:pt idx="1">
                  <c:v>1.5684037926855349E-3</c:v>
                </c:pt>
                <c:pt idx="2">
                  <c:v>2.8516432594282457E-4</c:v>
                </c:pt>
                <c:pt idx="3">
                  <c:v>8.1984743708562055E-2</c:v>
                </c:pt>
                <c:pt idx="4">
                  <c:v>0.1208383831182719</c:v>
                </c:pt>
                <c:pt idx="5">
                  <c:v>3.2793897483424823E-3</c:v>
                </c:pt>
                <c:pt idx="6">
                  <c:v>5.4181221929136669E-3</c:v>
                </c:pt>
                <c:pt idx="7">
                  <c:v>2.8659014757253867E-2</c:v>
                </c:pt>
                <c:pt idx="8">
                  <c:v>0.114992514436444</c:v>
                </c:pt>
                <c:pt idx="9">
                  <c:v>1.1620446282170101E-2</c:v>
                </c:pt>
                <c:pt idx="10">
                  <c:v>6.1310330077707278E-3</c:v>
                </c:pt>
                <c:pt idx="11">
                  <c:v>1.3402723319312753E-2</c:v>
                </c:pt>
                <c:pt idx="12">
                  <c:v>3.6643615883652954E-2</c:v>
                </c:pt>
                <c:pt idx="13">
                  <c:v>3.2009695587082054E-2</c:v>
                </c:pt>
                <c:pt idx="14">
                  <c:v>3.1011620446282171E-2</c:v>
                </c:pt>
                <c:pt idx="15">
                  <c:v>0.13402723319312754</c:v>
                </c:pt>
                <c:pt idx="16">
                  <c:v>2.5379625008911385E-2</c:v>
                </c:pt>
                <c:pt idx="17">
                  <c:v>5.2541527054965426E-2</c:v>
                </c:pt>
                <c:pt idx="18">
                  <c:v>4.1847864832109505E-2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075976"/>
        <c:axId val="463076760"/>
      </c:barChart>
      <c:catAx>
        <c:axId val="463075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6760"/>
        <c:crosses val="autoZero"/>
        <c:auto val="1"/>
        <c:lblAlgn val="ctr"/>
        <c:lblOffset val="100"/>
        <c:noMultiLvlLbl val="0"/>
      </c:catAx>
      <c:valAx>
        <c:axId val="46307676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5976"/>
        <c:crosses val="autoZero"/>
        <c:crossBetween val="between"/>
      </c:valAx>
      <c:spPr>
        <a:noFill/>
        <a:ln>
          <a:noFill/>
        </a:ln>
        <a:effectLst/>
      </c:spPr>
    </c:plotArea>
    <c:legend>
      <c:legendPos val="b"/>
      <c:layout>
        <c:manualLayout>
          <c:xMode val="edge"/>
          <c:yMode val="edge"/>
          <c:x val="0.65097586041181477"/>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三納地区</c:v>
                </c:pt>
              </c:strCache>
            </c:strRef>
          </c:cat>
          <c:val>
            <c:numRef>
              <c:f>管理者用地域特徴シート!$CK$3:$CK$5</c:f>
              <c:numCache>
                <c:formatCode>0.0%</c:formatCode>
                <c:ptCount val="3"/>
                <c:pt idx="0">
                  <c:v>0.82747216160708559</c:v>
                </c:pt>
                <c:pt idx="1">
                  <c:v>0.67861980466243677</c:v>
                </c:pt>
                <c:pt idx="2">
                  <c:v>0.68849706129303112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079112"/>
        <c:axId val="463562992"/>
      </c:barChart>
      <c:catAx>
        <c:axId val="4630791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62992"/>
        <c:crosses val="autoZero"/>
        <c:auto val="1"/>
        <c:lblAlgn val="ctr"/>
        <c:lblOffset val="100"/>
        <c:noMultiLvlLbl val="0"/>
      </c:catAx>
      <c:valAx>
        <c:axId val="4635629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79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0.37</c:v>
                </c:pt>
                <c:pt idx="1">
                  <c:v>0.42</c:v>
                </c:pt>
                <c:pt idx="2">
                  <c:v>0.48</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279752"/>
        <c:axId val="398282104"/>
      </c:barChart>
      <c:catAx>
        <c:axId val="398279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2104"/>
        <c:crosses val="autoZero"/>
        <c:auto val="1"/>
        <c:lblAlgn val="ctr"/>
        <c:lblOffset val="100"/>
        <c:noMultiLvlLbl val="0"/>
      </c:catAx>
      <c:valAx>
        <c:axId val="398282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97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0.24</c:v>
                </c:pt>
                <c:pt idx="2">
                  <c:v>0.26</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283672"/>
        <c:axId val="398280536"/>
      </c:barChart>
      <c:catAx>
        <c:axId val="398283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0536"/>
        <c:crosses val="autoZero"/>
        <c:auto val="1"/>
        <c:lblAlgn val="ctr"/>
        <c:lblOffset val="100"/>
        <c:noMultiLvlLbl val="0"/>
      </c:catAx>
      <c:valAx>
        <c:axId val="39828053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3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3F-41B8-9578-9A939005AA01}"/>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03F-41B8-9578-9A939005AA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41</c:v>
                </c:pt>
                <c:pt idx="1">
                  <c:v>40</c:v>
                </c:pt>
                <c:pt idx="2">
                  <c:v>49</c:v>
                </c:pt>
                <c:pt idx="3">
                  <c:v>69</c:v>
                </c:pt>
                <c:pt idx="4">
                  <c:v>52</c:v>
                </c:pt>
                <c:pt idx="5">
                  <c:v>55</c:v>
                </c:pt>
                <c:pt idx="6">
                  <c:v>59</c:v>
                </c:pt>
                <c:pt idx="7">
                  <c:v>53</c:v>
                </c:pt>
                <c:pt idx="8">
                  <c:v>62</c:v>
                </c:pt>
                <c:pt idx="9">
                  <c:v>76</c:v>
                </c:pt>
                <c:pt idx="10">
                  <c:v>116</c:v>
                </c:pt>
                <c:pt idx="11">
                  <c:v>135</c:v>
                </c:pt>
                <c:pt idx="12">
                  <c:v>149</c:v>
                </c:pt>
                <c:pt idx="13">
                  <c:v>108</c:v>
                </c:pt>
                <c:pt idx="14">
                  <c:v>105</c:v>
                </c:pt>
                <c:pt idx="15">
                  <c:v>107</c:v>
                </c:pt>
                <c:pt idx="16">
                  <c:v>82</c:v>
                </c:pt>
                <c:pt idx="17">
                  <c:v>24</c:v>
                </c:pt>
                <c:pt idx="18">
                  <c:v>18</c:v>
                </c:pt>
                <c:pt idx="19">
                  <c:v>4</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281712"/>
        <c:axId val="3982844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31</c:v>
                </c:pt>
                <c:pt idx="1">
                  <c:v>41</c:v>
                </c:pt>
                <c:pt idx="2">
                  <c:v>68</c:v>
                </c:pt>
                <c:pt idx="3">
                  <c:v>76</c:v>
                </c:pt>
                <c:pt idx="4">
                  <c:v>57</c:v>
                </c:pt>
                <c:pt idx="5">
                  <c:v>42</c:v>
                </c:pt>
                <c:pt idx="6">
                  <c:v>58</c:v>
                </c:pt>
                <c:pt idx="7">
                  <c:v>58</c:v>
                </c:pt>
                <c:pt idx="8">
                  <c:v>52</c:v>
                </c:pt>
                <c:pt idx="9">
                  <c:v>97</c:v>
                </c:pt>
                <c:pt idx="10">
                  <c:v>100</c:v>
                </c:pt>
                <c:pt idx="11">
                  <c:v>134</c:v>
                </c:pt>
                <c:pt idx="12">
                  <c:v>124</c:v>
                </c:pt>
                <c:pt idx="13">
                  <c:v>116</c:v>
                </c:pt>
                <c:pt idx="14">
                  <c:v>130</c:v>
                </c:pt>
                <c:pt idx="15">
                  <c:v>147</c:v>
                </c:pt>
                <c:pt idx="16">
                  <c:v>131</c:v>
                </c:pt>
                <c:pt idx="17">
                  <c:v>76</c:v>
                </c:pt>
                <c:pt idx="18">
                  <c:v>32</c:v>
                </c:pt>
                <c:pt idx="19">
                  <c:v>13</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278184"/>
        <c:axId val="398284848"/>
      </c:barChart>
      <c:catAx>
        <c:axId val="3982817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4456"/>
        <c:crosses val="autoZero"/>
        <c:auto val="1"/>
        <c:lblAlgn val="ctr"/>
        <c:lblOffset val="100"/>
        <c:noMultiLvlLbl val="0"/>
      </c:catAx>
      <c:valAx>
        <c:axId val="39828445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81712"/>
        <c:crosses val="autoZero"/>
        <c:crossBetween val="between"/>
        <c:majorUnit val="100"/>
      </c:valAx>
      <c:valAx>
        <c:axId val="39828484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278184"/>
        <c:crosses val="max"/>
        <c:crossBetween val="between"/>
        <c:majorUnit val="100"/>
      </c:valAx>
      <c:catAx>
        <c:axId val="398278184"/>
        <c:scaling>
          <c:orientation val="minMax"/>
        </c:scaling>
        <c:delete val="1"/>
        <c:axPos val="l"/>
        <c:numFmt formatCode="General" sourceLinked="1"/>
        <c:majorTickMark val="out"/>
        <c:minorTickMark val="none"/>
        <c:tickLblPos val="nextTo"/>
        <c:crossAx val="3982848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1404</c:v>
                </c:pt>
                <c:pt idx="1">
                  <c:v>1240</c:v>
                </c:pt>
                <c:pt idx="2">
                  <c:v>1131</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1584</c:v>
                </c:pt>
                <c:pt idx="1">
                  <c:v>1443</c:v>
                </c:pt>
                <c:pt idx="2">
                  <c:v>1268</c:v>
                </c:pt>
              </c:numCache>
            </c:numRef>
          </c:val>
          <c:extLst xmlns:c16r2="http://schemas.microsoft.com/office/drawing/2015/06/chart">
            <c:ext xmlns:c16="http://schemas.microsoft.com/office/drawing/2014/chart" uri="{C3380CC4-5D6E-409C-BE32-E72D297353CC}">
              <c16:uniqueId val="{00000000-EBA7-48F5-BDB2-D0B73925A5F7}"/>
            </c:ext>
          </c:extLst>
        </c:ser>
        <c:dLbls>
          <c:showLegendKey val="0"/>
          <c:showVal val="0"/>
          <c:showCatName val="0"/>
          <c:showSerName val="0"/>
          <c:showPercent val="0"/>
          <c:showBubbleSize val="0"/>
        </c:dLbls>
        <c:gapWidth val="219"/>
        <c:overlap val="100"/>
        <c:axId val="398981416"/>
        <c:axId val="3989861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2988</c:v>
                </c:pt>
                <c:pt idx="1">
                  <c:v>2683</c:v>
                </c:pt>
                <c:pt idx="2">
                  <c:v>2399</c:v>
                </c:pt>
              </c:numCache>
            </c:numRef>
          </c:val>
          <c:smooth val="0"/>
          <c:extLst xmlns:c16r2="http://schemas.microsoft.com/office/drawing/2015/06/chart">
            <c:ext xmlns:c16="http://schemas.microsoft.com/office/drawing/2014/chart" uri="{C3380CC4-5D6E-409C-BE32-E72D297353CC}">
              <c16:uniqueId val="{00000001-EBA7-48F5-BDB2-D0B73925A5F7}"/>
            </c:ext>
          </c:extLst>
        </c:ser>
        <c:dLbls>
          <c:showLegendKey val="0"/>
          <c:showVal val="0"/>
          <c:showCatName val="0"/>
          <c:showSerName val="0"/>
          <c:showPercent val="0"/>
          <c:showBubbleSize val="0"/>
        </c:dLbls>
        <c:marker val="1"/>
        <c:smooth val="0"/>
        <c:axId val="398981416"/>
        <c:axId val="398986120"/>
      </c:lineChart>
      <c:catAx>
        <c:axId val="398981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6120"/>
        <c:crosses val="autoZero"/>
        <c:auto val="1"/>
        <c:lblAlgn val="ctr"/>
        <c:lblOffset val="100"/>
        <c:noMultiLvlLbl val="0"/>
      </c:catAx>
      <c:valAx>
        <c:axId val="398986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141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7343510989488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3F0-48D3-BD94-6A15F3F73B84}"/>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3F0-48D3-BD94-6A15F3F73B8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25</c:v>
                </c:pt>
                <c:pt idx="1">
                  <c:v>33</c:v>
                </c:pt>
                <c:pt idx="2">
                  <c:v>33</c:v>
                </c:pt>
                <c:pt idx="3">
                  <c:v>33</c:v>
                </c:pt>
                <c:pt idx="4">
                  <c:v>28</c:v>
                </c:pt>
                <c:pt idx="5">
                  <c:v>28</c:v>
                </c:pt>
                <c:pt idx="6">
                  <c:v>35</c:v>
                </c:pt>
                <c:pt idx="7">
                  <c:v>47</c:v>
                </c:pt>
                <c:pt idx="8">
                  <c:v>58</c:v>
                </c:pt>
                <c:pt idx="9">
                  <c:v>61</c:v>
                </c:pt>
                <c:pt idx="10">
                  <c:v>48</c:v>
                </c:pt>
                <c:pt idx="11">
                  <c:v>76</c:v>
                </c:pt>
                <c:pt idx="12">
                  <c:v>114</c:v>
                </c:pt>
                <c:pt idx="13">
                  <c:v>145</c:v>
                </c:pt>
                <c:pt idx="14">
                  <c:v>130</c:v>
                </c:pt>
                <c:pt idx="15">
                  <c:v>75</c:v>
                </c:pt>
                <c:pt idx="16">
                  <c:v>71</c:v>
                </c:pt>
                <c:pt idx="17">
                  <c:v>61</c:v>
                </c:pt>
                <c:pt idx="18">
                  <c:v>25</c:v>
                </c:pt>
                <c:pt idx="19">
                  <c:v>4</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986512"/>
        <c:axId val="39898220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18</c:v>
                </c:pt>
                <c:pt idx="1">
                  <c:v>31</c:v>
                </c:pt>
                <c:pt idx="2">
                  <c:v>41</c:v>
                </c:pt>
                <c:pt idx="3">
                  <c:v>42</c:v>
                </c:pt>
                <c:pt idx="4">
                  <c:v>28</c:v>
                </c:pt>
                <c:pt idx="5">
                  <c:v>25</c:v>
                </c:pt>
                <c:pt idx="6">
                  <c:v>33</c:v>
                </c:pt>
                <c:pt idx="7">
                  <c:v>38</c:v>
                </c:pt>
                <c:pt idx="8">
                  <c:v>48</c:v>
                </c:pt>
                <c:pt idx="9">
                  <c:v>65</c:v>
                </c:pt>
                <c:pt idx="10">
                  <c:v>59</c:v>
                </c:pt>
                <c:pt idx="11">
                  <c:v>91</c:v>
                </c:pt>
                <c:pt idx="12">
                  <c:v>105</c:v>
                </c:pt>
                <c:pt idx="13">
                  <c:v>140</c:v>
                </c:pt>
                <c:pt idx="14">
                  <c:v>117</c:v>
                </c:pt>
                <c:pt idx="15">
                  <c:v>97</c:v>
                </c:pt>
                <c:pt idx="16">
                  <c:v>110</c:v>
                </c:pt>
                <c:pt idx="17">
                  <c:v>100</c:v>
                </c:pt>
                <c:pt idx="18">
                  <c:v>56</c:v>
                </c:pt>
                <c:pt idx="19">
                  <c:v>24</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982592"/>
        <c:axId val="398981808"/>
      </c:barChart>
      <c:catAx>
        <c:axId val="398986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2200"/>
        <c:crosses val="autoZero"/>
        <c:auto val="1"/>
        <c:lblAlgn val="ctr"/>
        <c:lblOffset val="100"/>
        <c:noMultiLvlLbl val="0"/>
      </c:catAx>
      <c:valAx>
        <c:axId val="39898220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6512"/>
        <c:crosses val="autoZero"/>
        <c:crossBetween val="between"/>
        <c:majorUnit val="100"/>
      </c:valAx>
      <c:valAx>
        <c:axId val="3989818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2592"/>
        <c:crosses val="max"/>
        <c:crossBetween val="between"/>
        <c:majorUnit val="100"/>
      </c:valAx>
      <c:catAx>
        <c:axId val="398982592"/>
        <c:scaling>
          <c:orientation val="minMax"/>
        </c:scaling>
        <c:delete val="1"/>
        <c:axPos val="l"/>
        <c:numFmt formatCode="General" sourceLinked="1"/>
        <c:majorTickMark val="out"/>
        <c:minorTickMark val="none"/>
        <c:tickLblPos val="nextTo"/>
        <c:crossAx val="398981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5C75-4BB0-A74A-CAF852A115C0}"/>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5C75-4BB0-A74A-CAF852A115C0}"/>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5C75-4BB0-A74A-CAF852A115C0}"/>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C75-4BB0-A74A-CAF852A115C0}"/>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C75-4BB0-A74A-CAF852A115C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1404</c:v>
                </c:pt>
                <c:pt idx="1">
                  <c:v>1240</c:v>
                </c:pt>
                <c:pt idx="2">
                  <c:v>1131</c:v>
                </c:pt>
                <c:pt idx="3">
                  <c:v>982</c:v>
                </c:pt>
                <c:pt idx="4">
                  <c:v>840</c:v>
                </c:pt>
                <c:pt idx="5">
                  <c:v>707</c:v>
                </c:pt>
                <c:pt idx="6">
                  <c:v>589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5C75-4BB0-A74A-CAF852A115C0}"/>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5C75-4BB0-A74A-CAF852A115C0}"/>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5C75-4BB0-A74A-CAF852A115C0}"/>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1584</c:v>
                </c:pt>
                <c:pt idx="1">
                  <c:v>1443</c:v>
                </c:pt>
                <c:pt idx="2">
                  <c:v>1268</c:v>
                </c:pt>
                <c:pt idx="3">
                  <c:v>1107</c:v>
                </c:pt>
                <c:pt idx="4">
                  <c:v>955</c:v>
                </c:pt>
                <c:pt idx="5">
                  <c:v>814</c:v>
                </c:pt>
                <c:pt idx="6">
                  <c:v>685</c:v>
                </c:pt>
              </c:numCache>
            </c:numRef>
          </c:val>
          <c:extLst xmlns:c16r2="http://schemas.microsoft.com/office/drawing/2015/06/chart">
            <c:ext xmlns:c16="http://schemas.microsoft.com/office/drawing/2014/chart" uri="{C3380CC4-5D6E-409C-BE32-E72D297353CC}">
              <c16:uniqueId val="{00000010-5C75-4BB0-A74A-CAF852A115C0}"/>
            </c:ext>
          </c:extLst>
        </c:ser>
        <c:dLbls>
          <c:showLegendKey val="0"/>
          <c:showVal val="0"/>
          <c:showCatName val="0"/>
          <c:showSerName val="0"/>
          <c:showPercent val="0"/>
          <c:showBubbleSize val="0"/>
        </c:dLbls>
        <c:gapWidth val="219"/>
        <c:overlap val="100"/>
        <c:axId val="398985728"/>
        <c:axId val="39898298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2988</c:v>
                </c:pt>
                <c:pt idx="1">
                  <c:v>2683</c:v>
                </c:pt>
                <c:pt idx="2">
                  <c:v>2399</c:v>
                </c:pt>
                <c:pt idx="3">
                  <c:v>2089</c:v>
                </c:pt>
                <c:pt idx="4">
                  <c:v>1795</c:v>
                </c:pt>
                <c:pt idx="5">
                  <c:v>1521</c:v>
                </c:pt>
                <c:pt idx="6">
                  <c:v>1274</c:v>
                </c:pt>
              </c:numCache>
            </c:numRef>
          </c:val>
          <c:smooth val="0"/>
          <c:extLst xmlns:c16r2="http://schemas.microsoft.com/office/drawing/2015/06/chart">
            <c:ext xmlns:c16="http://schemas.microsoft.com/office/drawing/2014/chart" uri="{C3380CC4-5D6E-409C-BE32-E72D297353CC}">
              <c16:uniqueId val="{00000011-5C75-4BB0-A74A-CAF852A115C0}"/>
            </c:ext>
          </c:extLst>
        </c:ser>
        <c:dLbls>
          <c:showLegendKey val="0"/>
          <c:showVal val="0"/>
          <c:showCatName val="0"/>
          <c:showSerName val="0"/>
          <c:showPercent val="0"/>
          <c:showBubbleSize val="0"/>
        </c:dLbls>
        <c:marker val="1"/>
        <c:smooth val="0"/>
        <c:axId val="398985728"/>
        <c:axId val="398982984"/>
      </c:lineChart>
      <c:catAx>
        <c:axId val="398985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2984"/>
        <c:crosses val="autoZero"/>
        <c:auto val="1"/>
        <c:lblAlgn val="ctr"/>
        <c:lblOffset val="100"/>
        <c:noMultiLvlLbl val="0"/>
      </c:catAx>
      <c:valAx>
        <c:axId val="398982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572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119</c:v>
                </c:pt>
                <c:pt idx="1">
                  <c:v>97</c:v>
                </c:pt>
                <c:pt idx="2">
                  <c:v>83</c:v>
                </c:pt>
                <c:pt idx="3">
                  <c:v>67</c:v>
                </c:pt>
                <c:pt idx="4">
                  <c:v>51</c:v>
                </c:pt>
                <c:pt idx="5">
                  <c:v>38</c:v>
                </c:pt>
                <c:pt idx="6">
                  <c:v>29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8983376"/>
        <c:axId val="398983768"/>
      </c:barChart>
      <c:catAx>
        <c:axId val="398983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3768"/>
        <c:crosses val="autoZero"/>
        <c:auto val="1"/>
        <c:lblAlgn val="ctr"/>
        <c:lblOffset val="100"/>
        <c:noMultiLvlLbl val="0"/>
      </c:catAx>
      <c:valAx>
        <c:axId val="398983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983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三納地区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activeCell="B2" sqref="B2"/>
      <selection pane="bottomLeft" activeCell="B1" sqref="B1:B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西都市平均</v>
      </c>
      <c r="C4" s="88" t="str">
        <f>B4</f>
        <v>西都市平均</v>
      </c>
      <c r="D4" s="185">
        <f>SUM(D7:D70)</f>
        <v>11744</v>
      </c>
      <c r="E4" s="186">
        <f>SUM(E7:E70)</f>
        <v>6653</v>
      </c>
      <c r="F4" s="186">
        <f>SUM(F7:F70)</f>
        <v>2053</v>
      </c>
      <c r="G4" s="187">
        <f>SUM(G7:G70)</f>
        <v>2104</v>
      </c>
      <c r="H4" s="148">
        <f>E4/D4</f>
        <v>0.56650204359673029</v>
      </c>
      <c r="I4" s="149">
        <f>F4/D4</f>
        <v>0.17481267029972752</v>
      </c>
      <c r="J4" s="150">
        <f>G4/D4</f>
        <v>0.17915531335149865</v>
      </c>
      <c r="K4" s="185">
        <f>SUM(K7:K70)</f>
        <v>28610</v>
      </c>
      <c r="L4" s="186">
        <f>SUM(L7:L70)</f>
        <v>4264</v>
      </c>
      <c r="M4" s="186">
        <f>SUM(M7:M70)</f>
        <v>7952</v>
      </c>
      <c r="N4" s="187">
        <f>SUM(N7:N70)</f>
        <v>14559</v>
      </c>
      <c r="O4" s="148">
        <f>L4/K4</f>
        <v>0.14903879762320868</v>
      </c>
      <c r="P4" s="149">
        <f>M4/K4</f>
        <v>0.27794477455435163</v>
      </c>
      <c r="Q4" s="150">
        <f>N4/K4</f>
        <v>0.50887801468018179</v>
      </c>
      <c r="R4" s="185">
        <f>SUM(R7:R70)</f>
        <v>28610</v>
      </c>
      <c r="S4" s="145">
        <f>SUM(S7:S70)</f>
        <v>2719</v>
      </c>
      <c r="T4" s="145">
        <f>SUM(T7:T70)</f>
        <v>1494</v>
      </c>
      <c r="U4" s="144">
        <f>SUM(U7:U70)</f>
        <v>604</v>
      </c>
      <c r="V4" s="144">
        <f>SUM(V7:V70)</f>
        <v>44</v>
      </c>
      <c r="W4" s="146">
        <f>S4+T4+U4+V4</f>
        <v>4861</v>
      </c>
      <c r="X4" s="143">
        <f>SUM(X7:X70)</f>
        <v>13423</v>
      </c>
      <c r="Y4" s="144">
        <f>SUM(Y7:Y70)</f>
        <v>1167</v>
      </c>
      <c r="Z4" s="144">
        <f>SUM(Z7:Z70)</f>
        <v>687</v>
      </c>
      <c r="AA4" s="144">
        <f>SUM(AA7:AA70)</f>
        <v>323</v>
      </c>
      <c r="AB4" s="144">
        <f>SUM(AB7:AB70)</f>
        <v>22</v>
      </c>
      <c r="AC4" s="146">
        <f>Y4+Z4+AA4+AB4</f>
        <v>2199</v>
      </c>
      <c r="AD4" s="143">
        <f>SUM(AD7:AD70)</f>
        <v>15187</v>
      </c>
      <c r="AE4" s="143">
        <f t="shared" ref="AE4:AH4" si="0">SUM(AE7:AE70)</f>
        <v>1552</v>
      </c>
      <c r="AF4" s="143">
        <f t="shared" si="0"/>
        <v>807</v>
      </c>
      <c r="AG4" s="143">
        <f t="shared" si="0"/>
        <v>281</v>
      </c>
      <c r="AH4" s="143">
        <f t="shared" si="0"/>
        <v>22</v>
      </c>
      <c r="AI4" s="146">
        <f>AE4+AF4+AG4+AH4</f>
        <v>2662</v>
      </c>
      <c r="AJ4" s="148">
        <f>W4/R4</f>
        <v>0.16990562740300594</v>
      </c>
      <c r="AK4" s="149">
        <f>T4/W4</f>
        <v>0.30734416786669411</v>
      </c>
      <c r="AL4" s="149">
        <f>U4/W4</f>
        <v>0.12425426866899815</v>
      </c>
      <c r="AM4" s="149">
        <f>V4/W4</f>
        <v>9.0516354659535073E-3</v>
      </c>
      <c r="AN4" s="147">
        <f>AC4/W4</f>
        <v>0.45237605430981281</v>
      </c>
      <c r="AO4" s="150">
        <f>AI4/W4</f>
        <v>0.54762394569018724</v>
      </c>
      <c r="AP4" s="143">
        <f>SUM(AP7:AP70)</f>
        <v>14027</v>
      </c>
      <c r="AQ4" s="144">
        <f t="shared" ref="AQ4:BI4" si="1">SUM(AQ7:AQ70)</f>
        <v>3110</v>
      </c>
      <c r="AR4" s="144">
        <f t="shared" si="1"/>
        <v>22</v>
      </c>
      <c r="AS4" s="144">
        <f t="shared" si="1"/>
        <v>4</v>
      </c>
      <c r="AT4" s="144">
        <f t="shared" si="1"/>
        <v>1150</v>
      </c>
      <c r="AU4" s="144">
        <f t="shared" si="1"/>
        <v>1695</v>
      </c>
      <c r="AV4" s="144">
        <f t="shared" si="1"/>
        <v>46</v>
      </c>
      <c r="AW4" s="144">
        <f t="shared" si="1"/>
        <v>76</v>
      </c>
      <c r="AX4" s="144">
        <f t="shared" si="1"/>
        <v>402</v>
      </c>
      <c r="AY4" s="144">
        <f t="shared" si="1"/>
        <v>1613</v>
      </c>
      <c r="AZ4" s="144">
        <f t="shared" si="1"/>
        <v>163</v>
      </c>
      <c r="BA4" s="144">
        <f t="shared" si="1"/>
        <v>86</v>
      </c>
      <c r="BB4" s="144">
        <f t="shared" si="1"/>
        <v>188</v>
      </c>
      <c r="BC4" s="144">
        <f t="shared" si="1"/>
        <v>514</v>
      </c>
      <c r="BD4" s="144">
        <f t="shared" si="1"/>
        <v>449</v>
      </c>
      <c r="BE4" s="144">
        <f t="shared" si="1"/>
        <v>435</v>
      </c>
      <c r="BF4" s="144">
        <f t="shared" si="1"/>
        <v>1880</v>
      </c>
      <c r="BG4" s="144">
        <f t="shared" si="1"/>
        <v>356</v>
      </c>
      <c r="BH4" s="144">
        <f t="shared" si="1"/>
        <v>737</v>
      </c>
      <c r="BI4" s="146">
        <f t="shared" si="1"/>
        <v>587</v>
      </c>
      <c r="BJ4" s="147">
        <f>IF($AP4=0,0,AQ4/$AP4)</f>
        <v>0.22171526342054609</v>
      </c>
      <c r="BK4" s="149">
        <f t="shared" ref="BK4:CB4" si="2">IF($AP4=0,0,AR4/$AP4)</f>
        <v>1.5684037926855349E-3</v>
      </c>
      <c r="BL4" s="149">
        <f t="shared" si="2"/>
        <v>2.8516432594282457E-4</v>
      </c>
      <c r="BM4" s="149">
        <f t="shared" si="2"/>
        <v>8.1984743708562055E-2</v>
      </c>
      <c r="BN4" s="149">
        <f t="shared" si="2"/>
        <v>0.1208383831182719</v>
      </c>
      <c r="BO4" s="149">
        <f t="shared" si="2"/>
        <v>3.2793897483424823E-3</v>
      </c>
      <c r="BP4" s="149">
        <f t="shared" si="2"/>
        <v>5.4181221929136669E-3</v>
      </c>
      <c r="BQ4" s="149">
        <f t="shared" si="2"/>
        <v>2.8659014757253867E-2</v>
      </c>
      <c r="BR4" s="149">
        <f t="shared" si="2"/>
        <v>0.114992514436444</v>
      </c>
      <c r="BS4" s="149">
        <f t="shared" si="2"/>
        <v>1.1620446282170101E-2</v>
      </c>
      <c r="BT4" s="149">
        <f t="shared" si="2"/>
        <v>6.1310330077707278E-3</v>
      </c>
      <c r="BU4" s="149">
        <f t="shared" si="2"/>
        <v>1.3402723319312753E-2</v>
      </c>
      <c r="BV4" s="149">
        <f t="shared" si="2"/>
        <v>3.6643615883652954E-2</v>
      </c>
      <c r="BW4" s="149">
        <f t="shared" si="2"/>
        <v>3.2009695587082054E-2</v>
      </c>
      <c r="BX4" s="149">
        <f t="shared" si="2"/>
        <v>3.1011620446282171E-2</v>
      </c>
      <c r="BY4" s="149">
        <f t="shared" si="2"/>
        <v>0.13402723319312754</v>
      </c>
      <c r="BZ4" s="149">
        <f t="shared" si="2"/>
        <v>2.5379625008911385E-2</v>
      </c>
      <c r="CA4" s="149">
        <f t="shared" si="2"/>
        <v>5.2541527054965426E-2</v>
      </c>
      <c r="CB4" s="150">
        <f t="shared" si="2"/>
        <v>4.1847864832109505E-2</v>
      </c>
      <c r="CC4" s="143">
        <f>SUM(CC7:CC70)</f>
        <v>14027</v>
      </c>
      <c r="CD4" s="144">
        <f t="shared" ref="CD4:CI4" si="3">SUM(CD7:CD70)</f>
        <v>9519</v>
      </c>
      <c r="CE4" s="144">
        <f t="shared" si="3"/>
        <v>4166</v>
      </c>
      <c r="CF4" s="144">
        <f t="shared" si="3"/>
        <v>35</v>
      </c>
      <c r="CG4" s="143">
        <f t="shared" si="3"/>
        <v>1143</v>
      </c>
      <c r="CH4" s="144">
        <f t="shared" si="3"/>
        <v>645</v>
      </c>
      <c r="CI4" s="144">
        <f t="shared" si="3"/>
        <v>438</v>
      </c>
      <c r="CJ4" s="144">
        <f>SUM(CJ7:CJ70)</f>
        <v>14</v>
      </c>
      <c r="CK4" s="148">
        <f t="shared" ref="CK4:CM4" si="4">IF($CC4=0,0,CD4/$CC4)</f>
        <v>0.67861980466243677</v>
      </c>
      <c r="CL4" s="149">
        <f t="shared" si="4"/>
        <v>0.29699864546945176</v>
      </c>
      <c r="CM4" s="150">
        <f t="shared" si="4"/>
        <v>2.495187851999715E-3</v>
      </c>
      <c r="CN4" s="148">
        <f t="shared" ref="CN4:CP4" si="5">IF($CG4=0,0,CH4/$CG4)</f>
        <v>0.56430446194225725</v>
      </c>
      <c r="CO4" s="149">
        <f t="shared" si="5"/>
        <v>0.38320209973753283</v>
      </c>
      <c r="CP4" s="150">
        <f t="shared" si="5"/>
        <v>1.2248468941382326E-2</v>
      </c>
    </row>
    <row r="5" spans="1:94" s="181" customFormat="1" x14ac:dyDescent="0.15">
      <c r="A5" s="183" t="str">
        <f>管理者入力シート!B2</f>
        <v>45208_4</v>
      </c>
      <c r="B5" s="201" t="str">
        <f>VLOOKUP($A$5,$A$7:$CP$50,2,FALSE)</f>
        <v>西都市</v>
      </c>
      <c r="C5" s="201" t="str">
        <f>VLOOKUP($A$5,$A$7:$CP$50,3,FALSE)</f>
        <v>三納地区</v>
      </c>
      <c r="D5" s="188">
        <f>VLOOKUP($A$5,$A$7:$CP$70,4,FALSE)</f>
        <v>1033</v>
      </c>
      <c r="E5" s="189">
        <f>VLOOKUP($A$5,$A$7:$CP$70,5,FALSE)</f>
        <v>741</v>
      </c>
      <c r="F5" s="189">
        <f>VLOOKUP($A$5,$A$7:$CP$70,6,FALSE)</f>
        <v>207</v>
      </c>
      <c r="G5" s="190">
        <f>VLOOKUP($A$5,$A$7:$CP$70,7,FALSE)</f>
        <v>259</v>
      </c>
      <c r="H5" s="178">
        <f>VLOOKUP($A$5,$A$7:$CP$70,8,FALSE)</f>
        <v>0.71732817037754115</v>
      </c>
      <c r="I5" s="179">
        <f>VLOOKUP($A$5,$A$7:$CP$70,9,FALSE)</f>
        <v>0.20038722168441434</v>
      </c>
      <c r="J5" s="180">
        <f>VLOOKUP($A$5,$A$7:$CP$70,10,FALSE)</f>
        <v>0.25072604065827686</v>
      </c>
      <c r="K5" s="188">
        <f>VLOOKUP($A$5,$A$7:$CP$70,11,FALSE)</f>
        <v>2404</v>
      </c>
      <c r="L5" s="189">
        <f>VLOOKUP($A$5,$A$7:$CP$70,12,FALSE)</f>
        <v>461</v>
      </c>
      <c r="M5" s="189">
        <f>VLOOKUP($A$5,$A$7:$CP$70,13,FALSE)</f>
        <v>445</v>
      </c>
      <c r="N5" s="190">
        <f>VLOOKUP($A$5,$A$7:$CP$70,14,FALSE)</f>
        <v>1426</v>
      </c>
      <c r="O5" s="178">
        <f>VLOOKUP($A$5,$A$7:$CP$70,15,FALSE)</f>
        <v>0.19176372712146422</v>
      </c>
      <c r="P5" s="179">
        <f>VLOOKUP($A$5,$A$7:$CP$70,16,FALSE)</f>
        <v>0.185108153078203</v>
      </c>
      <c r="Q5" s="180">
        <f>VLOOKUP($A$5,$A$7:$CP$70,17,FALSE)</f>
        <v>0.59317803660565727</v>
      </c>
      <c r="R5" s="188">
        <f>VLOOKUP($A$5,$A$7:$CP$70,18,FALSE)</f>
        <v>2404</v>
      </c>
      <c r="S5" s="189">
        <f>VLOOKUP($A$5,$A$7:$CP$70,19,FALSE)</f>
        <v>134</v>
      </c>
      <c r="T5" s="189">
        <f>VLOOKUP($A$5,$A$7:$CP$70,20,FALSE)</f>
        <v>83</v>
      </c>
      <c r="U5" s="189">
        <f>VLOOKUP($A$5,$A$7:$CP$70,21,FALSE)</f>
        <v>35</v>
      </c>
      <c r="V5" s="189">
        <f>VLOOKUP($A$5,$A$7:$CP$70,22,FALSE)</f>
        <v>1</v>
      </c>
      <c r="W5" s="190">
        <f>VLOOKUP($A$5,$A$7:$CP$70,23,FALSE)</f>
        <v>253</v>
      </c>
      <c r="X5" s="188">
        <f>VLOOKUP($A$5,$A$7:$CP$70,24,FALSE)</f>
        <v>1134</v>
      </c>
      <c r="Y5" s="189">
        <f>VLOOKUP($A$5,$A$7:$CP$70,25,FALSE)</f>
        <v>60</v>
      </c>
      <c r="Z5" s="189">
        <f>VLOOKUP($A$5,$A$7:$CP$70,26,FALSE)</f>
        <v>39</v>
      </c>
      <c r="AA5" s="189">
        <f>VLOOKUP($A$5,$A$7:$CP$70,27,FALSE)</f>
        <v>19</v>
      </c>
      <c r="AB5" s="189">
        <f>VLOOKUP($A$5,$A$7:$CP$70,28,FALSE)</f>
        <v>0</v>
      </c>
      <c r="AC5" s="191">
        <f>VLOOKUP($A$5,$A$7:$CP$70,29,FALSE)</f>
        <v>118</v>
      </c>
      <c r="AD5" s="188">
        <f>VLOOKUP($A$5,$A$7:$CP$70,30,FALSE)</f>
        <v>1270</v>
      </c>
      <c r="AE5" s="189">
        <f>VLOOKUP($A$5,$A$7:$CP$70,31,FALSE)</f>
        <v>74</v>
      </c>
      <c r="AF5" s="189">
        <f>VLOOKUP($A$5,$A$7:$CP$70,32,FALSE)</f>
        <v>44</v>
      </c>
      <c r="AG5" s="189">
        <f>VLOOKUP($A$5,$A$7:$CP$70,33,FALSE)</f>
        <v>16</v>
      </c>
      <c r="AH5" s="189">
        <f>VLOOKUP($A$5,$A$7:$CP$70,34,FALSE)</f>
        <v>1</v>
      </c>
      <c r="AI5" s="191">
        <f>VLOOKUP($A$5,$A$7:$CP$70,35,FALSE)</f>
        <v>135</v>
      </c>
      <c r="AJ5" s="178">
        <f>VLOOKUP($A$5,$A$7:$CP$70,36,FALSE)</f>
        <v>0.10524126455906822</v>
      </c>
      <c r="AK5" s="179">
        <f>VLOOKUP($A$5,$A$7:$CP$70,37,FALSE)</f>
        <v>0.32806324110671936</v>
      </c>
      <c r="AL5" s="179">
        <f>VLOOKUP($A$5,$A$7:$CP$70,38,FALSE)</f>
        <v>0.13833992094861661</v>
      </c>
      <c r="AM5" s="179">
        <f>VLOOKUP($A$5,$A$7:$CP$70,39,FALSE)</f>
        <v>3.952569169960474E-3</v>
      </c>
      <c r="AN5" s="182">
        <f>VLOOKUP($A$5,$A$7:$CP$70,40,FALSE)</f>
        <v>0.466403162055336</v>
      </c>
      <c r="AO5" s="180">
        <f>VLOOKUP($A$5,$A$7:$CP$70,41,FALSE)</f>
        <v>0.53359683794466406</v>
      </c>
      <c r="AP5" s="192">
        <f>VLOOKUP($A$5,$A$7:$CP$70,42,FALSE)</f>
        <v>1191</v>
      </c>
      <c r="AQ5" s="189">
        <f>VLOOKUP($A$5,$A$7:$CP$70,43,FALSE)</f>
        <v>346</v>
      </c>
      <c r="AR5" s="189">
        <f>VLOOKUP($A$5,$A$7:$CP$70,44,FALSE)</f>
        <v>3</v>
      </c>
      <c r="AS5" s="189">
        <f>VLOOKUP($A$5,$A$7:$CP$70,45,FALSE)</f>
        <v>0</v>
      </c>
      <c r="AT5" s="189">
        <f>VLOOKUP($A$5,$A$7:$CP$70,46,FALSE)</f>
        <v>126</v>
      </c>
      <c r="AU5" s="189">
        <f>VLOOKUP($A$5,$A$7:$CP$70,47,FALSE)</f>
        <v>152</v>
      </c>
      <c r="AV5" s="189">
        <f>VLOOKUP($A$5,$A$7:$CP$70,48,FALSE)</f>
        <v>4</v>
      </c>
      <c r="AW5" s="189">
        <f>VLOOKUP($A$5,$A$7:$CP$70,49,FALSE)</f>
        <v>6</v>
      </c>
      <c r="AX5" s="189">
        <f>VLOOKUP($A$5,$A$7:$CP$70,50,FALSE)</f>
        <v>31</v>
      </c>
      <c r="AY5" s="189">
        <f>VLOOKUP($A$5,$A$7:$CP$70,51,FALSE)</f>
        <v>105</v>
      </c>
      <c r="AZ5" s="189">
        <f>VLOOKUP($A$5,$A$7:$CP$70,52,FALSE)</f>
        <v>12</v>
      </c>
      <c r="BA5" s="189">
        <f>VLOOKUP($A$5,$A$7:$CP$70,53,FALSE)</f>
        <v>3</v>
      </c>
      <c r="BB5" s="189">
        <f>VLOOKUP($A$5,$A$7:$CP$70,54,FALSE)</f>
        <v>9</v>
      </c>
      <c r="BC5" s="189">
        <f>VLOOKUP($A$5,$A$7:$CP$70,55,FALSE)</f>
        <v>35</v>
      </c>
      <c r="BD5" s="189">
        <f>VLOOKUP($A$5,$A$7:$CP$70,56,FALSE)</f>
        <v>44</v>
      </c>
      <c r="BE5" s="189">
        <f>VLOOKUP($A$5,$A$7:$CP$70,57,FALSE)</f>
        <v>21</v>
      </c>
      <c r="BF5" s="189">
        <f>VLOOKUP($A$5,$A$7:$CP$70,58,FALSE)</f>
        <v>128</v>
      </c>
      <c r="BG5" s="189">
        <f>VLOOKUP($A$5,$A$7:$CP$70,59,FALSE)</f>
        <v>33</v>
      </c>
      <c r="BH5" s="189">
        <f>VLOOKUP($A$5,$A$7:$CP$70,60,FALSE)</f>
        <v>64</v>
      </c>
      <c r="BI5" s="189">
        <f>VLOOKUP($A$5,$A$7:$CP$70,61,FALSE)</f>
        <v>24</v>
      </c>
      <c r="BJ5" s="178">
        <f>VLOOKUP($A$5,$A$7:$CP$70,62,FALSE)</f>
        <v>0.29051217464315698</v>
      </c>
      <c r="BK5" s="179">
        <f>VLOOKUP($A$5,$A$7:$CP$70,63,FALSE)</f>
        <v>2.5188916876574307E-3</v>
      </c>
      <c r="BL5" s="179">
        <f>VLOOKUP($A$5,$A$7:$CP$70,64,FALSE)</f>
        <v>0</v>
      </c>
      <c r="BM5" s="179">
        <f>VLOOKUP($A$5,$A$7:$CP$70,65,FALSE)</f>
        <v>0.10579345088161209</v>
      </c>
      <c r="BN5" s="179">
        <f>VLOOKUP($A$5,$A$7:$CP$70,66,FALSE)</f>
        <v>0.12762384550797648</v>
      </c>
      <c r="BO5" s="179">
        <f>VLOOKUP($A$5,$A$7:$CP$70,67,FALSE)</f>
        <v>3.3585222502099076E-3</v>
      </c>
      <c r="BP5" s="179">
        <f>VLOOKUP($A$5,$A$7:$CP$70,68,FALSE)</f>
        <v>5.0377833753148613E-3</v>
      </c>
      <c r="BQ5" s="179">
        <f>VLOOKUP($A$5,$A$7:$CP$70,69,FALSE)</f>
        <v>2.6028547439126783E-2</v>
      </c>
      <c r="BR5" s="179">
        <f>VLOOKUP($A$5,$A$7:$CP$70,70,FALSE)</f>
        <v>8.8161209068010074E-2</v>
      </c>
      <c r="BS5" s="179">
        <f>VLOOKUP($A$5,$A$7:$CP$70,71,FALSE)</f>
        <v>1.0075566750629723E-2</v>
      </c>
      <c r="BT5" s="179">
        <f>VLOOKUP($A$5,$A$7:$CP$70,72,FALSE)</f>
        <v>2.5188916876574307E-3</v>
      </c>
      <c r="BU5" s="179">
        <f>VLOOKUP($A$5,$A$7:$CP$70,73,FALSE)</f>
        <v>7.556675062972292E-3</v>
      </c>
      <c r="BV5" s="179">
        <f>VLOOKUP($A$5,$A$7:$CP$70,74,FALSE)</f>
        <v>2.938706968933669E-2</v>
      </c>
      <c r="BW5" s="179">
        <f>VLOOKUP($A$5,$A$7:$CP$70,75,FALSE)</f>
        <v>3.6943744752308987E-2</v>
      </c>
      <c r="BX5" s="179">
        <f>VLOOKUP($A$5,$A$7:$CP$70,76,FALSE)</f>
        <v>1.7632241813602016E-2</v>
      </c>
      <c r="BY5" s="179">
        <f>VLOOKUP($A$5,$A$7:$CP$70,77,FALSE)</f>
        <v>0.10747271200671704</v>
      </c>
      <c r="BZ5" s="179">
        <f>VLOOKUP($A$5,$A$7:$CP$70,78,FALSE)</f>
        <v>2.7707808564231738E-2</v>
      </c>
      <c r="CA5" s="179">
        <f>VLOOKUP($A$5,$A$7:$CP$70,79,FALSE)</f>
        <v>5.3736356003358521E-2</v>
      </c>
      <c r="CB5" s="180">
        <f>VLOOKUP($A$5,$A$7:$CP$70,80,FALSE)</f>
        <v>2.0151133501259445E-2</v>
      </c>
      <c r="CC5" s="188">
        <f>VLOOKUP($A$5,$A$7:$CP$70,81,FALSE)</f>
        <v>1191</v>
      </c>
      <c r="CD5" s="190">
        <f>VLOOKUP($A$5,$A$7:$CP$70,82,FALSE)</f>
        <v>820</v>
      </c>
      <c r="CE5" s="189">
        <f>VLOOKUP($A$5,$A$7:$CP$70,83,FALSE)</f>
        <v>336</v>
      </c>
      <c r="CF5" s="191">
        <f>VLOOKUP($A$5,$A$7:$CP$70,84,FALSE)</f>
        <v>3</v>
      </c>
      <c r="CG5" s="188">
        <f>VLOOKUP($A$5,$A$7:$CP$70,85,FALSE)</f>
        <v>73</v>
      </c>
      <c r="CH5" s="189">
        <f>VLOOKUP($A$5,$A$7:$CP$70,86,FALSE)</f>
        <v>41</v>
      </c>
      <c r="CI5" s="189">
        <f>VLOOKUP($A$5,$A$7:$CP$70,87,FALSE)</f>
        <v>24</v>
      </c>
      <c r="CJ5" s="191">
        <f>VLOOKUP($A$5,$A$7:$CP$70,88,FALSE)</f>
        <v>3</v>
      </c>
      <c r="CK5" s="178">
        <f>VLOOKUP($A$5,$A$7:$CP$70,89,FALSE)</f>
        <v>0.68849706129303112</v>
      </c>
      <c r="CL5" s="179">
        <f>VLOOKUP($A$5,$A$7:$CP$70,90,FALSE)</f>
        <v>0.28211586901763225</v>
      </c>
      <c r="CM5" s="180">
        <f>VLOOKUP($A$5,$A$7:$CP$70,91,FALSE)</f>
        <v>2.5188916876574307E-3</v>
      </c>
      <c r="CN5" s="178">
        <f>VLOOKUP($A$5,$A$7:$CP$70,92,FALSE)</f>
        <v>0.56164383561643838</v>
      </c>
      <c r="CO5" s="179">
        <f>VLOOKUP($A$5,$A$7:$CP$70,93,FALSE)</f>
        <v>0.32876712328767121</v>
      </c>
      <c r="CP5" s="180">
        <f>VLOOKUP($A$5,$A$7:$CP$70,94,FALSE)</f>
        <v>4.1095890410958902E-2</v>
      </c>
    </row>
    <row r="6" spans="1:94" s="242" customFormat="1" x14ac:dyDescent="0.15"/>
    <row r="7" spans="1:94" x14ac:dyDescent="0.15">
      <c r="A7" t="s">
        <v>430</v>
      </c>
      <c r="B7" t="s">
        <v>431</v>
      </c>
      <c r="C7" t="s">
        <v>438</v>
      </c>
      <c r="D7">
        <v>6466.6</v>
      </c>
      <c r="E7">
        <v>3061.3</v>
      </c>
      <c r="F7">
        <v>986.7</v>
      </c>
      <c r="G7">
        <v>982.4</v>
      </c>
      <c r="H7">
        <v>0.47340178764729535</v>
      </c>
      <c r="I7">
        <v>0.15258404725821917</v>
      </c>
      <c r="J7">
        <v>0.15191909194940154</v>
      </c>
      <c r="K7">
        <v>15913.9</v>
      </c>
      <c r="L7">
        <v>1803.7</v>
      </c>
      <c r="M7">
        <v>5568.9</v>
      </c>
      <c r="N7">
        <v>7271.4</v>
      </c>
      <c r="O7">
        <v>0.11334116715575693</v>
      </c>
      <c r="P7">
        <v>0.34993936118738961</v>
      </c>
      <c r="Q7">
        <v>0.45692130778753165</v>
      </c>
      <c r="R7">
        <v>15913.9</v>
      </c>
      <c r="S7">
        <v>1949.9</v>
      </c>
      <c r="T7">
        <v>1069.0999999999999</v>
      </c>
      <c r="U7">
        <v>434.8</v>
      </c>
      <c r="V7">
        <v>32.200000000000003</v>
      </c>
      <c r="W7">
        <v>3486</v>
      </c>
      <c r="X7">
        <v>7422.9</v>
      </c>
      <c r="Y7">
        <v>858.4</v>
      </c>
      <c r="Z7">
        <v>496.1</v>
      </c>
      <c r="AA7">
        <v>232.4</v>
      </c>
      <c r="AB7">
        <v>18</v>
      </c>
      <c r="AC7">
        <v>1604.9</v>
      </c>
      <c r="AD7">
        <v>8491</v>
      </c>
      <c r="AE7">
        <v>1091.5</v>
      </c>
      <c r="AF7">
        <v>573</v>
      </c>
      <c r="AG7">
        <v>202.4</v>
      </c>
      <c r="AH7">
        <v>14.2</v>
      </c>
      <c r="AI7">
        <v>1881.1000000000001</v>
      </c>
      <c r="AJ7">
        <v>0.21905378317068727</v>
      </c>
      <c r="AK7">
        <v>0.30668387837062533</v>
      </c>
      <c r="AL7">
        <v>0.12472748135398738</v>
      </c>
      <c r="AM7">
        <v>9.2369477911646587E-3</v>
      </c>
      <c r="AN7">
        <v>0.46038439472174414</v>
      </c>
      <c r="AO7">
        <v>0.53961560527825592</v>
      </c>
      <c r="AP7">
        <v>7537.6</v>
      </c>
      <c r="AQ7">
        <v>1026.9000000000001</v>
      </c>
      <c r="AR7">
        <v>10</v>
      </c>
      <c r="AS7">
        <v>0</v>
      </c>
      <c r="AT7">
        <v>616.70000000000005</v>
      </c>
      <c r="AU7">
        <v>955.3</v>
      </c>
      <c r="AV7">
        <v>36</v>
      </c>
      <c r="AW7">
        <v>53.1</v>
      </c>
      <c r="AX7">
        <v>213.5</v>
      </c>
      <c r="AY7">
        <v>1012.8</v>
      </c>
      <c r="AZ7">
        <v>110</v>
      </c>
      <c r="BA7">
        <v>57.3</v>
      </c>
      <c r="BB7">
        <v>122.3</v>
      </c>
      <c r="BC7">
        <v>357.7</v>
      </c>
      <c r="BD7">
        <v>280.89999999999998</v>
      </c>
      <c r="BE7">
        <v>302.60000000000002</v>
      </c>
      <c r="BF7">
        <v>1156</v>
      </c>
      <c r="BG7">
        <v>186.5</v>
      </c>
      <c r="BH7">
        <v>396</v>
      </c>
      <c r="BI7">
        <v>443.3</v>
      </c>
      <c r="BJ7">
        <v>0.13623699851411591</v>
      </c>
      <c r="BK7">
        <v>1.3266822330715345E-3</v>
      </c>
      <c r="BL7">
        <v>0</v>
      </c>
      <c r="BM7">
        <v>8.1816493313521546E-2</v>
      </c>
      <c r="BN7">
        <v>0.1267379537253237</v>
      </c>
      <c r="BO7">
        <v>4.7760560390575245E-3</v>
      </c>
      <c r="BP7">
        <v>7.0446826576098494E-3</v>
      </c>
      <c r="BQ7">
        <v>2.8324665676077266E-2</v>
      </c>
      <c r="BR7">
        <v>0.13436637656548503</v>
      </c>
      <c r="BS7">
        <v>1.459350456378688E-2</v>
      </c>
      <c r="BT7">
        <v>7.6018891954998929E-3</v>
      </c>
      <c r="BU7">
        <v>1.6225323710464867E-2</v>
      </c>
      <c r="BV7">
        <v>4.7455423476968794E-2</v>
      </c>
      <c r="BW7">
        <v>3.7266503926979402E-2</v>
      </c>
      <c r="BX7">
        <v>4.0145404372744643E-2</v>
      </c>
      <c r="BY7">
        <v>0.15336446614306939</v>
      </c>
      <c r="BZ7">
        <v>2.4742623646784121E-2</v>
      </c>
      <c r="CA7">
        <v>5.2536616429632775E-2</v>
      </c>
      <c r="CB7">
        <v>5.8811823392061133E-2</v>
      </c>
      <c r="CC7">
        <v>7537.6</v>
      </c>
      <c r="CD7">
        <v>4973.3</v>
      </c>
      <c r="CE7">
        <v>2418</v>
      </c>
      <c r="CF7">
        <v>23</v>
      </c>
      <c r="CG7">
        <v>737.6</v>
      </c>
      <c r="CH7">
        <v>428.8</v>
      </c>
      <c r="CI7">
        <v>270.7</v>
      </c>
      <c r="CJ7">
        <v>10</v>
      </c>
      <c r="CK7">
        <v>0.65979887497346634</v>
      </c>
      <c r="CL7">
        <v>0.32079176395669706</v>
      </c>
      <c r="CM7">
        <v>3.0513691360645298E-3</v>
      </c>
      <c r="CN7">
        <v>0.58134490238611713</v>
      </c>
      <c r="CO7">
        <v>0.36700108459869846</v>
      </c>
      <c r="CP7">
        <v>1.3557483731019523E-2</v>
      </c>
    </row>
    <row r="8" spans="1:94" x14ac:dyDescent="0.15">
      <c r="A8" t="s">
        <v>432</v>
      </c>
      <c r="B8" t="s">
        <v>431</v>
      </c>
      <c r="C8" t="s">
        <v>439</v>
      </c>
      <c r="D8">
        <v>1562.4</v>
      </c>
      <c r="E8">
        <v>1036.7</v>
      </c>
      <c r="F8">
        <v>300.3</v>
      </c>
      <c r="G8">
        <v>316.60000000000002</v>
      </c>
      <c r="H8">
        <v>0.66353046594982079</v>
      </c>
      <c r="I8">
        <v>0.19220430107526881</v>
      </c>
      <c r="J8">
        <v>0.20263696876600101</v>
      </c>
      <c r="K8">
        <v>3879.1</v>
      </c>
      <c r="L8">
        <v>691.3</v>
      </c>
      <c r="M8">
        <v>762.09999999999991</v>
      </c>
      <c r="N8">
        <v>2191.6</v>
      </c>
      <c r="O8">
        <v>0.17821144079812326</v>
      </c>
      <c r="P8">
        <v>0.19646309711015439</v>
      </c>
      <c r="Q8">
        <v>0.56497641205434246</v>
      </c>
      <c r="R8">
        <v>3879.1</v>
      </c>
      <c r="S8">
        <v>271.10000000000002</v>
      </c>
      <c r="T8">
        <v>123.9</v>
      </c>
      <c r="U8">
        <v>66.2</v>
      </c>
      <c r="V8">
        <v>2.8</v>
      </c>
      <c r="W8">
        <v>464</v>
      </c>
      <c r="X8">
        <v>1832.1</v>
      </c>
      <c r="Y8">
        <v>117.6</v>
      </c>
      <c r="Z8">
        <v>47.9</v>
      </c>
      <c r="AA8">
        <v>35.6</v>
      </c>
      <c r="AB8">
        <v>1</v>
      </c>
      <c r="AC8">
        <v>202.1</v>
      </c>
      <c r="AD8">
        <v>2047</v>
      </c>
      <c r="AE8">
        <v>153.5</v>
      </c>
      <c r="AF8">
        <v>76</v>
      </c>
      <c r="AG8">
        <v>30.6</v>
      </c>
      <c r="AH8">
        <v>1.8</v>
      </c>
      <c r="AI8">
        <v>261.90000000000003</v>
      </c>
      <c r="AJ8">
        <v>0.11961537470031709</v>
      </c>
      <c r="AK8">
        <v>0.2670258620689655</v>
      </c>
      <c r="AL8">
        <v>0.14267241379310344</v>
      </c>
      <c r="AM8">
        <v>6.0344827586206896E-3</v>
      </c>
      <c r="AN8">
        <v>0.43556034482758621</v>
      </c>
      <c r="AO8">
        <v>0.5644396551724139</v>
      </c>
      <c r="AP8">
        <v>1902.4</v>
      </c>
      <c r="AQ8">
        <v>548.1</v>
      </c>
      <c r="AR8">
        <v>7</v>
      </c>
      <c r="AS8">
        <v>1</v>
      </c>
      <c r="AT8">
        <v>146.30000000000001</v>
      </c>
      <c r="AU8">
        <v>242.7</v>
      </c>
      <c r="AV8">
        <v>5</v>
      </c>
      <c r="AW8">
        <v>4.9000000000000004</v>
      </c>
      <c r="AX8">
        <v>50.5</v>
      </c>
      <c r="AY8">
        <v>183.2</v>
      </c>
      <c r="AZ8">
        <v>19</v>
      </c>
      <c r="BA8">
        <v>6.7</v>
      </c>
      <c r="BB8">
        <v>27.7</v>
      </c>
      <c r="BC8">
        <v>64.3</v>
      </c>
      <c r="BD8">
        <v>52.1</v>
      </c>
      <c r="BE8">
        <v>53.4</v>
      </c>
      <c r="BF8">
        <v>214</v>
      </c>
      <c r="BG8">
        <v>57.5</v>
      </c>
      <c r="BH8">
        <v>101</v>
      </c>
      <c r="BI8">
        <v>45.7</v>
      </c>
      <c r="BJ8">
        <v>0.28810975609756095</v>
      </c>
      <c r="BK8">
        <v>3.6795626576955425E-3</v>
      </c>
      <c r="BL8">
        <v>5.2565180824222036E-4</v>
      </c>
      <c r="BM8">
        <v>7.6902859545836838E-2</v>
      </c>
      <c r="BN8">
        <v>0.12757569386038686</v>
      </c>
      <c r="BO8">
        <v>2.6282590412111018E-3</v>
      </c>
      <c r="BP8">
        <v>2.5756938603868798E-3</v>
      </c>
      <c r="BQ8">
        <v>2.6545416316232126E-2</v>
      </c>
      <c r="BR8">
        <v>9.6299411269974752E-2</v>
      </c>
      <c r="BS8">
        <v>9.9873843566021855E-3</v>
      </c>
      <c r="BT8">
        <v>3.5218671152228761E-3</v>
      </c>
      <c r="BU8">
        <v>1.4560555088309503E-2</v>
      </c>
      <c r="BV8">
        <v>3.3799411269974766E-2</v>
      </c>
      <c r="BW8">
        <v>2.7386459209419681E-2</v>
      </c>
      <c r="BX8">
        <v>2.8069806560134566E-2</v>
      </c>
      <c r="BY8">
        <v>0.11248948696383515</v>
      </c>
      <c r="BZ8">
        <v>3.0224978973927667E-2</v>
      </c>
      <c r="CA8">
        <v>5.3090832632464252E-2</v>
      </c>
      <c r="CB8">
        <v>2.402228763666947E-2</v>
      </c>
      <c r="CC8">
        <v>1902.4</v>
      </c>
      <c r="CD8">
        <v>1359.7</v>
      </c>
      <c r="CE8">
        <v>504</v>
      </c>
      <c r="CF8">
        <v>3</v>
      </c>
      <c r="CG8">
        <v>137.4</v>
      </c>
      <c r="CH8">
        <v>67.2</v>
      </c>
      <c r="CI8">
        <v>61.3</v>
      </c>
      <c r="CJ8">
        <v>1</v>
      </c>
      <c r="CK8">
        <v>0.71472876366694704</v>
      </c>
      <c r="CL8">
        <v>0.26492851135407902</v>
      </c>
      <c r="CM8">
        <v>1.5769554247266611E-3</v>
      </c>
      <c r="CN8">
        <v>0.48908296943231439</v>
      </c>
      <c r="CO8">
        <v>0.44614264919941771</v>
      </c>
      <c r="CP8">
        <v>7.2780203784570596E-3</v>
      </c>
    </row>
    <row r="9" spans="1:94" x14ac:dyDescent="0.15">
      <c r="A9" t="s">
        <v>428</v>
      </c>
      <c r="B9" t="s">
        <v>431</v>
      </c>
      <c r="C9" t="s">
        <v>440</v>
      </c>
      <c r="D9">
        <v>1033</v>
      </c>
      <c r="E9">
        <v>741</v>
      </c>
      <c r="F9">
        <v>207</v>
      </c>
      <c r="G9">
        <v>259</v>
      </c>
      <c r="H9">
        <v>0.71732817037754115</v>
      </c>
      <c r="I9">
        <v>0.20038722168441434</v>
      </c>
      <c r="J9">
        <v>0.25072604065827686</v>
      </c>
      <c r="K9">
        <v>2404</v>
      </c>
      <c r="L9">
        <v>461</v>
      </c>
      <c r="M9">
        <v>445</v>
      </c>
      <c r="N9">
        <v>1426</v>
      </c>
      <c r="O9">
        <v>0.19176372712146422</v>
      </c>
      <c r="P9">
        <v>0.185108153078203</v>
      </c>
      <c r="Q9">
        <v>0.59317803660565727</v>
      </c>
      <c r="R9">
        <v>2404</v>
      </c>
      <c r="S9">
        <v>134</v>
      </c>
      <c r="T9">
        <v>83</v>
      </c>
      <c r="U9">
        <v>35</v>
      </c>
      <c r="V9">
        <v>1</v>
      </c>
      <c r="W9">
        <v>253</v>
      </c>
      <c r="X9">
        <v>1134</v>
      </c>
      <c r="Y9">
        <v>60</v>
      </c>
      <c r="Z9">
        <v>39</v>
      </c>
      <c r="AA9">
        <v>19</v>
      </c>
      <c r="AB9">
        <v>0</v>
      </c>
      <c r="AC9">
        <v>118</v>
      </c>
      <c r="AD9">
        <v>1270</v>
      </c>
      <c r="AE9">
        <v>74</v>
      </c>
      <c r="AF9">
        <v>44</v>
      </c>
      <c r="AG9">
        <v>16</v>
      </c>
      <c r="AH9">
        <v>1</v>
      </c>
      <c r="AI9">
        <v>135</v>
      </c>
      <c r="AJ9">
        <v>0.10524126455906822</v>
      </c>
      <c r="AK9">
        <v>0.32806324110671936</v>
      </c>
      <c r="AL9">
        <v>0.13833992094861661</v>
      </c>
      <c r="AM9">
        <v>3.952569169960474E-3</v>
      </c>
      <c r="AN9">
        <v>0.466403162055336</v>
      </c>
      <c r="AO9">
        <v>0.53359683794466406</v>
      </c>
      <c r="AP9">
        <v>1191</v>
      </c>
      <c r="AQ9">
        <v>346</v>
      </c>
      <c r="AR9">
        <v>3</v>
      </c>
      <c r="AS9">
        <v>0</v>
      </c>
      <c r="AT9">
        <v>126</v>
      </c>
      <c r="AU9">
        <v>152</v>
      </c>
      <c r="AV9">
        <v>4</v>
      </c>
      <c r="AW9">
        <v>6</v>
      </c>
      <c r="AX9">
        <v>31</v>
      </c>
      <c r="AY9">
        <v>105</v>
      </c>
      <c r="AZ9">
        <v>12</v>
      </c>
      <c r="BA9">
        <v>3</v>
      </c>
      <c r="BB9">
        <v>9</v>
      </c>
      <c r="BC9">
        <v>35</v>
      </c>
      <c r="BD9">
        <v>44</v>
      </c>
      <c r="BE9">
        <v>21</v>
      </c>
      <c r="BF9">
        <v>128</v>
      </c>
      <c r="BG9">
        <v>33</v>
      </c>
      <c r="BH9">
        <v>64</v>
      </c>
      <c r="BI9">
        <v>24</v>
      </c>
      <c r="BJ9">
        <v>0.29051217464315698</v>
      </c>
      <c r="BK9">
        <v>2.5188916876574307E-3</v>
      </c>
      <c r="BL9">
        <v>0</v>
      </c>
      <c r="BM9">
        <v>0.10579345088161209</v>
      </c>
      <c r="BN9">
        <v>0.12762384550797648</v>
      </c>
      <c r="BO9">
        <v>3.3585222502099076E-3</v>
      </c>
      <c r="BP9">
        <v>5.0377833753148613E-3</v>
      </c>
      <c r="BQ9">
        <v>2.6028547439126783E-2</v>
      </c>
      <c r="BR9">
        <v>8.8161209068010074E-2</v>
      </c>
      <c r="BS9">
        <v>1.0075566750629723E-2</v>
      </c>
      <c r="BT9">
        <v>2.5188916876574307E-3</v>
      </c>
      <c r="BU9">
        <v>7.556675062972292E-3</v>
      </c>
      <c r="BV9">
        <v>2.938706968933669E-2</v>
      </c>
      <c r="BW9">
        <v>3.6943744752308987E-2</v>
      </c>
      <c r="BX9">
        <v>1.7632241813602016E-2</v>
      </c>
      <c r="BY9">
        <v>0.10747271200671704</v>
      </c>
      <c r="BZ9">
        <v>2.7707808564231738E-2</v>
      </c>
      <c r="CA9">
        <v>5.3736356003358521E-2</v>
      </c>
      <c r="CB9">
        <v>2.0151133501259445E-2</v>
      </c>
      <c r="CC9">
        <v>1191</v>
      </c>
      <c r="CD9">
        <v>820</v>
      </c>
      <c r="CE9">
        <v>336</v>
      </c>
      <c r="CF9">
        <v>3</v>
      </c>
      <c r="CG9">
        <v>73</v>
      </c>
      <c r="CH9">
        <v>41</v>
      </c>
      <c r="CI9">
        <v>24</v>
      </c>
      <c r="CJ9">
        <v>3</v>
      </c>
      <c r="CK9">
        <v>0.68849706129303112</v>
      </c>
      <c r="CL9">
        <v>0.28211586901763225</v>
      </c>
      <c r="CM9">
        <v>2.5188916876574307E-3</v>
      </c>
      <c r="CN9">
        <v>0.56164383561643838</v>
      </c>
      <c r="CO9">
        <v>0.32876712328767121</v>
      </c>
      <c r="CP9">
        <v>4.1095890410958902E-2</v>
      </c>
    </row>
    <row r="10" spans="1:94" x14ac:dyDescent="0.15">
      <c r="A10" t="s">
        <v>433</v>
      </c>
      <c r="B10" t="s">
        <v>431</v>
      </c>
      <c r="C10" t="s">
        <v>441</v>
      </c>
      <c r="D10">
        <v>1233</v>
      </c>
      <c r="E10">
        <v>790</v>
      </c>
      <c r="F10">
        <v>243</v>
      </c>
      <c r="G10">
        <v>241</v>
      </c>
      <c r="H10">
        <v>0.6407137064071371</v>
      </c>
      <c r="I10">
        <v>0.19708029197080293</v>
      </c>
      <c r="J10">
        <v>0.19545823195458231</v>
      </c>
      <c r="K10">
        <v>2919</v>
      </c>
      <c r="L10">
        <v>609</v>
      </c>
      <c r="M10">
        <v>529</v>
      </c>
      <c r="N10">
        <v>1647</v>
      </c>
      <c r="O10">
        <v>0.20863309352517986</v>
      </c>
      <c r="P10">
        <v>0.18122644741349778</v>
      </c>
      <c r="Q10">
        <v>0.56423432682425489</v>
      </c>
      <c r="R10">
        <v>2919</v>
      </c>
      <c r="S10">
        <v>137</v>
      </c>
      <c r="T10">
        <v>113</v>
      </c>
      <c r="U10">
        <v>28</v>
      </c>
      <c r="V10">
        <v>1</v>
      </c>
      <c r="W10">
        <v>279</v>
      </c>
      <c r="X10">
        <v>1390</v>
      </c>
      <c r="Y10">
        <v>48</v>
      </c>
      <c r="Z10">
        <v>49</v>
      </c>
      <c r="AA10">
        <v>18</v>
      </c>
      <c r="AB10">
        <v>1</v>
      </c>
      <c r="AC10">
        <v>116</v>
      </c>
      <c r="AD10">
        <v>1529</v>
      </c>
      <c r="AE10">
        <v>89</v>
      </c>
      <c r="AF10">
        <v>64</v>
      </c>
      <c r="AG10">
        <v>10</v>
      </c>
      <c r="AH10">
        <v>0</v>
      </c>
      <c r="AI10">
        <v>163</v>
      </c>
      <c r="AJ10">
        <v>9.5580678314491269E-2</v>
      </c>
      <c r="AK10">
        <v>0.4050179211469534</v>
      </c>
      <c r="AL10">
        <v>0.1003584229390681</v>
      </c>
      <c r="AM10">
        <v>3.5842293906810036E-3</v>
      </c>
      <c r="AN10">
        <v>0.4157706093189964</v>
      </c>
      <c r="AO10">
        <v>0.58422939068100355</v>
      </c>
      <c r="AP10">
        <v>1561</v>
      </c>
      <c r="AQ10">
        <v>528</v>
      </c>
      <c r="AR10">
        <v>1</v>
      </c>
      <c r="AS10">
        <v>3</v>
      </c>
      <c r="AT10">
        <v>110</v>
      </c>
      <c r="AU10">
        <v>162</v>
      </c>
      <c r="AV10">
        <v>0</v>
      </c>
      <c r="AW10">
        <v>9</v>
      </c>
      <c r="AX10">
        <v>54</v>
      </c>
      <c r="AY10">
        <v>136</v>
      </c>
      <c r="AZ10">
        <v>13</v>
      </c>
      <c r="BA10">
        <v>10</v>
      </c>
      <c r="BB10">
        <v>16</v>
      </c>
      <c r="BC10">
        <v>29</v>
      </c>
      <c r="BD10">
        <v>41</v>
      </c>
      <c r="BE10">
        <v>26</v>
      </c>
      <c r="BF10">
        <v>177</v>
      </c>
      <c r="BG10">
        <v>39</v>
      </c>
      <c r="BH10">
        <v>93</v>
      </c>
      <c r="BI10">
        <v>35</v>
      </c>
      <c r="BJ10">
        <v>0.33824471492632929</v>
      </c>
      <c r="BK10">
        <v>6.406149903907751E-4</v>
      </c>
      <c r="BL10">
        <v>1.9218449711723255E-3</v>
      </c>
      <c r="BM10">
        <v>7.0467648942985267E-2</v>
      </c>
      <c r="BN10">
        <v>0.10377962844330557</v>
      </c>
      <c r="BO10">
        <v>0</v>
      </c>
      <c r="BP10">
        <v>5.7655349135169766E-3</v>
      </c>
      <c r="BQ10">
        <v>3.459320948110186E-2</v>
      </c>
      <c r="BR10">
        <v>8.7123638693145419E-2</v>
      </c>
      <c r="BS10">
        <v>8.3279948750800761E-3</v>
      </c>
      <c r="BT10">
        <v>6.4061499039077515E-3</v>
      </c>
      <c r="BU10">
        <v>1.0249839846252402E-2</v>
      </c>
      <c r="BV10">
        <v>1.8577834721332478E-2</v>
      </c>
      <c r="BW10">
        <v>2.626521460602178E-2</v>
      </c>
      <c r="BX10">
        <v>1.6655989750160152E-2</v>
      </c>
      <c r="BY10">
        <v>0.1133888532991672</v>
      </c>
      <c r="BZ10">
        <v>2.4983984625240232E-2</v>
      </c>
      <c r="CA10">
        <v>5.9577194106342088E-2</v>
      </c>
      <c r="CB10">
        <v>2.2421524663677129E-2</v>
      </c>
      <c r="CC10">
        <v>1561</v>
      </c>
      <c r="CD10">
        <v>1043</v>
      </c>
      <c r="CE10">
        <v>462</v>
      </c>
      <c r="CF10">
        <v>2</v>
      </c>
      <c r="CG10">
        <v>100</v>
      </c>
      <c r="CH10">
        <v>52</v>
      </c>
      <c r="CI10">
        <v>46</v>
      </c>
      <c r="CJ10">
        <v>0</v>
      </c>
      <c r="CK10">
        <v>0.66816143497757852</v>
      </c>
      <c r="CL10">
        <v>0.29596412556053814</v>
      </c>
      <c r="CM10">
        <v>1.2812299807815502E-3</v>
      </c>
      <c r="CN10">
        <v>0.52</v>
      </c>
      <c r="CO10">
        <v>0.46</v>
      </c>
      <c r="CP10">
        <v>0</v>
      </c>
    </row>
    <row r="11" spans="1:94" x14ac:dyDescent="0.15">
      <c r="A11" t="s">
        <v>434</v>
      </c>
      <c r="B11" t="s">
        <v>431</v>
      </c>
      <c r="C11" t="s">
        <v>442</v>
      </c>
      <c r="D11">
        <v>1325</v>
      </c>
      <c r="E11">
        <v>933</v>
      </c>
      <c r="F11">
        <v>292</v>
      </c>
      <c r="G11">
        <v>261</v>
      </c>
      <c r="H11">
        <v>0.70415094339622641</v>
      </c>
      <c r="I11">
        <v>0.22037735849056603</v>
      </c>
      <c r="J11">
        <v>0.19698113207547169</v>
      </c>
      <c r="K11">
        <v>3250</v>
      </c>
      <c r="L11">
        <v>654</v>
      </c>
      <c r="M11">
        <v>567</v>
      </c>
      <c r="N11">
        <v>1905</v>
      </c>
      <c r="O11">
        <v>0.20123076923076924</v>
      </c>
      <c r="P11">
        <v>0.17446153846153847</v>
      </c>
      <c r="Q11">
        <v>0.58615384615384614</v>
      </c>
      <c r="R11">
        <v>3250</v>
      </c>
      <c r="S11">
        <v>210</v>
      </c>
      <c r="T11">
        <v>72</v>
      </c>
      <c r="U11">
        <v>33</v>
      </c>
      <c r="V11">
        <v>3</v>
      </c>
      <c r="W11">
        <v>318</v>
      </c>
      <c r="X11">
        <v>1516</v>
      </c>
      <c r="Y11">
        <v>77</v>
      </c>
      <c r="Z11">
        <v>35</v>
      </c>
      <c r="AA11">
        <v>15</v>
      </c>
      <c r="AB11">
        <v>0</v>
      </c>
      <c r="AC11">
        <v>127</v>
      </c>
      <c r="AD11">
        <v>1734</v>
      </c>
      <c r="AE11">
        <v>133</v>
      </c>
      <c r="AF11">
        <v>37</v>
      </c>
      <c r="AG11">
        <v>18</v>
      </c>
      <c r="AH11">
        <v>3</v>
      </c>
      <c r="AI11">
        <v>191</v>
      </c>
      <c r="AJ11">
        <v>9.7846153846153847E-2</v>
      </c>
      <c r="AK11">
        <v>0.22641509433962265</v>
      </c>
      <c r="AL11">
        <v>0.10377358490566038</v>
      </c>
      <c r="AM11">
        <v>9.433962264150943E-3</v>
      </c>
      <c r="AN11">
        <v>0.39937106918238996</v>
      </c>
      <c r="AO11">
        <v>0.60062893081761004</v>
      </c>
      <c r="AP11">
        <v>1750</v>
      </c>
      <c r="AQ11">
        <v>622</v>
      </c>
      <c r="AR11">
        <v>1</v>
      </c>
      <c r="AS11">
        <v>0</v>
      </c>
      <c r="AT11">
        <v>148</v>
      </c>
      <c r="AU11">
        <v>172</v>
      </c>
      <c r="AV11">
        <v>1</v>
      </c>
      <c r="AW11">
        <v>2</v>
      </c>
      <c r="AX11">
        <v>52</v>
      </c>
      <c r="AY11">
        <v>174</v>
      </c>
      <c r="AZ11">
        <v>9</v>
      </c>
      <c r="BA11">
        <v>9</v>
      </c>
      <c r="BB11">
        <v>13</v>
      </c>
      <c r="BC11">
        <v>28</v>
      </c>
      <c r="BD11">
        <v>31</v>
      </c>
      <c r="BE11">
        <v>22</v>
      </c>
      <c r="BF11">
        <v>201</v>
      </c>
      <c r="BG11">
        <v>36</v>
      </c>
      <c r="BH11">
        <v>82</v>
      </c>
      <c r="BI11">
        <v>35</v>
      </c>
      <c r="BJ11">
        <v>0.35542857142857143</v>
      </c>
      <c r="BK11">
        <v>5.7142857142857147E-4</v>
      </c>
      <c r="BL11">
        <v>0</v>
      </c>
      <c r="BM11">
        <v>8.4571428571428575E-2</v>
      </c>
      <c r="BN11">
        <v>9.8285714285714282E-2</v>
      </c>
      <c r="BO11">
        <v>5.7142857142857147E-4</v>
      </c>
      <c r="BP11">
        <v>1.1428571428571429E-3</v>
      </c>
      <c r="BQ11">
        <v>2.9714285714285714E-2</v>
      </c>
      <c r="BR11">
        <v>9.9428571428571422E-2</v>
      </c>
      <c r="BS11">
        <v>5.1428571428571426E-3</v>
      </c>
      <c r="BT11">
        <v>5.1428571428571426E-3</v>
      </c>
      <c r="BU11">
        <v>7.4285714285714285E-3</v>
      </c>
      <c r="BV11">
        <v>1.6E-2</v>
      </c>
      <c r="BW11">
        <v>1.7714285714285714E-2</v>
      </c>
      <c r="BX11">
        <v>1.2571428571428572E-2</v>
      </c>
      <c r="BY11">
        <v>0.11485714285714285</v>
      </c>
      <c r="BZ11">
        <v>2.057142857142857E-2</v>
      </c>
      <c r="CA11">
        <v>4.6857142857142854E-2</v>
      </c>
      <c r="CB11">
        <v>0.02</v>
      </c>
      <c r="CC11">
        <v>1750</v>
      </c>
      <c r="CD11">
        <v>1244</v>
      </c>
      <c r="CE11">
        <v>442</v>
      </c>
      <c r="CF11">
        <v>4</v>
      </c>
      <c r="CG11">
        <v>91</v>
      </c>
      <c r="CH11">
        <v>53</v>
      </c>
      <c r="CI11">
        <v>35</v>
      </c>
      <c r="CJ11">
        <v>0</v>
      </c>
      <c r="CK11">
        <v>0.71085714285714285</v>
      </c>
      <c r="CL11">
        <v>0.25257142857142856</v>
      </c>
      <c r="CM11">
        <v>2.2857142857142859E-3</v>
      </c>
      <c r="CN11">
        <v>0.58241758241758246</v>
      </c>
      <c r="CO11">
        <v>0.38461538461538464</v>
      </c>
      <c r="CP11">
        <v>0</v>
      </c>
    </row>
    <row r="12" spans="1:94" x14ac:dyDescent="0.15">
      <c r="A12" t="s">
        <v>435</v>
      </c>
      <c r="B12" t="s">
        <v>431</v>
      </c>
      <c r="C12" t="s">
        <v>443</v>
      </c>
      <c r="D12">
        <v>124</v>
      </c>
      <c r="E12">
        <v>91</v>
      </c>
      <c r="F12">
        <v>24</v>
      </c>
      <c r="G12">
        <v>44</v>
      </c>
      <c r="H12">
        <v>0.7338709677419355</v>
      </c>
      <c r="I12">
        <v>0.19354838709677419</v>
      </c>
      <c r="J12">
        <v>0.35483870967741937</v>
      </c>
      <c r="K12">
        <v>244</v>
      </c>
      <c r="L12">
        <v>45</v>
      </c>
      <c r="M12">
        <v>80</v>
      </c>
      <c r="N12">
        <v>118</v>
      </c>
      <c r="O12">
        <v>0.18442622950819673</v>
      </c>
      <c r="P12">
        <v>0.32786885245901637</v>
      </c>
      <c r="Q12">
        <v>0.48360655737704916</v>
      </c>
      <c r="R12">
        <v>244</v>
      </c>
      <c r="S12">
        <v>17</v>
      </c>
      <c r="T12">
        <v>33</v>
      </c>
      <c r="U12">
        <v>7</v>
      </c>
      <c r="V12">
        <v>4</v>
      </c>
      <c r="W12">
        <v>61</v>
      </c>
      <c r="X12">
        <v>128</v>
      </c>
      <c r="Y12">
        <v>6</v>
      </c>
      <c r="Z12">
        <v>20</v>
      </c>
      <c r="AA12">
        <v>3</v>
      </c>
      <c r="AB12">
        <v>2</v>
      </c>
      <c r="AC12">
        <v>31</v>
      </c>
      <c r="AD12">
        <v>116</v>
      </c>
      <c r="AE12">
        <v>11</v>
      </c>
      <c r="AF12">
        <v>13</v>
      </c>
      <c r="AG12">
        <v>4</v>
      </c>
      <c r="AH12">
        <v>2</v>
      </c>
      <c r="AI12">
        <v>30</v>
      </c>
      <c r="AJ12">
        <v>0.25</v>
      </c>
      <c r="AK12">
        <v>0.54098360655737709</v>
      </c>
      <c r="AL12">
        <v>0.11475409836065574</v>
      </c>
      <c r="AM12">
        <v>6.5573770491803282E-2</v>
      </c>
      <c r="AN12">
        <v>0.50819672131147542</v>
      </c>
      <c r="AO12">
        <v>0.49180327868852458</v>
      </c>
      <c r="AP12">
        <v>85</v>
      </c>
      <c r="AQ12">
        <v>39</v>
      </c>
      <c r="AR12">
        <v>0</v>
      </c>
      <c r="AS12">
        <v>0</v>
      </c>
      <c r="AT12">
        <v>3</v>
      </c>
      <c r="AU12">
        <v>11</v>
      </c>
      <c r="AV12">
        <v>0</v>
      </c>
      <c r="AW12">
        <v>1</v>
      </c>
      <c r="AX12">
        <v>1</v>
      </c>
      <c r="AY12">
        <v>2</v>
      </c>
      <c r="AZ12">
        <v>0</v>
      </c>
      <c r="BA12">
        <v>0</v>
      </c>
      <c r="BB12">
        <v>0</v>
      </c>
      <c r="BC12">
        <v>0</v>
      </c>
      <c r="BD12">
        <v>0</v>
      </c>
      <c r="BE12">
        <v>10</v>
      </c>
      <c r="BF12">
        <v>4</v>
      </c>
      <c r="BG12">
        <v>4</v>
      </c>
      <c r="BH12">
        <v>1</v>
      </c>
      <c r="BI12">
        <v>4</v>
      </c>
      <c r="BJ12">
        <v>0.45882352941176469</v>
      </c>
      <c r="BK12">
        <v>0</v>
      </c>
      <c r="BL12">
        <v>0</v>
      </c>
      <c r="BM12">
        <v>3.5294117647058823E-2</v>
      </c>
      <c r="BN12">
        <v>0.12941176470588237</v>
      </c>
      <c r="BO12">
        <v>0</v>
      </c>
      <c r="BP12">
        <v>1.1764705882352941E-2</v>
      </c>
      <c r="BQ12">
        <v>1.1764705882352941E-2</v>
      </c>
      <c r="BR12">
        <v>2.3529411764705882E-2</v>
      </c>
      <c r="BS12">
        <v>0</v>
      </c>
      <c r="BT12">
        <v>0</v>
      </c>
      <c r="BU12">
        <v>0</v>
      </c>
      <c r="BV12">
        <v>0</v>
      </c>
      <c r="BW12">
        <v>0</v>
      </c>
      <c r="BX12">
        <v>0.11764705882352941</v>
      </c>
      <c r="BY12">
        <v>4.7058823529411764E-2</v>
      </c>
      <c r="BZ12">
        <v>4.7058823529411764E-2</v>
      </c>
      <c r="CA12">
        <v>1.1764705882352941E-2</v>
      </c>
      <c r="CB12">
        <v>4.7058823529411764E-2</v>
      </c>
      <c r="CC12">
        <v>85</v>
      </c>
      <c r="CD12">
        <v>79</v>
      </c>
      <c r="CE12">
        <v>4</v>
      </c>
      <c r="CF12">
        <v>0</v>
      </c>
      <c r="CG12">
        <v>4</v>
      </c>
      <c r="CH12">
        <v>3</v>
      </c>
      <c r="CI12">
        <v>1</v>
      </c>
      <c r="CJ12">
        <v>0</v>
      </c>
      <c r="CK12">
        <v>0.92941176470588238</v>
      </c>
      <c r="CL12">
        <v>4.7058823529411764E-2</v>
      </c>
      <c r="CM12">
        <v>0</v>
      </c>
      <c r="CN12">
        <v>0.75</v>
      </c>
      <c r="CO12">
        <v>0.25</v>
      </c>
      <c r="CP12">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三納地区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2399</v>
      </c>
      <c r="F6" s="256"/>
      <c r="G6" s="20" t="s">
        <v>54</v>
      </c>
    </row>
    <row r="7" spans="1:10" ht="22.5" customHeight="1" x14ac:dyDescent="0.15">
      <c r="A7" s="249">
        <f>管理者用グラフシート!B4</f>
        <v>2010</v>
      </c>
      <c r="B7" s="249"/>
      <c r="C7" s="82" t="s">
        <v>226</v>
      </c>
      <c r="D7" s="248">
        <f>E6-管理者用グラフシート!E4</f>
        <v>-589</v>
      </c>
      <c r="E7" s="248"/>
      <c r="F7" s="20" t="s">
        <v>356</v>
      </c>
    </row>
    <row r="8" spans="1:10" ht="22.5" customHeight="1" x14ac:dyDescent="0.15">
      <c r="A8" s="257" t="s">
        <v>380</v>
      </c>
      <c r="B8" s="257"/>
      <c r="C8" s="204">
        <f>管理者用グラフシート!C6-管理者用グラフシート!C4</f>
        <v>-273</v>
      </c>
      <c r="D8" s="207" t="s">
        <v>381</v>
      </c>
      <c r="F8" s="204">
        <f>管理者用グラフシート!D6-管理者用グラフシート!D4</f>
        <v>-316</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83</v>
      </c>
      <c r="G36" s="253"/>
      <c r="H36" s="20" t="s">
        <v>54</v>
      </c>
    </row>
    <row r="37" spans="1:9" ht="22.5" customHeight="1" x14ac:dyDescent="0.15">
      <c r="A37" s="20" t="s">
        <v>66</v>
      </c>
      <c r="F37" s="253">
        <f>管理者用グラフシート!C16</f>
        <v>45</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-36</v>
      </c>
      <c r="E40" s="248"/>
      <c r="F40" s="20" t="s">
        <v>60</v>
      </c>
    </row>
    <row r="41" spans="1:9" ht="22.5" customHeight="1" x14ac:dyDescent="0.15">
      <c r="B41" s="20" t="s">
        <v>69</v>
      </c>
      <c r="D41" s="248">
        <f>F37-管理者用グラフシート!C14</f>
        <v>-31</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1156</v>
      </c>
      <c r="D70" s="253"/>
      <c r="E70" s="20" t="s">
        <v>76</v>
      </c>
      <c r="F70" s="37"/>
      <c r="G70" s="252">
        <f>管理者用グラフシート!C32</f>
        <v>0.48</v>
      </c>
      <c r="H70" s="252"/>
      <c r="I70" s="20" t="s">
        <v>77</v>
      </c>
    </row>
    <row r="71" spans="1:9" ht="22.5" customHeight="1" x14ac:dyDescent="0.15">
      <c r="A71" s="20" t="s">
        <v>78</v>
      </c>
      <c r="C71" s="253">
        <f>管理者用グラフシート!C26</f>
        <v>624</v>
      </c>
      <c r="D71" s="253"/>
      <c r="E71" s="20" t="s">
        <v>76</v>
      </c>
      <c r="F71" s="37"/>
      <c r="G71" s="252">
        <f>管理者用グラフシート!C36</f>
        <v>0.26</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11ポイント上昇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-97</v>
      </c>
      <c r="G135" s="208" t="s">
        <v>386</v>
      </c>
      <c r="H135" s="111"/>
    </row>
    <row r="136" spans="1:8" ht="22.5" customHeight="1" x14ac:dyDescent="0.15">
      <c r="A136" s="35" t="s">
        <v>387</v>
      </c>
      <c r="C136" s="206">
        <f>SUM(管理者用グラフシート!B95:C96)-SUM(管理者用グラフシート!B47:C48)</f>
        <v>-75</v>
      </c>
      <c r="D136" s="20" t="s">
        <v>388</v>
      </c>
      <c r="E136" s="34"/>
      <c r="F136" s="206">
        <f>SUM(管理者用グラフシート!B97:C98)-SUM(管理者用グラフシート!B49:C50)</f>
        <v>-55</v>
      </c>
      <c r="G136" s="20" t="s">
        <v>386</v>
      </c>
    </row>
    <row r="137" spans="1:8" ht="18.75" x14ac:dyDescent="0.15">
      <c r="A137" s="20" t="s">
        <v>389</v>
      </c>
      <c r="C137" s="206">
        <f>SUM(管理者用グラフシート!B99:C100)-SUM(管理者用グラフシート!B51:C52)</f>
        <v>-211</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三納地区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1795</v>
      </c>
      <c r="E6" s="253"/>
      <c r="F6" s="20" t="s">
        <v>231</v>
      </c>
      <c r="H6" s="34"/>
      <c r="I6" s="34"/>
    </row>
    <row r="7" spans="1:9" ht="22.5" customHeight="1" x14ac:dyDescent="0.15">
      <c r="A7" s="249">
        <f>管理者入力シート!B5</f>
        <v>2020</v>
      </c>
      <c r="B7" s="249"/>
      <c r="C7" s="195" t="s">
        <v>362</v>
      </c>
      <c r="D7" s="248">
        <f>D6-現況シート!E6</f>
        <v>-604</v>
      </c>
      <c r="E7" s="248"/>
      <c r="F7" s="20" t="s">
        <v>232</v>
      </c>
      <c r="I7" s="34"/>
    </row>
    <row r="8" spans="1:9" ht="22.5" customHeight="1" x14ac:dyDescent="0.15">
      <c r="A8" s="257" t="s">
        <v>397</v>
      </c>
      <c r="B8" s="257"/>
      <c r="C8" s="206">
        <f>管理者用グラフシート!I8-管理者用グラフシート!C6</f>
        <v>-291</v>
      </c>
      <c r="D8" s="207" t="s">
        <v>398</v>
      </c>
      <c r="F8" s="258">
        <f>管理者用グラフシート!J8-管理者用グラフシート!D6</f>
        <v>-313</v>
      </c>
      <c r="G8" s="258"/>
      <c r="H8" s="20" t="s">
        <v>399</v>
      </c>
    </row>
    <row r="10" spans="1:9" ht="22.5" customHeight="1" x14ac:dyDescent="0.15">
      <c r="A10" s="249">
        <f>管理者入力シート!B11</f>
        <v>2040</v>
      </c>
      <c r="B10" s="249"/>
      <c r="C10" s="20" t="s">
        <v>361</v>
      </c>
      <c r="D10" s="253">
        <f>管理者用グラフシート!K10</f>
        <v>1274</v>
      </c>
      <c r="E10" s="253"/>
      <c r="F10" s="20" t="s">
        <v>231</v>
      </c>
      <c r="H10" s="34"/>
    </row>
    <row r="11" spans="1:9" ht="22.5" customHeight="1" x14ac:dyDescent="0.15">
      <c r="A11" s="249">
        <f>管理者入力シート!B5</f>
        <v>2020</v>
      </c>
      <c r="B11" s="249"/>
      <c r="C11" s="195" t="s">
        <v>362</v>
      </c>
      <c r="D11" s="248">
        <f>D10-現況シート!E6</f>
        <v>-1125</v>
      </c>
      <c r="E11" s="248"/>
      <c r="F11" s="20" t="s">
        <v>232</v>
      </c>
      <c r="H11" s="34"/>
    </row>
    <row r="12" spans="1:9" ht="22.5" customHeight="1" x14ac:dyDescent="0.15">
      <c r="A12" s="257" t="s">
        <v>397</v>
      </c>
      <c r="B12" s="257"/>
      <c r="C12" s="206">
        <f>管理者用グラフシート!I10-管理者用グラフシート!C6</f>
        <v>-542</v>
      </c>
      <c r="D12" s="207" t="s">
        <v>398</v>
      </c>
      <c r="F12" s="258">
        <f>管理者用グラフシート!J10-管理者用グラフシート!D6</f>
        <v>-583</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29</v>
      </c>
      <c r="G36" s="253"/>
      <c r="H36" s="82" t="s">
        <v>233</v>
      </c>
      <c r="I36" s="34"/>
    </row>
    <row r="37" spans="1:9" ht="22.5" customHeight="1" x14ac:dyDescent="0.15">
      <c r="A37" s="20" t="s">
        <v>234</v>
      </c>
      <c r="F37" s="253">
        <f>管理者用グラフシート!I28</f>
        <v>17</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-54</v>
      </c>
      <c r="G40" s="248"/>
      <c r="H40" s="35" t="s">
        <v>60</v>
      </c>
    </row>
    <row r="41" spans="1:9" ht="22.5" customHeight="1" x14ac:dyDescent="0.15">
      <c r="A41" s="20" t="s">
        <v>69</v>
      </c>
      <c r="C41" s="199">
        <f>管理者入力シート!B5</f>
        <v>2020</v>
      </c>
      <c r="D41" s="20" t="s">
        <v>374</v>
      </c>
      <c r="F41" s="248">
        <f>F37-現況シート!F37</f>
        <v>-28</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743</v>
      </c>
      <c r="D70" s="253"/>
      <c r="E70" s="82" t="s">
        <v>239</v>
      </c>
      <c r="F70" s="34"/>
      <c r="G70" s="252">
        <f>管理者用グラフシート!I56</f>
        <v>0.57999999999999996</v>
      </c>
      <c r="H70" s="252"/>
      <c r="I70" s="110" t="s">
        <v>240</v>
      </c>
    </row>
    <row r="71" spans="1:9" ht="22.5" customHeight="1" x14ac:dyDescent="0.15">
      <c r="A71" s="20" t="s">
        <v>241</v>
      </c>
      <c r="C71" s="253">
        <f>管理者用グラフシート!I46</f>
        <v>514</v>
      </c>
      <c r="D71" s="253"/>
      <c r="E71" s="20" t="s">
        <v>239</v>
      </c>
      <c r="G71" s="260">
        <f>管理者用グラフシート!I64</f>
        <v>0.4</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14ポイント上昇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-42</v>
      </c>
      <c r="H103" s="208" t="s">
        <v>60</v>
      </c>
    </row>
    <row r="104" spans="1:8" ht="22.5" customHeight="1" x14ac:dyDescent="0.15">
      <c r="A104" s="35" t="s">
        <v>387</v>
      </c>
      <c r="C104" s="206">
        <f>SUM(管理者用グラフシート!H99:I100)-SUM(管理者用グラフシート!B95:C96)</f>
        <v>-74</v>
      </c>
      <c r="D104" s="20" t="s">
        <v>423</v>
      </c>
      <c r="E104" s="34"/>
      <c r="G104" s="206">
        <f>SUM(管理者用グラフシート!H101:I102)-SUM(管理者用グラフシート!B97:C98)</f>
        <v>-75</v>
      </c>
      <c r="H104" s="20" t="s">
        <v>60</v>
      </c>
    </row>
    <row r="105" spans="1:8" ht="22.5" customHeight="1" x14ac:dyDescent="0.15">
      <c r="A105" s="20" t="s">
        <v>389</v>
      </c>
      <c r="C105" s="206">
        <f>SUM(管理者用グラフシート!H103:I104)-SUM(管理者用グラフシート!B99:C100)</f>
        <v>-43</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-64</v>
      </c>
      <c r="H137" s="208" t="s">
        <v>60</v>
      </c>
    </row>
    <row r="138" spans="1:8" ht="22.5" customHeight="1" x14ac:dyDescent="0.15">
      <c r="A138" s="35" t="s">
        <v>387</v>
      </c>
      <c r="C138" s="206">
        <f>SUM(管理者用グラフシート!H147:I148)-SUM(管理者用グラフシート!B95:C96)</f>
        <v>-106</v>
      </c>
      <c r="D138" s="20" t="s">
        <v>423</v>
      </c>
      <c r="E138" s="34"/>
      <c r="G138" s="206">
        <f>SUM(管理者用グラフシート!H149:I150)-SUM(管理者用グラフシート!B97:C98)</f>
        <v>-151</v>
      </c>
      <c r="H138" s="20" t="s">
        <v>60</v>
      </c>
    </row>
    <row r="139" spans="1:8" ht="22.5" customHeight="1" x14ac:dyDescent="0.15">
      <c r="A139" s="20" t="s">
        <v>389</v>
      </c>
      <c r="C139" s="206">
        <f>SUM(管理者用グラフシート!H151:I152)-SUM(管理者用グラフシート!B99:C100)</f>
        <v>-117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三納地区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2269</v>
      </c>
      <c r="I36" s="270"/>
    </row>
    <row r="37" spans="1:9" s="130" customFormat="1" ht="17.25" customHeight="1" x14ac:dyDescent="0.15">
      <c r="A37" s="165"/>
      <c r="B37" s="226" t="s">
        <v>5</v>
      </c>
      <c r="C37" s="227">
        <f>管理者用人口入力シート!DX1</f>
        <v>30</v>
      </c>
      <c r="D37" s="228">
        <f>C37</f>
        <v>30</v>
      </c>
      <c r="F37" s="162"/>
      <c r="G37" s="238">
        <f>管理者入力シート!B9</f>
        <v>2030</v>
      </c>
      <c r="H37" s="269">
        <f>管理者用人口入力シート!EU25</f>
        <v>2198</v>
      </c>
      <c r="I37" s="270"/>
    </row>
    <row r="38" spans="1:9" s="132" customFormat="1" ht="17.25" customHeight="1" x14ac:dyDescent="0.15">
      <c r="A38" s="160"/>
      <c r="B38" s="226" t="s">
        <v>6</v>
      </c>
      <c r="C38" s="227">
        <f>C37</f>
        <v>30</v>
      </c>
      <c r="D38" s="228">
        <f>C37</f>
        <v>30</v>
      </c>
      <c r="F38" s="162"/>
      <c r="G38" s="238">
        <f>管理者入力シート!B10</f>
        <v>2035</v>
      </c>
      <c r="H38" s="269">
        <f>管理者用人口入力シート!EU28</f>
        <v>2157</v>
      </c>
      <c r="I38" s="270"/>
    </row>
    <row r="39" spans="1:9" ht="17.25" customHeight="1" thickBot="1" x14ac:dyDescent="0.2">
      <c r="A39" s="166"/>
      <c r="B39" s="229" t="s">
        <v>7</v>
      </c>
      <c r="C39" s="230">
        <f>C37</f>
        <v>30</v>
      </c>
      <c r="D39" s="231">
        <f>C37</f>
        <v>30</v>
      </c>
      <c r="F39" s="162"/>
      <c r="G39" s="239">
        <f>管理者入力シート!B11</f>
        <v>2040</v>
      </c>
      <c r="H39" s="271">
        <f>管理者用人口入力シート!EU31</f>
        <v>2147</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1816</v>
      </c>
      <c r="E43" s="253"/>
      <c r="F43" s="20" t="s">
        <v>231</v>
      </c>
      <c r="H43" s="34"/>
      <c r="I43" s="34"/>
    </row>
    <row r="44" spans="1:9" ht="22.5" customHeight="1" x14ac:dyDescent="0.15">
      <c r="A44" s="249">
        <f>管理者入力シート!B11</f>
        <v>2040</v>
      </c>
      <c r="B44" s="249"/>
      <c r="C44" s="20" t="s">
        <v>417</v>
      </c>
      <c r="D44" s="253">
        <f>管理者用グラフシート!U10</f>
        <v>1311</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21</v>
      </c>
      <c r="E46" s="256"/>
      <c r="F46" s="20" t="s">
        <v>122</v>
      </c>
    </row>
    <row r="47" spans="1:9" ht="22.5" customHeight="1" x14ac:dyDescent="0.15">
      <c r="A47" s="249">
        <f>管理者入力シート!B11</f>
        <v>2040</v>
      </c>
      <c r="B47" s="249"/>
      <c r="C47" s="20" t="s">
        <v>418</v>
      </c>
      <c r="D47" s="256">
        <f>D44-将来予測シート①!D10</f>
        <v>37</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35</v>
      </c>
      <c r="G78" s="253"/>
      <c r="H78" s="82" t="s">
        <v>264</v>
      </c>
      <c r="I78" s="34"/>
    </row>
    <row r="79" spans="1:9" ht="22.5" customHeight="1" x14ac:dyDescent="0.15">
      <c r="A79" s="20" t="s">
        <v>234</v>
      </c>
      <c r="F79" s="253">
        <f>管理者用グラフシート!Q28</f>
        <v>20</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6</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743</v>
      </c>
      <c r="D112" s="253"/>
      <c r="E112" s="20" t="s">
        <v>270</v>
      </c>
      <c r="F112" s="36"/>
      <c r="G112" s="111">
        <f>管理者用グラフシート!Q56</f>
        <v>0.56999999999999995</v>
      </c>
      <c r="H112" s="82" t="s">
        <v>271</v>
      </c>
      <c r="I112" s="34"/>
    </row>
    <row r="113" spans="1:9" ht="22.5" customHeight="1" x14ac:dyDescent="0.15">
      <c r="A113" s="20" t="s">
        <v>268</v>
      </c>
      <c r="C113" s="253">
        <f>管理者用グラフシート!Q46</f>
        <v>514</v>
      </c>
      <c r="D113" s="253"/>
      <c r="E113" s="82" t="s">
        <v>270</v>
      </c>
      <c r="F113" s="34"/>
      <c r="G113" s="111">
        <f>管理者用グラフシート!Q64</f>
        <v>0.39</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三納地区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0.71732817037754115</v>
      </c>
      <c r="G7" s="280"/>
      <c r="H7" s="20" t="s">
        <v>282</v>
      </c>
    </row>
    <row r="8" spans="1:8" ht="22.5" customHeight="1" x14ac:dyDescent="0.15">
      <c r="A8" s="34" t="str">
        <f>管理者入力シート!B3</f>
        <v>西都市</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三納地区</v>
      </c>
      <c r="B11" s="255"/>
      <c r="C11" s="256">
        <f>管理者用地域特徴シート!D5</f>
        <v>1033</v>
      </c>
      <c r="D11" s="255"/>
      <c r="E11" s="20" t="s">
        <v>413</v>
      </c>
    </row>
    <row r="12" spans="1:8" ht="22.5" customHeight="1" x14ac:dyDescent="0.15">
      <c r="A12" s="255" t="str">
        <f>A8</f>
        <v>西都市</v>
      </c>
      <c r="B12" s="255"/>
      <c r="C12" s="256">
        <f>管理者用地域特徴シート!D4</f>
        <v>11744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0.25072604065827686</v>
      </c>
      <c r="H23" s="35" t="s">
        <v>286</v>
      </c>
    </row>
    <row r="24" spans="1:8" ht="22.5" customHeight="1" x14ac:dyDescent="0.15">
      <c r="A24" s="34" t="str">
        <f>管理者入力シート!B3</f>
        <v>西都市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0.185108153078203</v>
      </c>
      <c r="G37" s="280"/>
      <c r="H37" s="20" t="s">
        <v>286</v>
      </c>
    </row>
    <row r="38" spans="1:8" ht="22.5" customHeight="1" x14ac:dyDescent="0.15">
      <c r="A38" s="34" t="str">
        <f>管理者入力シート!B3</f>
        <v>西都市</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西都市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253</v>
      </c>
      <c r="F70" s="281"/>
      <c r="G70" s="20" t="s">
        <v>290</v>
      </c>
    </row>
    <row r="71" spans="1:8" ht="22.5" customHeight="1" x14ac:dyDescent="0.15">
      <c r="A71" s="20" t="s">
        <v>295</v>
      </c>
      <c r="F71" s="280">
        <f>管理者用地域特徴シート!AK5</f>
        <v>0.32806324110671936</v>
      </c>
      <c r="G71" s="280"/>
      <c r="H71" s="20" t="s">
        <v>271</v>
      </c>
    </row>
    <row r="72" spans="1:8" ht="22.5" customHeight="1" x14ac:dyDescent="0.15">
      <c r="A72" s="20" t="s">
        <v>296</v>
      </c>
      <c r="F72" s="280">
        <f>管理者用地域特徴シート!AL5</f>
        <v>0.13833992094861661</v>
      </c>
      <c r="G72" s="280"/>
      <c r="H72" s="20" t="s">
        <v>297</v>
      </c>
    </row>
    <row r="73" spans="1:8" ht="22.5" customHeight="1" x14ac:dyDescent="0.15">
      <c r="A73" s="20" t="s">
        <v>298</v>
      </c>
      <c r="E73" s="280"/>
      <c r="F73" s="280"/>
    </row>
    <row r="74" spans="1:8" ht="22.5" customHeight="1" x14ac:dyDescent="0.15">
      <c r="A74" s="20" t="s">
        <v>339</v>
      </c>
      <c r="C74" s="177">
        <f>管理者用地域特徴シート!AN5</f>
        <v>0.466403162055336</v>
      </c>
      <c r="D74" s="156" t="s">
        <v>299</v>
      </c>
      <c r="E74" s="177">
        <f>管理者用地域特徴シート!AO5</f>
        <v>0.53359683794466406</v>
      </c>
      <c r="F74" s="20" t="s">
        <v>291</v>
      </c>
    </row>
    <row r="76" spans="1:8" ht="22.5" customHeight="1" x14ac:dyDescent="0.15">
      <c r="A76" s="34" t="str">
        <f>管理者入力シート!B3</f>
        <v>西都市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0.68849706129303112</v>
      </c>
      <c r="D139" s="280"/>
      <c r="E139" s="20" t="s">
        <v>316</v>
      </c>
      <c r="F139" s="157" t="str">
        <f>管理者入力シート!B3</f>
        <v>西都市</v>
      </c>
      <c r="G139" s="158" t="s">
        <v>317</v>
      </c>
    </row>
    <row r="140" spans="1:8" ht="22.5" customHeight="1" x14ac:dyDescent="0.15">
      <c r="A140" s="20" t="s">
        <v>318</v>
      </c>
    </row>
    <row r="141" spans="1:8" ht="22.5" customHeight="1" x14ac:dyDescent="0.15">
      <c r="C141" s="280">
        <f>管理者用地域特徴シート!CN5</f>
        <v>0.56164383561643838</v>
      </c>
      <c r="D141" s="280"/>
      <c r="E141" s="20" t="s">
        <v>316</v>
      </c>
      <c r="F141" s="157" t="str">
        <f>管理者入力シート!B3</f>
        <v>西都市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B1" sqref="B1:B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3" t="s">
        <v>292</v>
      </c>
      <c r="B3" s="32" t="str">
        <f>管理者用地域特徴シート!B5</f>
        <v>西都市</v>
      </c>
    </row>
    <row r="4" spans="1:3" x14ac:dyDescent="0.15">
      <c r="A4" s="153" t="s">
        <v>24</v>
      </c>
      <c r="B4" s="154" t="str">
        <f>管理者用地域特徴シート!C5</f>
        <v>三納地区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activeCell="B1" sqref="B1:B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45208_4</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437</v>
      </c>
      <c r="DW1" s="312"/>
      <c r="DX1" s="307">
        <f>DW17</f>
        <v>30</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34</v>
      </c>
      <c r="E3" s="9">
        <v>54</v>
      </c>
      <c r="F3" s="9">
        <v>85</v>
      </c>
      <c r="G3" s="9">
        <v>79</v>
      </c>
      <c r="H3" s="9">
        <v>81</v>
      </c>
      <c r="I3" s="9">
        <v>67</v>
      </c>
      <c r="J3" s="9">
        <v>54</v>
      </c>
      <c r="K3" s="9">
        <v>61</v>
      </c>
      <c r="L3" s="9">
        <v>79</v>
      </c>
      <c r="M3" s="9">
        <v>121</v>
      </c>
      <c r="N3" s="9">
        <v>143</v>
      </c>
      <c r="O3" s="9">
        <v>151</v>
      </c>
      <c r="P3" s="9">
        <v>117</v>
      </c>
      <c r="Q3" s="9">
        <v>110</v>
      </c>
      <c r="R3" s="9">
        <v>124</v>
      </c>
      <c r="S3" s="9">
        <v>108</v>
      </c>
      <c r="T3" s="9">
        <v>45</v>
      </c>
      <c r="U3" s="9">
        <v>31</v>
      </c>
      <c r="V3" s="9">
        <v>10</v>
      </c>
      <c r="W3" s="9">
        <v>0</v>
      </c>
      <c r="X3" s="9">
        <v>0</v>
      </c>
      <c r="Y3" s="9">
        <f>SUM(D3:X3)</f>
        <v>1554</v>
      </c>
      <c r="Z3" s="9">
        <f>E3*3/5+F3*3/5</f>
        <v>83.4</v>
      </c>
      <c r="AA3" s="9">
        <f>F3*2/5+G3*1/5</f>
        <v>49.8</v>
      </c>
      <c r="AB3" s="9">
        <f t="shared" ref="AB3:AB20" si="0">SUM(Q3:X3)</f>
        <v>428</v>
      </c>
      <c r="AC3" s="9">
        <f>SUM(S3:X3)</f>
        <v>194</v>
      </c>
      <c r="AD3" s="13">
        <f>AB3/Y3</f>
        <v>0.2754182754182754</v>
      </c>
      <c r="AE3" s="13">
        <f>AC3/Y3</f>
        <v>0.12483912483912483</v>
      </c>
      <c r="AF3" s="9">
        <f>SUM(H3:K3)</f>
        <v>263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1.1826956304944474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0.89479995239506482</v>
      </c>
      <c r="AO3" s="6">
        <f t="shared" si="1"/>
        <v>0.82781966852283495</v>
      </c>
      <c r="AP3" s="6">
        <f t="shared" si="1"/>
        <v>0.68546055298288788</v>
      </c>
      <c r="AQ3" s="6">
        <f t="shared" si="1"/>
        <v>0.87773467375782122</v>
      </c>
      <c r="AR3" s="6">
        <f t="shared" si="1"/>
        <v>0.94928441321548973</v>
      </c>
      <c r="AS3" s="6">
        <f t="shared" si="1"/>
        <v>0.92480073234928495</v>
      </c>
      <c r="AT3" s="6">
        <f t="shared" si="1"/>
        <v>1.1194584187209047</v>
      </c>
      <c r="AU3" s="6">
        <f t="shared" si="1"/>
        <v>1.0742607142454139</v>
      </c>
      <c r="AV3" s="6">
        <f t="shared" si="1"/>
        <v>0.89200433822839709</v>
      </c>
      <c r="AW3" s="6">
        <f t="shared" si="1"/>
        <v>0.96572076597421974</v>
      </c>
      <c r="AX3" s="6">
        <f t="shared" si="1"/>
        <v>0.96113259481169588</v>
      </c>
      <c r="AY3" s="6">
        <f t="shared" si="1"/>
        <v>1.0178334197396359</v>
      </c>
      <c r="AZ3" s="6">
        <f t="shared" si="1"/>
        <v>0.90547246067728981</v>
      </c>
      <c r="BA3" s="6">
        <f t="shared" si="1"/>
        <v>0.79255346262358684</v>
      </c>
      <c r="BB3" s="6">
        <f t="shared" si="1"/>
        <v>0.85865833294758631</v>
      </c>
      <c r="BC3" s="6">
        <f t="shared" si="1"/>
        <v>0.6960063338127398</v>
      </c>
      <c r="BD3" s="6">
        <f t="shared" si="1"/>
        <v>0.492090006071212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0.50191213368034548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0.25084883514959</v>
      </c>
      <c r="BH3" s="7" t="str">
        <f>BI3&amp;"_"&amp;IF(BJ3="男性",1,IF(BJ3="女性",2,IF(BJ3="合計",3)))</f>
        <v>2025_1</v>
      </c>
      <c r="BI3" s="28">
        <f>管理者入力シート!B8</f>
        <v>2025</v>
      </c>
      <c r="BJ3" s="3" t="s">
        <v>21</v>
      </c>
      <c r="BK3" s="9">
        <f>CM4*AK$13</f>
        <v>19.137248655287021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25.990432670065612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31.408830062205325</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27.628950584548456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18.723333563814709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22.264078986793688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26.429009089762378</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31.793992928108604</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51.882211780692963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56.450237508221441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59.095360129455663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47.864883329125597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76.886234545242615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112.36517740135722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129.29067956595608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102.72912056000706</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63.406630244986104</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46.998723643462945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24.861656698202719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8.4017758947661321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6.370577482970266E-2</v>
      </c>
      <c r="CF3" s="9">
        <f t="shared" ref="CF3:CF14" si="2">SUM(BK3:CE3)</f>
        <v>983.6722736168922</v>
      </c>
      <c r="CG3" s="9">
        <f>BL3*3/5+BM3*3/5</f>
        <v>34.439557639362562</v>
      </c>
      <c r="CH3" s="9">
        <f>BM3*2/5+BN3*1/5</f>
        <v>18.089322141791822</v>
      </c>
      <c r="CI3" s="9">
        <f t="shared" ref="CI3:CI14" si="3">SUM(BX3:CE3)</f>
        <v>488.11746978356791</v>
      </c>
      <c r="CJ3" s="9">
        <f>SUM(BZ3:CE3)</f>
        <v>246.46161281625467</v>
      </c>
      <c r="CK3" s="13">
        <f>CI3/CF3</f>
        <v>0.49621960776508939</v>
      </c>
      <c r="CL3" s="13">
        <f>CJ3/CF3</f>
        <v>0.25055256656775843</v>
      </c>
      <c r="CM3" s="9">
        <f>SUM(BO3:BR3)</f>
        <v>99.210414568479379</v>
      </c>
      <c r="CO3" s="7" t="str">
        <f>CP3&amp;"_"&amp;IF(CQ3="男性",1,IF(CQ3="女性",2,IF(CQ3="合計",3)))</f>
        <v>2025_1</v>
      </c>
      <c r="CP3" s="28">
        <f>管理者入力シート!B8</f>
        <v>2025</v>
      </c>
      <c r="CQ3" s="3" t="s">
        <v>21</v>
      </c>
      <c r="CR3" s="9">
        <f>BK3+将来予測シート②!$G17</f>
        <v>20.137248655287021</v>
      </c>
      <c r="CS3" s="9">
        <f>BL3+将来予測シート②!$G18</f>
        <v>25.990432670065612</v>
      </c>
      <c r="CT3" s="9">
        <f>BM3+将来予測シート②!$G19</f>
        <v>32.408830062205325</v>
      </c>
      <c r="CU3" s="9">
        <f>BN3+将来予測シート②!$G20</f>
        <v>27.628950584548456</v>
      </c>
      <c r="CV3" s="9">
        <f>BO3+将来予測シート②!$G21</f>
        <v>18.723333563814709</v>
      </c>
      <c r="CW3" s="9">
        <f>BP3+将来予測シート②!$G22</f>
        <v>24.264078986793688</v>
      </c>
      <c r="CX3" s="9">
        <f>BQ3+将来予測シート②!$G23</f>
        <v>26.429009089762378</v>
      </c>
      <c r="CY3" s="9">
        <f>BR3+将来予測シート②!$G24</f>
        <v>31.793992928108604</v>
      </c>
      <c r="CZ3" s="9">
        <f>BS3+将来予測シート②!$G25</f>
        <v>51.882211780692963</v>
      </c>
      <c r="DA3" s="9">
        <f>BT3+将来予測シート②!$G26</f>
        <v>56.450237508221441</v>
      </c>
      <c r="DB3" s="9">
        <f>BU3+将来予測シート②!$G27</f>
        <v>59.095360129455663</v>
      </c>
      <c r="DC3" s="9">
        <f>BV3+将来予測シート②!$G28</f>
        <v>47.864883329125597</v>
      </c>
      <c r="DD3" s="9">
        <f>BW3+将来予測シート②!$G29</f>
        <v>76.886234545242615</v>
      </c>
      <c r="DE3" s="9">
        <f>BX3</f>
        <v>112.36517740135722</v>
      </c>
      <c r="DF3" s="9">
        <f t="shared" ref="DF3:DL3" si="4">BY3</f>
        <v>129.29067956595608</v>
      </c>
      <c r="DG3" s="9">
        <f t="shared" si="4"/>
        <v>102.72912056000706</v>
      </c>
      <c r="DH3" s="9">
        <f t="shared" si="4"/>
        <v>63.406630244986104</v>
      </c>
      <c r="DI3" s="9">
        <f t="shared" si="4"/>
        <v>46.998723643462945</v>
      </c>
      <c r="DJ3" s="9">
        <f t="shared" si="4"/>
        <v>24.861656698202719</v>
      </c>
      <c r="DK3" s="9">
        <f t="shared" si="4"/>
        <v>8.4017758947661321</v>
      </c>
      <c r="DL3" s="9">
        <f t="shared" si="4"/>
        <v>6.370577482970266E-2</v>
      </c>
      <c r="DM3" s="9">
        <f t="shared" ref="DM3:DM4" si="5">SUM(CR3:DL3)</f>
        <v>987.6722736168922</v>
      </c>
      <c r="DN3" s="9">
        <f>CS3*3/5+CT3*3/5</f>
        <v>35.039557639362563</v>
      </c>
      <c r="DO3" s="9">
        <f>CT3*2/5+CU3*1/5</f>
        <v>18.489322141791824</v>
      </c>
      <c r="DP3" s="9">
        <f t="shared" ref="DP3:DP14" si="6">SUM(DE3:DL3)</f>
        <v>488.11746978356791</v>
      </c>
      <c r="DQ3" s="9">
        <f>SUM(DG3:DL3)</f>
        <v>246.46161281625467</v>
      </c>
      <c r="DR3" s="13">
        <f>DP3/DM3</f>
        <v>0.49420995488317576</v>
      </c>
      <c r="DS3" s="13">
        <f>DQ3/DM3</f>
        <v>0.24953784711775209</v>
      </c>
      <c r="DT3" s="9">
        <f>SUM(CV3:CY3)</f>
        <v>101.21041456847938</v>
      </c>
      <c r="DV3" s="311"/>
      <c r="DW3" s="312"/>
      <c r="DX3" s="28">
        <f>管理者入力シート!B8</f>
        <v>2025</v>
      </c>
      <c r="DY3" s="3" t="s">
        <v>21</v>
      </c>
      <c r="DZ3" s="9">
        <f>BK$3</f>
        <v>19.137248655287021</v>
      </c>
      <c r="EA3" s="9">
        <f>BL$3</f>
        <v>25.990432670065612</v>
      </c>
      <c r="EB3" s="9">
        <f t="shared" ref="EB3:ED3" si="7">BM$3</f>
        <v>31.408830062205325</v>
      </c>
      <c r="EC3" s="9">
        <f t="shared" si="7"/>
        <v>27.628950584548456</v>
      </c>
      <c r="ED3" s="9">
        <f t="shared" si="7"/>
        <v>18.723333563814709</v>
      </c>
      <c r="EE3" s="9">
        <f>BP$3+DX1</f>
        <v>52.264078986793692</v>
      </c>
      <c r="EF3" s="9">
        <f>BQ$3+DX1</f>
        <v>56.429009089762374</v>
      </c>
      <c r="EG3" s="9">
        <f>BR$3+DX1</f>
        <v>61.793992928108608</v>
      </c>
      <c r="EH3" s="9">
        <f t="shared" ref="EH3:ET3" si="8">BS$3</f>
        <v>51.882211780692963</v>
      </c>
      <c r="EI3" s="9">
        <f t="shared" si="8"/>
        <v>56.450237508221441</v>
      </c>
      <c r="EJ3" s="9">
        <f t="shared" si="8"/>
        <v>59.095360129455663</v>
      </c>
      <c r="EK3" s="9">
        <f t="shared" si="8"/>
        <v>47.864883329125597</v>
      </c>
      <c r="EL3" s="9">
        <f t="shared" si="8"/>
        <v>76.886234545242615</v>
      </c>
      <c r="EM3" s="9">
        <f t="shared" si="8"/>
        <v>112.36517740135722</v>
      </c>
      <c r="EN3" s="9">
        <f t="shared" si="8"/>
        <v>129.29067956595608</v>
      </c>
      <c r="EO3" s="9">
        <f t="shared" si="8"/>
        <v>102.72912056000706</v>
      </c>
      <c r="EP3" s="9">
        <f t="shared" si="8"/>
        <v>63.406630244986104</v>
      </c>
      <c r="EQ3" s="9">
        <f t="shared" si="8"/>
        <v>46.998723643462945</v>
      </c>
      <c r="ER3" s="9">
        <f t="shared" si="8"/>
        <v>24.861656698202719</v>
      </c>
      <c r="ES3" s="9">
        <f t="shared" si="8"/>
        <v>8.4017758947661321</v>
      </c>
      <c r="ET3" s="9">
        <f t="shared" si="8"/>
        <v>6.370577482970266E-2</v>
      </c>
      <c r="EU3" s="9">
        <f t="shared" ref="EU3:EU4" si="9">SUM(DZ3:ET3)</f>
        <v>1073.6722736168922</v>
      </c>
      <c r="EV3" s="9">
        <f>EA3*3/5+EB3*3/5</f>
        <v>34.439557639362562</v>
      </c>
      <c r="EW3" s="9">
        <f>EB3*2/5+EC3*1/5</f>
        <v>18.089322141791822</v>
      </c>
      <c r="EX3" s="9">
        <f t="shared" ref="EX3:EX14" si="10">SUM(EM3:ET3)</f>
        <v>488.11746978356791</v>
      </c>
      <c r="EY3" s="9">
        <f>SUM(EO3:ET3)</f>
        <v>246.46161281625467</v>
      </c>
      <c r="EZ3" s="13">
        <f>EX3/EU3</f>
        <v>0.45462426643396586</v>
      </c>
      <c r="FA3" s="13">
        <f>EY3/EU3</f>
        <v>0.22955013263590815</v>
      </c>
      <c r="FB3" s="9">
        <f>SUM(ED3:EG3)</f>
        <v>189.21041456847939</v>
      </c>
    </row>
    <row r="4" spans="1:158" x14ac:dyDescent="0.15">
      <c r="A4" s="7" t="str">
        <f t="shared" ref="A4:A14" si="11">B4&amp;"_"&amp;IF(C4="男性",1,IF(C4="女性",2,IF(C4="合計",3)))</f>
        <v>2005_2</v>
      </c>
      <c r="B4" s="29">
        <v>2005</v>
      </c>
      <c r="C4" s="4" t="s">
        <v>22</v>
      </c>
      <c r="D4" s="10">
        <v>36</v>
      </c>
      <c r="E4" s="10">
        <v>62</v>
      </c>
      <c r="F4" s="10">
        <v>91</v>
      </c>
      <c r="G4" s="10">
        <v>83</v>
      </c>
      <c r="H4" s="10">
        <v>54</v>
      </c>
      <c r="I4" s="10">
        <v>60</v>
      </c>
      <c r="J4" s="10">
        <v>61</v>
      </c>
      <c r="K4" s="10">
        <v>58</v>
      </c>
      <c r="L4" s="10">
        <v>92</v>
      </c>
      <c r="M4" s="10">
        <v>104</v>
      </c>
      <c r="N4" s="10">
        <v>136</v>
      </c>
      <c r="O4" s="10">
        <v>123</v>
      </c>
      <c r="P4" s="10">
        <v>118</v>
      </c>
      <c r="Q4" s="10">
        <v>137</v>
      </c>
      <c r="R4" s="10">
        <v>156</v>
      </c>
      <c r="S4" s="10">
        <v>154</v>
      </c>
      <c r="T4" s="10">
        <v>84</v>
      </c>
      <c r="U4" s="10">
        <v>57</v>
      </c>
      <c r="V4" s="10">
        <v>24</v>
      </c>
      <c r="W4" s="10">
        <v>7</v>
      </c>
      <c r="X4" s="10">
        <v>0</v>
      </c>
      <c r="Y4" s="10">
        <f>SUM(D4:X4)</f>
        <v>1697</v>
      </c>
      <c r="Z4" s="10">
        <f t="shared" ref="Z4:Z11" si="12">E4*3/5+F4*3/5</f>
        <v>91.800000000000011</v>
      </c>
      <c r="AA4" s="10">
        <f t="shared" ref="AA4:AA11" si="13">F4*2/5+G4*1/5</f>
        <v>53</v>
      </c>
      <c r="AB4" s="10">
        <f t="shared" si="0"/>
        <v>619</v>
      </c>
      <c r="AC4" s="10">
        <f t="shared" ref="AC4:AC11" si="14">SUM(S4:X4)</f>
        <v>326</v>
      </c>
      <c r="AD4" s="14">
        <f t="shared" ref="AD4:AD11" si="15">AB4/Y4</f>
        <v>0.36476134354743667</v>
      </c>
      <c r="AE4" s="14">
        <f t="shared" ref="AE4:AE11" si="16">AC4/Y4</f>
        <v>0.19210371243370655</v>
      </c>
      <c r="AF4" s="10">
        <f t="shared" ref="AF4:AF20" si="17">SUM(H4:K4)</f>
        <v>233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1.1491698595146871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1.0526967285587976</v>
      </c>
      <c r="AO4" s="193">
        <f t="shared" si="18"/>
        <v>0.93445721583652619</v>
      </c>
      <c r="AP4" s="193">
        <f t="shared" si="18"/>
        <v>0.54956051386071669</v>
      </c>
      <c r="AQ4" s="193">
        <f t="shared" si="18"/>
        <v>0.52159961685823752</v>
      </c>
      <c r="AR4" s="193">
        <f t="shared" si="18"/>
        <v>0.7688318631381984</v>
      </c>
      <c r="AS4" s="193">
        <f t="shared" si="18"/>
        <v>1.0569604086845468</v>
      </c>
      <c r="AT4" s="193">
        <f t="shared" si="18"/>
        <v>0.94207798061753434</v>
      </c>
      <c r="AU4" s="193">
        <f t="shared" si="18"/>
        <v>1.0168462643678162</v>
      </c>
      <c r="AV4" s="193">
        <f t="shared" si="18"/>
        <v>1.0941251596424011</v>
      </c>
      <c r="AW4" s="193">
        <f t="shared" si="18"/>
        <v>1.0127969348659005</v>
      </c>
      <c r="AX4" s="193">
        <f t="shared" si="18"/>
        <v>0.99173715029277809</v>
      </c>
      <c r="AY4" s="193">
        <f t="shared" si="18"/>
        <v>1.0389442315879096</v>
      </c>
      <c r="AZ4" s="193">
        <f t="shared" si="18"/>
        <v>0.96048615036743923</v>
      </c>
      <c r="BA4" s="193">
        <f t="shared" si="18"/>
        <v>0.87519933726830279</v>
      </c>
      <c r="BB4" s="193">
        <f t="shared" si="18"/>
        <v>0.83483106931382789</v>
      </c>
      <c r="BC4" s="193">
        <f t="shared" si="18"/>
        <v>0.80165517241379303</v>
      </c>
      <c r="BD4" s="193">
        <f t="shared" si="18"/>
        <v>0.56114942528735634</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0.54743991640543366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13.719842750024618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21.665043839375603</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33.35139132077137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34.369896395388103</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24.773850859104485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17.581305839031366</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20.32454318432724</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31.871336859732608</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38.795436037586441</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49.371905150907047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65.569845668960809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61.217400843248804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91.112437199570252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106.28393820504276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134.46338898050757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110.46373338828101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81.851303455963503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86.204648713150206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57.115819887650183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28.42610743949222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0.47239192275353853</v>
      </c>
      <c r="CF4" s="10">
        <f t="shared" si="2"/>
        <v>1109.0055679408697</v>
      </c>
      <c r="CG4" s="10">
        <f t="shared" ref="CG4:CG14" si="20">BL4*3/5+BM4*3/5</f>
        <v>33.009861096088187</v>
      </c>
      <c r="CH4" s="10">
        <f t="shared" ref="CH4:CH14" si="21">BM4*2/5+BN4*1/5</f>
        <v>20.21453580738617</v>
      </c>
      <c r="CI4" s="10">
        <f t="shared" si="3"/>
        <v>605.28133199284093</v>
      </c>
      <c r="CJ4" s="10">
        <f t="shared" ref="CJ4:CJ14" si="22">SUM(BZ4:CE4)</f>
        <v>364.53400480729067</v>
      </c>
      <c r="CK4" s="14">
        <f t="shared" ref="CK4:CK14" si="23">CI4/CF4</f>
        <v>0.545787459946381</v>
      </c>
      <c r="CL4" s="14">
        <f t="shared" ref="CL4:CL14" si="24">CJ4/CF4</f>
        <v>0.3287034937832945</v>
      </c>
      <c r="CM4" s="10">
        <f t="shared" ref="CM4:CM14" si="25">SUM(BO4:BR4)</f>
        <v>94.551036742195691</v>
      </c>
      <c r="CO4" s="7" t="str">
        <f t="shared" ref="CO4:CO20" si="26">CP4&amp;"_"&amp;IF(CQ4="男性",1,IF(CQ4="女性",2,IF(CQ4="合計",3)))</f>
        <v>2025_2</v>
      </c>
      <c r="CP4" s="29">
        <f>CP3</f>
        <v>2025</v>
      </c>
      <c r="CQ4" s="4" t="s">
        <v>22</v>
      </c>
      <c r="CR4" s="10">
        <f>BK4+将来予測シート②!$H17</f>
        <v>14.719842750024618</v>
      </c>
      <c r="CS4" s="10">
        <f>BL4+将来予測シート②!$H18</f>
        <v>21.665043839375603</v>
      </c>
      <c r="CT4" s="10">
        <f>BM4+将来予測シート②!$H19</f>
        <v>34.35139132077137</v>
      </c>
      <c r="CU4" s="10">
        <f>BN4+将来予測シート②!$H20</f>
        <v>34.369896395388103</v>
      </c>
      <c r="CV4" s="10">
        <f>BO4+将来予測シート②!$H21</f>
        <v>24.773850859104485</v>
      </c>
      <c r="CW4" s="10">
        <f>BP4+将来予測シート②!$H22</f>
        <v>19.581305839031366</v>
      </c>
      <c r="CX4" s="10">
        <f>BQ4+将来予測シート②!$H23</f>
        <v>20.32454318432724</v>
      </c>
      <c r="CY4" s="10">
        <f>BR4+将来予測シート②!$H24</f>
        <v>31.871336859732608</v>
      </c>
      <c r="CZ4" s="10">
        <f>BS4+将来予測シート②!$H25</f>
        <v>39.795436037586441</v>
      </c>
      <c r="DA4" s="10">
        <f>BT4+将来予測シート②!$H26</f>
        <v>49.371905150907047</v>
      </c>
      <c r="DB4" s="10">
        <f>BU4+将来予測シート②!$H27</f>
        <v>65.569845668960809</v>
      </c>
      <c r="DC4" s="10">
        <f>BV4+将来予測シート②!$H28</f>
        <v>61.217400843248804</v>
      </c>
      <c r="DD4" s="10">
        <f>BW4+将来予測シート②!$H29</f>
        <v>91.112437199570252</v>
      </c>
      <c r="DE4" s="10">
        <f>BX4</f>
        <v>106.28393820504276</v>
      </c>
      <c r="DF4" s="10">
        <f t="shared" ref="DF4" si="27">BY4</f>
        <v>134.46338898050757</v>
      </c>
      <c r="DG4" s="10">
        <f t="shared" ref="DG4" si="28">BZ4</f>
        <v>110.46373338828101</v>
      </c>
      <c r="DH4" s="10">
        <f t="shared" ref="DH4" si="29">CA4</f>
        <v>81.851303455963503</v>
      </c>
      <c r="DI4" s="10">
        <f t="shared" ref="DI4" si="30">CB4</f>
        <v>86.204648713150206</v>
      </c>
      <c r="DJ4" s="10">
        <f t="shared" ref="DJ4" si="31">CC4</f>
        <v>57.115819887650183</v>
      </c>
      <c r="DK4" s="10">
        <f t="shared" ref="DK4" si="32">CD4</f>
        <v>28.42610743949222</v>
      </c>
      <c r="DL4" s="10">
        <f t="shared" ref="DL4" si="33">CE4</f>
        <v>0.47239192275353853</v>
      </c>
      <c r="DM4" s="10">
        <f t="shared" si="5"/>
        <v>1114.0055679408695</v>
      </c>
      <c r="DN4" s="10">
        <f t="shared" ref="DN4:DN14" si="34">CS4*3/5+CT4*3/5</f>
        <v>33.609861096088181</v>
      </c>
      <c r="DO4" s="10">
        <f t="shared" ref="DO4:DO14" si="35">CT4*2/5+CU4*1/5</f>
        <v>20.614535807386169</v>
      </c>
      <c r="DP4" s="10">
        <f t="shared" si="6"/>
        <v>605.28133199284093</v>
      </c>
      <c r="DQ4" s="10">
        <f t="shared" ref="DQ4:DQ14" si="36">SUM(DG4:DL4)</f>
        <v>364.53400480729067</v>
      </c>
      <c r="DR4" s="14">
        <f t="shared" ref="DR4:DR14" si="37">DP4/DM4</f>
        <v>0.54333779777388758</v>
      </c>
      <c r="DS4" s="14">
        <f t="shared" ref="DS4:DS14" si="38">DQ4/DM4</f>
        <v>0.32722817129280257</v>
      </c>
      <c r="DT4" s="10">
        <f>SUM(CV4:CY4)</f>
        <v>96.551036742195706</v>
      </c>
      <c r="DV4" s="311"/>
      <c r="DW4" s="312"/>
      <c r="DX4" s="29">
        <f>DX3</f>
        <v>2025</v>
      </c>
      <c r="DY4" s="4" t="s">
        <v>22</v>
      </c>
      <c r="DZ4" s="10">
        <f>BK$4</f>
        <v>13.719842750024618</v>
      </c>
      <c r="EA4" s="10">
        <f>BL$4</f>
        <v>21.665043839375603</v>
      </c>
      <c r="EB4" s="10">
        <f t="shared" ref="EB4:ED4" si="39">BM$4</f>
        <v>33.35139132077137</v>
      </c>
      <c r="EC4" s="10">
        <f t="shared" si="39"/>
        <v>34.369896395388103</v>
      </c>
      <c r="ED4" s="10">
        <f t="shared" si="39"/>
        <v>24.773850859104485</v>
      </c>
      <c r="EE4" s="10">
        <f>BP$4+DX1</f>
        <v>47.581305839031366</v>
      </c>
      <c r="EF4" s="10">
        <f>BQ$4+DX1</f>
        <v>50.32454318432724</v>
      </c>
      <c r="EG4" s="10">
        <f>BR$4+DX1</f>
        <v>61.871336859732608</v>
      </c>
      <c r="EH4" s="10">
        <f t="shared" ref="EH4:ET4" si="40">BS$4</f>
        <v>38.795436037586441</v>
      </c>
      <c r="EI4" s="10">
        <f t="shared" si="40"/>
        <v>49.371905150907047</v>
      </c>
      <c r="EJ4" s="10">
        <f t="shared" si="40"/>
        <v>65.569845668960809</v>
      </c>
      <c r="EK4" s="10">
        <f t="shared" si="40"/>
        <v>61.217400843248804</v>
      </c>
      <c r="EL4" s="10">
        <f t="shared" si="40"/>
        <v>91.112437199570252</v>
      </c>
      <c r="EM4" s="10">
        <f t="shared" si="40"/>
        <v>106.28393820504276</v>
      </c>
      <c r="EN4" s="10">
        <f t="shared" si="40"/>
        <v>134.46338898050757</v>
      </c>
      <c r="EO4" s="10">
        <f t="shared" si="40"/>
        <v>110.46373338828101</v>
      </c>
      <c r="EP4" s="10">
        <f t="shared" si="40"/>
        <v>81.851303455963503</v>
      </c>
      <c r="EQ4" s="10">
        <f t="shared" si="40"/>
        <v>86.204648713150206</v>
      </c>
      <c r="ER4" s="10">
        <f t="shared" si="40"/>
        <v>57.115819887650183</v>
      </c>
      <c r="ES4" s="10">
        <f t="shared" si="40"/>
        <v>28.42610743949222</v>
      </c>
      <c r="ET4" s="10">
        <f t="shared" si="40"/>
        <v>0.47239192275353853</v>
      </c>
      <c r="EU4" s="10">
        <f t="shared" si="9"/>
        <v>1199.0055679408697</v>
      </c>
      <c r="EV4" s="10">
        <f t="shared" ref="EV4:EV14" si="41">EA4*3/5+EB4*3/5</f>
        <v>33.009861096088187</v>
      </c>
      <c r="EW4" s="10">
        <f t="shared" ref="EW4:EW14" si="42">EB4*2/5+EC4*1/5</f>
        <v>20.21453580738617</v>
      </c>
      <c r="EX4" s="10">
        <f t="shared" si="10"/>
        <v>605.28133199284093</v>
      </c>
      <c r="EY4" s="10">
        <f t="shared" ref="EY4:EY14" si="43">SUM(EO4:ET4)</f>
        <v>364.53400480729067</v>
      </c>
      <c r="EZ4" s="14">
        <f t="shared" ref="EZ4:EZ14" si="44">EX4/EU4</f>
        <v>0.5048194505321022</v>
      </c>
      <c r="FA4" s="14">
        <f t="shared" ref="FA4:FA14" si="45">EY4/EU4</f>
        <v>0.30403028522488734</v>
      </c>
      <c r="FB4" s="10">
        <f>SUM(ED4:EG4)</f>
        <v>184.55103674219572</v>
      </c>
    </row>
    <row r="5" spans="1:158" x14ac:dyDescent="0.15">
      <c r="A5" s="7" t="str">
        <f t="shared" si="11"/>
        <v>2005_3</v>
      </c>
      <c r="B5" s="30">
        <v>2005</v>
      </c>
      <c r="C5" s="5" t="s">
        <v>23</v>
      </c>
      <c r="D5" s="11">
        <v>70</v>
      </c>
      <c r="E5" s="11">
        <v>116</v>
      </c>
      <c r="F5" s="11">
        <v>176</v>
      </c>
      <c r="G5" s="11">
        <v>162</v>
      </c>
      <c r="H5" s="11">
        <v>135</v>
      </c>
      <c r="I5" s="11">
        <v>127</v>
      </c>
      <c r="J5" s="11">
        <v>115</v>
      </c>
      <c r="K5" s="11">
        <v>119</v>
      </c>
      <c r="L5" s="11">
        <v>171</v>
      </c>
      <c r="M5" s="11">
        <v>225</v>
      </c>
      <c r="N5" s="11">
        <v>279</v>
      </c>
      <c r="O5" s="11">
        <v>274</v>
      </c>
      <c r="P5" s="11">
        <v>235</v>
      </c>
      <c r="Q5" s="11">
        <v>247</v>
      </c>
      <c r="R5" s="11">
        <v>280</v>
      </c>
      <c r="S5" s="11">
        <v>262</v>
      </c>
      <c r="T5" s="11">
        <v>129</v>
      </c>
      <c r="U5" s="11">
        <v>88</v>
      </c>
      <c r="V5" s="11">
        <v>34</v>
      </c>
      <c r="W5" s="11">
        <v>7</v>
      </c>
      <c r="X5" s="11">
        <v>0</v>
      </c>
      <c r="Y5" s="11">
        <f>SUM(D5:X5)</f>
        <v>3251</v>
      </c>
      <c r="Z5" s="11">
        <f t="shared" si="12"/>
        <v>175.2</v>
      </c>
      <c r="AA5" s="11">
        <f t="shared" si="13"/>
        <v>102.80000000000001</v>
      </c>
      <c r="AB5" s="11">
        <f t="shared" si="0"/>
        <v>1047</v>
      </c>
      <c r="AC5" s="11">
        <f t="shared" si="14"/>
        <v>520</v>
      </c>
      <c r="AD5" s="15">
        <f t="shared" si="15"/>
        <v>0.32205475238388187</v>
      </c>
      <c r="AE5" s="15">
        <f t="shared" si="16"/>
        <v>0.15995078437403876</v>
      </c>
      <c r="AF5" s="11">
        <f t="shared" si="17"/>
        <v>496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0.90419331107464207</v>
      </c>
      <c r="AN5" s="6">
        <f t="shared" si="1"/>
        <v>1.0018561484918793</v>
      </c>
      <c r="AO5" s="6">
        <f t="shared" si="1"/>
        <v>0.83801316350205979</v>
      </c>
      <c r="AP5" s="6">
        <f t="shared" si="1"/>
        <v>0.46470964053935909</v>
      </c>
      <c r="AQ5" s="6">
        <f t="shared" si="1"/>
        <v>0.71283241120828122</v>
      </c>
      <c r="AR5" s="6">
        <f t="shared" si="1"/>
        <v>0.92891794979962028</v>
      </c>
      <c r="AS5" s="6">
        <f t="shared" si="1"/>
        <v>0.88281096386015967</v>
      </c>
      <c r="AT5" s="6">
        <f t="shared" si="1"/>
        <v>1.0770914503348947</v>
      </c>
      <c r="AU5" s="6">
        <f t="shared" si="1"/>
        <v>0.87250205822917448</v>
      </c>
      <c r="AV5" s="6">
        <f t="shared" si="1"/>
        <v>1.0410306508731224</v>
      </c>
      <c r="AW5" s="6">
        <f t="shared" si="1"/>
        <v>1.0189015121209697</v>
      </c>
      <c r="AX5" s="6">
        <f t="shared" si="1"/>
        <v>1.0535533213027413</v>
      </c>
      <c r="AY5" s="6">
        <f t="shared" si="1"/>
        <v>0.96125757174667936</v>
      </c>
      <c r="AZ5" s="6">
        <f t="shared" si="1"/>
        <v>0.88089713843774164</v>
      </c>
      <c r="BA5" s="6">
        <f t="shared" si="1"/>
        <v>0.7916915257982543</v>
      </c>
      <c r="BB5" s="6">
        <f t="shared" si="1"/>
        <v>0.8235574733829174</v>
      </c>
      <c r="BC5" s="6">
        <f t="shared" si="1"/>
        <v>0.62291324769396184</v>
      </c>
      <c r="BD5" s="6">
        <f t="shared" si="1"/>
        <v>0.33391337973704566</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0.2226089198246971</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32.857091405311635</v>
      </c>
      <c r="BL5" s="16">
        <f t="shared" ref="BL5:CE5" si="46">BL3+BL4</f>
        <v>47.655476509441215</v>
      </c>
      <c r="BM5" s="16">
        <f t="shared" si="46"/>
        <v>64.760221382976695</v>
      </c>
      <c r="BN5" s="16">
        <f t="shared" si="46"/>
        <v>61.998846979936559</v>
      </c>
      <c r="BO5" s="16">
        <f t="shared" si="46"/>
        <v>43.49718442291919</v>
      </c>
      <c r="BP5" s="16">
        <f t="shared" si="46"/>
        <v>39.84538482582505</v>
      </c>
      <c r="BQ5" s="16">
        <f t="shared" si="46"/>
        <v>46.753552274089614</v>
      </c>
      <c r="BR5" s="16">
        <f t="shared" si="46"/>
        <v>63.665329787841216</v>
      </c>
      <c r="BS5" s="16">
        <f t="shared" si="46"/>
        <v>90.677647818279411</v>
      </c>
      <c r="BT5" s="16">
        <f t="shared" si="46"/>
        <v>105.82214265912849</v>
      </c>
      <c r="BU5" s="16">
        <f t="shared" si="46"/>
        <v>124.66520579841648</v>
      </c>
      <c r="BV5" s="16">
        <f t="shared" si="46"/>
        <v>109.0822841723744</v>
      </c>
      <c r="BW5" s="16">
        <f t="shared" si="46"/>
        <v>167.99867174481287</v>
      </c>
      <c r="BX5" s="16">
        <f t="shared" si="46"/>
        <v>218.64911560639996</v>
      </c>
      <c r="BY5" s="16">
        <f t="shared" si="46"/>
        <v>263.75406854646366</v>
      </c>
      <c r="BZ5" s="16">
        <f t="shared" si="46"/>
        <v>213.19285394828808</v>
      </c>
      <c r="CA5" s="16">
        <f t="shared" si="46"/>
        <v>145.25793370094959</v>
      </c>
      <c r="CB5" s="16">
        <f t="shared" si="46"/>
        <v>133.20337235661316</v>
      </c>
      <c r="CC5" s="16">
        <f t="shared" si="46"/>
        <v>81.977476585852898</v>
      </c>
      <c r="CD5" s="16">
        <f t="shared" si="46"/>
        <v>36.827883334258352</v>
      </c>
      <c r="CE5" s="16">
        <f t="shared" si="46"/>
        <v>0.53609769758324122</v>
      </c>
      <c r="CF5" s="11">
        <f>SUM(BK5:CE5)</f>
        <v>2092.6778415577619</v>
      </c>
      <c r="CG5" s="11">
        <f t="shared" si="20"/>
        <v>67.449418735450749</v>
      </c>
      <c r="CH5" s="11">
        <f t="shared" si="21"/>
        <v>38.303857949177988</v>
      </c>
      <c r="CI5" s="11">
        <f t="shared" si="3"/>
        <v>1093.3988017764088</v>
      </c>
      <c r="CJ5" s="11">
        <f t="shared" si="22"/>
        <v>610.99561762354529</v>
      </c>
      <c r="CK5" s="15">
        <f t="shared" si="23"/>
        <v>0.52248787656799445</v>
      </c>
      <c r="CL5" s="15">
        <f t="shared" si="24"/>
        <v>0.29196831231735515</v>
      </c>
      <c r="CM5" s="11">
        <f t="shared" si="25"/>
        <v>193.76145131067508</v>
      </c>
      <c r="CO5" s="7" t="str">
        <f t="shared" si="26"/>
        <v>2025_3</v>
      </c>
      <c r="CP5" s="30">
        <f>CP4</f>
        <v>2025</v>
      </c>
      <c r="CQ5" s="5" t="s">
        <v>23</v>
      </c>
      <c r="CR5" s="16">
        <f>CR3+CR4</f>
        <v>34.857091405311635</v>
      </c>
      <c r="CS5" s="16">
        <f t="shared" ref="CS5" si="47">CS3+CS4</f>
        <v>47.655476509441215</v>
      </c>
      <c r="CT5" s="16">
        <f t="shared" ref="CT5" si="48">CT3+CT4</f>
        <v>66.760221382976695</v>
      </c>
      <c r="CU5" s="16">
        <f t="shared" ref="CU5" si="49">CU3+CU4</f>
        <v>61.998846979936559</v>
      </c>
      <c r="CV5" s="16">
        <f t="shared" ref="CV5" si="50">CV3+CV4</f>
        <v>43.49718442291919</v>
      </c>
      <c r="CW5" s="16">
        <f t="shared" ref="CW5" si="51">CW3+CW4</f>
        <v>43.84538482582505</v>
      </c>
      <c r="CX5" s="16">
        <f t="shared" ref="CX5" si="52">CX3+CX4</f>
        <v>46.753552274089614</v>
      </c>
      <c r="CY5" s="16">
        <f t="shared" ref="CY5" si="53">CY3+CY4</f>
        <v>63.665329787841216</v>
      </c>
      <c r="CZ5" s="16">
        <f t="shared" ref="CZ5" si="54">CZ3+CZ4</f>
        <v>91.677647818279411</v>
      </c>
      <c r="DA5" s="16">
        <f t="shared" ref="DA5" si="55">DA3+DA4</f>
        <v>105.82214265912849</v>
      </c>
      <c r="DB5" s="16">
        <f t="shared" ref="DB5" si="56">DB3+DB4</f>
        <v>124.66520579841648</v>
      </c>
      <c r="DC5" s="16">
        <f t="shared" ref="DC5" si="57">DC3+DC4</f>
        <v>109.0822841723744</v>
      </c>
      <c r="DD5" s="16">
        <f t="shared" ref="DD5" si="58">DD3+DD4</f>
        <v>167.99867174481287</v>
      </c>
      <c r="DE5" s="16">
        <f t="shared" ref="DE5" si="59">DE3+DE4</f>
        <v>218.64911560639996</v>
      </c>
      <c r="DF5" s="16">
        <f t="shared" ref="DF5" si="60">DF3+DF4</f>
        <v>263.75406854646366</v>
      </c>
      <c r="DG5" s="16">
        <f t="shared" ref="DG5" si="61">DG3+DG4</f>
        <v>213.19285394828808</v>
      </c>
      <c r="DH5" s="16">
        <f t="shared" ref="DH5" si="62">DH3+DH4</f>
        <v>145.25793370094959</v>
      </c>
      <c r="DI5" s="16">
        <f t="shared" ref="DI5" si="63">DI3+DI4</f>
        <v>133.20337235661316</v>
      </c>
      <c r="DJ5" s="16">
        <f t="shared" ref="DJ5" si="64">DJ3+DJ4</f>
        <v>81.977476585852898</v>
      </c>
      <c r="DK5" s="16">
        <f t="shared" ref="DK5" si="65">DK3+DK4</f>
        <v>36.827883334258352</v>
      </c>
      <c r="DL5" s="16">
        <f t="shared" ref="DL5" si="66">DL3+DL4</f>
        <v>0.53609769758324122</v>
      </c>
      <c r="DM5" s="11">
        <f>SUM(CR5:DL5)</f>
        <v>2101.6778415577619</v>
      </c>
      <c r="DN5" s="11">
        <f t="shared" si="34"/>
        <v>68.649418735450752</v>
      </c>
      <c r="DO5" s="11">
        <f t="shared" si="35"/>
        <v>39.103857949177993</v>
      </c>
      <c r="DP5" s="11">
        <f t="shared" si="6"/>
        <v>1093.3988017764088</v>
      </c>
      <c r="DQ5" s="11">
        <f t="shared" si="36"/>
        <v>610.99561762354529</v>
      </c>
      <c r="DR5" s="15">
        <f t="shared" si="37"/>
        <v>0.52025043046844066</v>
      </c>
      <c r="DS5" s="15">
        <f t="shared" si="38"/>
        <v>0.29071801850024542</v>
      </c>
      <c r="DT5" s="11">
        <f>SUM(CV5:CY5)</f>
        <v>197.76145131067508</v>
      </c>
      <c r="DV5" s="311"/>
      <c r="DW5" s="312"/>
      <c r="DX5" s="30">
        <f>DX4</f>
        <v>2025</v>
      </c>
      <c r="DY5" s="5" t="s">
        <v>23</v>
      </c>
      <c r="DZ5" s="16">
        <f>DZ3+DZ4</f>
        <v>32.857091405311635</v>
      </c>
      <c r="EA5" s="16">
        <f t="shared" ref="EA5:ET5" si="67">EA3+EA4</f>
        <v>47.655476509441215</v>
      </c>
      <c r="EB5" s="16">
        <f t="shared" si="67"/>
        <v>64.760221382976695</v>
      </c>
      <c r="EC5" s="16">
        <f t="shared" si="67"/>
        <v>61.998846979936559</v>
      </c>
      <c r="ED5" s="16">
        <f t="shared" si="67"/>
        <v>43.49718442291919</v>
      </c>
      <c r="EE5" s="16">
        <f t="shared" si="67"/>
        <v>99.84538482582505</v>
      </c>
      <c r="EF5" s="16">
        <f t="shared" si="67"/>
        <v>106.75355227408961</v>
      </c>
      <c r="EG5" s="16">
        <f t="shared" si="67"/>
        <v>123.66532978784122</v>
      </c>
      <c r="EH5" s="16">
        <f t="shared" si="67"/>
        <v>90.677647818279411</v>
      </c>
      <c r="EI5" s="16">
        <f t="shared" si="67"/>
        <v>105.82214265912849</v>
      </c>
      <c r="EJ5" s="16">
        <f t="shared" si="67"/>
        <v>124.66520579841648</v>
      </c>
      <c r="EK5" s="16">
        <f t="shared" si="67"/>
        <v>109.0822841723744</v>
      </c>
      <c r="EL5" s="16">
        <f t="shared" si="67"/>
        <v>167.99867174481287</v>
      </c>
      <c r="EM5" s="16">
        <f t="shared" si="67"/>
        <v>218.64911560639996</v>
      </c>
      <c r="EN5" s="16">
        <f t="shared" si="67"/>
        <v>263.75406854646366</v>
      </c>
      <c r="EO5" s="16">
        <f t="shared" si="67"/>
        <v>213.19285394828808</v>
      </c>
      <c r="EP5" s="16">
        <f t="shared" si="67"/>
        <v>145.25793370094959</v>
      </c>
      <c r="EQ5" s="16">
        <f t="shared" si="67"/>
        <v>133.20337235661316</v>
      </c>
      <c r="ER5" s="16">
        <f t="shared" si="67"/>
        <v>81.977476585852898</v>
      </c>
      <c r="ES5" s="16">
        <f t="shared" si="67"/>
        <v>36.827883334258352</v>
      </c>
      <c r="ET5" s="16">
        <f t="shared" si="67"/>
        <v>0.53609769758324122</v>
      </c>
      <c r="EU5" s="11">
        <f>SUM(DZ5:ET5)</f>
        <v>2272.6778415577619</v>
      </c>
      <c r="EV5" s="11">
        <f t="shared" si="41"/>
        <v>67.449418735450749</v>
      </c>
      <c r="EW5" s="11">
        <f t="shared" si="42"/>
        <v>38.303857949177988</v>
      </c>
      <c r="EX5" s="11">
        <f t="shared" si="10"/>
        <v>1093.3988017764088</v>
      </c>
      <c r="EY5" s="11">
        <f t="shared" si="43"/>
        <v>610.99561762354529</v>
      </c>
      <c r="EZ5" s="15">
        <f t="shared" si="44"/>
        <v>0.4811059366984281</v>
      </c>
      <c r="FA5" s="15">
        <f t="shared" si="45"/>
        <v>0.26884391903286675</v>
      </c>
      <c r="FB5" s="11">
        <f>SUM(ED5:EG5)</f>
        <v>373.76145131067506</v>
      </c>
    </row>
    <row r="6" spans="1:158" x14ac:dyDescent="0.15">
      <c r="A6" s="7" t="str">
        <f t="shared" si="11"/>
        <v>2010_1</v>
      </c>
      <c r="B6" s="28">
        <v>2010</v>
      </c>
      <c r="C6" s="3" t="s">
        <v>21</v>
      </c>
      <c r="D6" s="9">
        <v>41</v>
      </c>
      <c r="E6" s="9">
        <v>40</v>
      </c>
      <c r="F6" s="9">
        <v>49</v>
      </c>
      <c r="G6" s="9">
        <v>69</v>
      </c>
      <c r="H6" s="9">
        <v>52</v>
      </c>
      <c r="I6" s="9">
        <v>55</v>
      </c>
      <c r="J6" s="9">
        <v>59</v>
      </c>
      <c r="K6" s="9">
        <v>53</v>
      </c>
      <c r="L6" s="9">
        <v>62</v>
      </c>
      <c r="M6" s="9">
        <v>76</v>
      </c>
      <c r="N6" s="9">
        <v>116</v>
      </c>
      <c r="O6" s="9">
        <v>135</v>
      </c>
      <c r="P6" s="9">
        <v>149</v>
      </c>
      <c r="Q6" s="9">
        <v>108</v>
      </c>
      <c r="R6" s="9">
        <v>105</v>
      </c>
      <c r="S6" s="9">
        <v>107</v>
      </c>
      <c r="T6" s="9">
        <v>82</v>
      </c>
      <c r="U6" s="9">
        <v>24</v>
      </c>
      <c r="V6" s="9">
        <v>18</v>
      </c>
      <c r="W6" s="9">
        <v>4</v>
      </c>
      <c r="X6" s="9">
        <v>0</v>
      </c>
      <c r="Y6" s="9">
        <f t="shared" ref="Y6:Y11" si="68">SUM(D6:X6)</f>
        <v>1404</v>
      </c>
      <c r="Z6" s="9">
        <f t="shared" si="12"/>
        <v>53.4</v>
      </c>
      <c r="AA6" s="9">
        <f t="shared" si="13"/>
        <v>33.400000000000006</v>
      </c>
      <c r="AB6" s="9">
        <f t="shared" si="0"/>
        <v>448</v>
      </c>
      <c r="AC6" s="9">
        <f t="shared" si="14"/>
        <v>235</v>
      </c>
      <c r="AD6" s="13">
        <f t="shared" si="15"/>
        <v>0.31908831908831908</v>
      </c>
      <c r="AE6" s="13">
        <f t="shared" si="16"/>
        <v>0.16737891737891739</v>
      </c>
      <c r="AF6" s="9">
        <f t="shared" si="17"/>
        <v>219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1.2580645161290323</v>
      </c>
      <c r="AN6" s="193">
        <f t="shared" si="18"/>
        <v>1.0975609756097562</v>
      </c>
      <c r="AO6" s="193">
        <f t="shared" si="18"/>
        <v>0.75</v>
      </c>
      <c r="AP6" s="193">
        <f t="shared" si="18"/>
        <v>0.63157894736842102</v>
      </c>
      <c r="AQ6" s="193">
        <f t="shared" si="18"/>
        <v>0.75438596491228072</v>
      </c>
      <c r="AR6" s="193">
        <f t="shared" si="18"/>
        <v>0.8571428571428571</v>
      </c>
      <c r="AS6" s="193">
        <f t="shared" si="18"/>
        <v>0.87931034482758619</v>
      </c>
      <c r="AT6" s="193">
        <f t="shared" si="18"/>
        <v>1.103448275862069</v>
      </c>
      <c r="AU6" s="193">
        <f t="shared" si="18"/>
        <v>1.0384615384615385</v>
      </c>
      <c r="AV6" s="193">
        <f t="shared" si="18"/>
        <v>0.92783505154639179</v>
      </c>
      <c r="AW6" s="193">
        <f t="shared" si="18"/>
        <v>1.06</v>
      </c>
      <c r="AX6" s="193">
        <f t="shared" si="18"/>
        <v>1.0074626865671641</v>
      </c>
      <c r="AY6" s="193">
        <f t="shared" si="18"/>
        <v>0.9838709677419355</v>
      </c>
      <c r="AZ6" s="193">
        <f t="shared" si="18"/>
        <v>0.9568965517241379</v>
      </c>
      <c r="BA6" s="193">
        <f t="shared" si="18"/>
        <v>1.0153846153846153</v>
      </c>
      <c r="BB6" s="193">
        <f t="shared" si="18"/>
        <v>0.85034013605442171</v>
      </c>
      <c r="BC6" s="193">
        <f t="shared" si="18"/>
        <v>0.76335877862595425</v>
      </c>
      <c r="BD6" s="193">
        <f t="shared" si="18"/>
        <v>0.57894736842105265</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0.46875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0.38461538461538464</v>
      </c>
      <c r="BH6" s="7" t="str">
        <f t="shared" si="19"/>
        <v>2030_1</v>
      </c>
      <c r="BI6" s="28">
        <f>管理者入力シート!B9</f>
        <v>2030</v>
      </c>
      <c r="BJ6" s="3" t="s">
        <v>21</v>
      </c>
      <c r="BK6" s="9">
        <f>CM7*$AK$13</f>
        <v>14.098321507760847</v>
      </c>
      <c r="BL6" s="9">
        <f>IF(管理者入力シート!$B$14=1,BK3*管理者用人口入力シート!AM$3,IF(管理者入力シート!$B$14=2,BK3*管理者用人口入力シート!AM$7))</f>
        <v>19.790038583657203</v>
      </c>
      <c r="BM6" s="9">
        <f>IF(管理者入力シート!$B$14=1,BL3*管理者用人口入力シート!AN$3,IF(管理者入力シート!$B$14=2,BL3*管理者用人口入力シート!AN$7))</f>
        <v>24.608161563256626</v>
      </c>
      <c r="BN6" s="9">
        <f>IF(管理者入力シート!$B$14=1,BM3*管理者用人口入力シート!AO$3,IF(管理者入力シート!$B$14=2,BM3*管理者用人口入力シート!AO$7))</f>
        <v>26.160440375733518</v>
      </c>
      <c r="BO6" s="9">
        <f>IF(管理者入力シート!$B$14=1,BN3*管理者用人口入力シート!AP$3,IF(管理者入力シート!$B$14=2,BN3*管理者用人口入力シート!AP$7))</f>
        <v>15.593602675595552</v>
      </c>
      <c r="BP6" s="9">
        <f>IF(管理者入力シート!$B$14=1,BO3*管理者用人口入力シート!AQ$3,IF(管理者入力シート!$B$14=2,BO3*管理者用人口入力シート!AQ$7))</f>
        <v>14.810118075481787</v>
      </c>
      <c r="BQ6" s="9">
        <f>IF(管理者入力シート!$B$14=1,BP3*管理者用人口入力シート!AR$3,IF(管理者入力シート!$B$14=2,BP3*管理者用人口入力シート!AR$7))</f>
        <v>20.906993614259392</v>
      </c>
      <c r="BR6" s="9">
        <f>IF(管理者入力シート!$B$14=1,BQ3*管理者用人口入力シート!AS$3,IF(管理者入力シート!$B$14=2,BQ3*管理者用人口入力シート!AS$7))</f>
        <v>23.880247405295368</v>
      </c>
      <c r="BS6" s="9">
        <f>IF(管理者入力シート!$B$14=1,BR3*管理者用人口入力シート!AT$3,IF(管理者入力シート!$B$14=2,BR3*管理者用人口入力シート!AT$7))</f>
        <v>34.912049603609553</v>
      </c>
      <c r="BT6" s="9">
        <f>IF(管理者入力シート!$B$14=1,BS3*管理者用人口入力シート!AU$3,IF(管理者入力シート!$B$14=2,BS3*管理者用人口入力シート!AU$7))</f>
        <v>50.229234456039073</v>
      </c>
      <c r="BU6" s="9">
        <f>IF(管理者入力シート!$B$14=1,BT3*管理者用人口入力シート!AV$3,IF(管理者入力シート!$B$14=2,BT3*管理者用人口入力シート!AV$7))</f>
        <v>54.397759805699557</v>
      </c>
      <c r="BV6" s="9">
        <f>IF(管理者入力シート!$B$14=1,BU3*管理者用人口入力シート!AW$3,IF(管理者入力シート!$B$14=2,BU3*管理者用人口入力シート!AW$7))</f>
        <v>58.619926837986839</v>
      </c>
      <c r="BW6" s="9">
        <f>IF(管理者入力シート!$B$14=1,BV3*管理者用人口入力シート!AX$3,IF(管理者入力シート!$B$14=2,BV3*管理者用人口入力シート!AX$7))</f>
        <v>48.165593689734067</v>
      </c>
      <c r="BX6" s="9">
        <f>IF(管理者入力シート!$B$14=1,BW3*管理者用人口入力シート!AY$3,IF(管理者入力シート!$B$14=2,BW3*管理者用人口入力シート!AY$7))</f>
        <v>76.05133328345309</v>
      </c>
      <c r="BY6" s="9">
        <f>IF(管理者入力シート!$B$14=1,BX3*管理者用人口入力シート!AZ$3,IF(管理者入力シート!$B$14=2,BX3*管理者用人口入力シート!AZ$7))</f>
        <v>100.35337073313266</v>
      </c>
      <c r="BZ6" s="9">
        <f>IF(管理者入力シート!$B$14=1,BY3*管理者用人口入力シート!BA$3,IF(管理者入力シート!$B$14=2,BY3*管理者用人口入力シート!BA$7))</f>
        <v>102.41404041822342</v>
      </c>
      <c r="CA6" s="9">
        <f>IF(管理者入力シート!$B$14=1,BZ3*管理者用人口入力シート!BB$3,IF(管理者入力シート!$B$14=2,BZ3*管理者用人口入力シート!BB$7))</f>
        <v>86.387463202014786</v>
      </c>
      <c r="CB6" s="9">
        <f>IF(管理者入力シート!$B$14=1,CA3*管理者用人口入力シート!BC$3,IF(管理者入力シート!$B$14=2,CA3*管理者用人口入力シート!BC$7))</f>
        <v>41.749862805309895</v>
      </c>
      <c r="CC6" s="9">
        <f>IF(管理者入力シート!$B$14=1,CB3*管理者用人口入力シート!BD$3,IF(管理者入力シート!$B$14=2,CB3*管理者用人口入力シート!BD$7))</f>
        <v>19.05132768549343</v>
      </c>
      <c r="CD6" s="9">
        <f>IF(管理者入力シート!$B$14=1,CC3*管理者用人口入力シート!BE$3,IF(管理者入力シート!$B$14=2,CC3*管理者用人口入力シート!BE$7))</f>
        <v>8.3102711400012943</v>
      </c>
      <c r="CE6" s="9">
        <f>IF(管理者入力シート!$B$14=1,CD3*管理者用人口入力シート!BF$3,IF(管理者入力シート!$B$14=2,CD3*管理者用人口入力シート!BF$7))</f>
        <v>0.13306907485334205</v>
      </c>
      <c r="CF6" s="9">
        <f t="shared" si="2"/>
        <v>840.62322653659135</v>
      </c>
      <c r="CG6" s="9">
        <f t="shared" si="20"/>
        <v>26.638920088148296</v>
      </c>
      <c r="CH6" s="9">
        <f t="shared" si="21"/>
        <v>15.075352700449354</v>
      </c>
      <c r="CI6" s="9">
        <f t="shared" si="3"/>
        <v>434.45073834248188</v>
      </c>
      <c r="CJ6" s="9">
        <f t="shared" si="22"/>
        <v>258.04603432589613</v>
      </c>
      <c r="CK6" s="13">
        <f t="shared" si="23"/>
        <v>0.5168198125246195</v>
      </c>
      <c r="CL6" s="13">
        <f t="shared" si="24"/>
        <v>0.30696990777789757</v>
      </c>
      <c r="CM6" s="9">
        <f t="shared" si="25"/>
        <v>75.1909617706321</v>
      </c>
      <c r="CO6" s="7" t="str">
        <f t="shared" si="26"/>
        <v>2030_1</v>
      </c>
      <c r="CP6" s="28">
        <f>管理者入力シート!B9</f>
        <v>2030</v>
      </c>
      <c r="CQ6" s="3" t="s">
        <v>21</v>
      </c>
      <c r="CR6" s="9">
        <f>DT7*$AK$13+将来予測シート②!$G17</f>
        <v>15.831737590175889</v>
      </c>
      <c r="CS6" s="9">
        <f>IF(管理者入力シート!$B$14=1,CR3*管理者用人口入力シート!AM$3,IF(管理者入力シート!$B$14=2,CR3*管理者用人口入力シート!AM$7))+将来予測シート②!$G18</f>
        <v>20.824149543917411</v>
      </c>
      <c r="CT6" s="9">
        <f>IF(管理者入力シート!$B$14=1,CS3*管理者用人口入力シート!AN$3,IF(管理者入力シート!$B$14=2,CS3*管理者用人口入力シート!AN$7))+将来予測シート②!$G19</f>
        <v>25.608161563256626</v>
      </c>
      <c r="CU6" s="9">
        <f>IF(管理者入力シート!$B$14=1,CT3*管理者用人口入力シート!AO$3,IF(管理者入力シート!$B$14=2,CT3*管理者用人口入力シート!AO$7))+将来予測シート②!$G20</f>
        <v>26.993341197697362</v>
      </c>
      <c r="CV6" s="9">
        <f>IF(管理者入力シート!$B$14=1,CU3*管理者用人口入力シート!AP$3,IF(管理者入力シート!$B$14=2,CU3*管理者用人口入力シート!AP$7))+将来予測シート②!$G21</f>
        <v>15.593602675595552</v>
      </c>
      <c r="CW6" s="9">
        <f>IF(管理者入力シート!$B$14=1,CV3*管理者用人口入力シート!AQ$3,IF(管理者入力シート!$B$14=2,CV3*管理者用人口入力シート!AQ$7))+将来予測シート②!$G22</f>
        <v>16.810118075481789</v>
      </c>
      <c r="CX6" s="9">
        <f>IF(管理者入力シート!$B$14=1,CW3*管理者用人口入力シート!AR$3,IF(管理者入力シート!$B$14=2,CW3*管理者用人口入力シート!AR$7))+将来予測シート②!$G23</f>
        <v>22.78508555120057</v>
      </c>
      <c r="CY6" s="9">
        <f>IF(管理者入力シート!$B$14=1,CX3*管理者用人口入力シート!AS$3,IF(管理者入力シート!$B$14=2,CX3*管理者用人口入力シート!AS$7))+将来予測シート②!$G24</f>
        <v>23.880247405295368</v>
      </c>
      <c r="CZ6" s="9">
        <f>IF(管理者入力シート!$B$14=1,CY3*管理者用人口入力シート!AT$3,IF(管理者入力シート!$B$14=2,CY3*管理者用人口入力シート!AT$7))+将来予測シート②!$G25</f>
        <v>34.912049603609553</v>
      </c>
      <c r="DA6" s="9">
        <f>IF(管理者入力シート!$B$14=1,CZ3*管理者用人口入力シート!AU$3,IF(管理者入力シート!$B$14=2,CZ3*管理者用人口入力シート!AU$7))+将来予測シート②!$G26</f>
        <v>50.229234456039073</v>
      </c>
      <c r="DB6" s="9">
        <f>IF(管理者入力シート!$B$14=1,DA3*管理者用人口入力シート!AV$3,IF(管理者入力シート!$B$14=2,DA3*管理者用人口入力シート!AV$7))+将来予測シート②!$G27</f>
        <v>54.397759805699557</v>
      </c>
      <c r="DC6" s="9">
        <f>IF(管理者入力シート!$B$14=1,DB3*管理者用人口入力シート!AW$3,IF(管理者入力シート!$B$14=2,DB3*管理者用人口入力シート!AW$7))+将来予測シート②!$G28</f>
        <v>58.619926837986839</v>
      </c>
      <c r="DD6" s="9">
        <f>IF(管理者入力シート!$B$14=1,DC3*管理者用人口入力シート!AX$3,IF(管理者入力シート!$B$14=2,DC3*管理者用人口入力シート!AX$7))+将来予測シート②!$G29</f>
        <v>48.165593689734067</v>
      </c>
      <c r="DE6" s="9">
        <f>IF(管理者入力シート!$B$14=1,DD3*管理者用人口入力シート!AY$3,IF(管理者入力シート!$B$14=2,DD3*管理者用人口入力シート!AY$7))</f>
        <v>76.05133328345309</v>
      </c>
      <c r="DF6" s="9">
        <f>IF(管理者入力シート!$B$14=1,DE3*管理者用人口入力シート!AZ$3,IF(管理者入力シート!$B$14=2,DE3*管理者用人口入力シート!AZ$7))</f>
        <v>100.35337073313266</v>
      </c>
      <c r="DG6" s="9">
        <f>IF(管理者入力シート!$B$14=1,DF3*管理者用人口入力シート!BA$3,IF(管理者入力シート!$B$14=2,DF3*管理者用人口入力シート!BA$7))</f>
        <v>102.41404041822342</v>
      </c>
      <c r="DH6" s="9">
        <f>IF(管理者入力シート!$B$14=1,DG3*管理者用人口入力シート!BB$3,IF(管理者入力シート!$B$14=2,DG3*管理者用人口入力シート!BB$7))</f>
        <v>86.387463202014786</v>
      </c>
      <c r="DI6" s="9">
        <f>IF(管理者入力シート!$B$14=1,DH3*管理者用人口入力シート!BC$3,IF(管理者入力シート!$B$14=2,DH3*管理者用人口入力シート!BC$7))</f>
        <v>41.749862805309895</v>
      </c>
      <c r="DJ6" s="9">
        <f>IF(管理者入力シート!$B$14=1,DI3*管理者用人口入力シート!BD$3,IF(管理者入力シート!$B$14=2,DI3*管理者用人口入力シート!BD$7))</f>
        <v>19.05132768549343</v>
      </c>
      <c r="DK6" s="9">
        <f>IF(管理者入力シート!$B$14=1,DJ3*管理者用人口入力シート!BE$3,IF(管理者入力シート!$B$14=2,DJ3*管理者用人口入力シート!BE$7))</f>
        <v>8.3102711400012943</v>
      </c>
      <c r="DL6" s="9">
        <f>IF(管理者入力シート!$B$14=1,DK3*管理者用人口入力シート!BF$3,IF(管理者入力シート!$B$14=2,DK3*管理者用人口入力シート!BF$7))</f>
        <v>0.13306907485334205</v>
      </c>
      <c r="DM6" s="9">
        <f t="shared" ref="DM6:DM14" si="69">SUM(CR6:DL6)</f>
        <v>849.10174633817167</v>
      </c>
      <c r="DN6" s="9">
        <f t="shared" si="34"/>
        <v>27.859386664304424</v>
      </c>
      <c r="DO6" s="9">
        <f t="shared" si="35"/>
        <v>15.641932864842122</v>
      </c>
      <c r="DP6" s="9">
        <f t="shared" si="6"/>
        <v>434.45073834248188</v>
      </c>
      <c r="DQ6" s="9">
        <f t="shared" si="36"/>
        <v>258.04603432589613</v>
      </c>
      <c r="DR6" s="13">
        <f t="shared" si="37"/>
        <v>0.51165922130779984</v>
      </c>
      <c r="DS6" s="13">
        <f t="shared" si="38"/>
        <v>0.30390472689373571</v>
      </c>
      <c r="DT6" s="9">
        <f t="shared" ref="DT6:DT14" si="70">SUM(CV6:CY6)</f>
        <v>79.069053707573275</v>
      </c>
      <c r="DV6" s="7" t="s">
        <v>400</v>
      </c>
      <c r="DX6" s="28">
        <f>管理者入力シート!B9</f>
        <v>2030</v>
      </c>
      <c r="DY6" s="3" t="s">
        <v>21</v>
      </c>
      <c r="DZ6" s="9">
        <f>FB7*$AK$13</f>
        <v>43.097398114919457</v>
      </c>
      <c r="EA6" s="129">
        <f>IF(管理者入力シート!$B$14=1,DZ3*管理者用人口入力シート!AM$3,IF(管理者入力シート!$B$14=2,DZ3*管理者用人口入力シート!AM$7))</f>
        <v>19.790038583657203</v>
      </c>
      <c r="EB6" s="9">
        <f>IF(管理者入力シート!$B$14=1,EA3*管理者用人口入力シート!AN$3,IF(管理者入力シート!$B$14=2,EA3*管理者用人口入力シート!AN$7))</f>
        <v>24.608161563256626</v>
      </c>
      <c r="EC6" s="9">
        <f>IF(管理者入力シート!$B$14=1,EB3*管理者用人口入力シート!AO$3,IF(管理者入力シート!$B$14=2,EB3*管理者用人口入力シート!AO$7))</f>
        <v>26.160440375733518</v>
      </c>
      <c r="ED6" s="9">
        <f>IF(管理者入力シート!$B$14=1,EC3*管理者用人口入力シート!AP$3,IF(管理者入力シート!$B$14=2,EC3*管理者用人口入力シート!AP$7))</f>
        <v>15.593602675595552</v>
      </c>
      <c r="EE6" s="9">
        <f>IF(管理者入力シート!$B$14=1,ED3*管理者用人口入力シート!AQ$3,IF(管理者入力シート!$B$14=2,ED3*管理者用人口入力シート!AQ$7))+DX1</f>
        <v>44.810118075481789</v>
      </c>
      <c r="EF6" s="9">
        <f>IF(管理者入力シート!$B$14=1,EE3*管理者用人口入力シート!AR$3,IF(管理者入力シート!$B$14=2,EE3*管理者用人口入力シート!AR$7))+DX1</f>
        <v>79.078372668377085</v>
      </c>
      <c r="EG6" s="9">
        <f>IF(管理者入力シート!$B$14=1,EF3*管理者用人口入力シート!AS$3,IF(管理者入力シート!$B$14=2,EF3*管理者用人口入力シート!AS$7))+DX1</f>
        <v>80.987106377029221</v>
      </c>
      <c r="EH6" s="9">
        <f>IF(管理者入力シート!$B$14=1,EG3*管理者用人口入力シート!AT$3,IF(管理者入力シート!$B$14=2,EG3*管理者用人口入力シート!AT$7))</f>
        <v>67.854168276043737</v>
      </c>
      <c r="EI6" s="9">
        <f>IF(管理者入力シート!$B$14=1,EH3*管理者用人口入力シート!AU$3,IF(管理者入力シート!$B$14=2,EH3*管理者用人口入力シート!AU$7))</f>
        <v>50.229234456039073</v>
      </c>
      <c r="EJ6" s="9">
        <f>IF(管理者入力シート!$B$14=1,EI3*管理者用人口入力シート!AV$3,IF(管理者入力シート!$B$14=2,EI3*管理者用人口入力シート!AV$7))</f>
        <v>54.397759805699557</v>
      </c>
      <c r="EK6" s="9">
        <f>IF(管理者入力シート!$B$14=1,EJ3*管理者用人口入力シート!AW$3,IF(管理者入力シート!$B$14=2,EJ3*管理者用人口入力シート!AW$7))</f>
        <v>58.619926837986839</v>
      </c>
      <c r="EL6" s="9">
        <f>IF(管理者入力シート!$B$14=1,EK3*管理者用人口入力シート!AX$3,IF(管理者入力シート!$B$14=2,EK3*管理者用人口入力シート!AX$7))</f>
        <v>48.165593689734067</v>
      </c>
      <c r="EM6" s="9">
        <f>IF(管理者入力シート!$B$14=1,EL3*管理者用人口入力シート!AY$3,IF(管理者入力シート!$B$14=2,EL3*管理者用人口入力シート!AY$7))</f>
        <v>76.05133328345309</v>
      </c>
      <c r="EN6" s="9">
        <f>IF(管理者入力シート!$B$14=1,EM3*管理者用人口入力シート!AZ$3,IF(管理者入力シート!$B$14=2,EM3*管理者用人口入力シート!AZ$7))</f>
        <v>100.35337073313266</v>
      </c>
      <c r="EO6" s="9">
        <f>IF(管理者入力シート!$B$14=1,EN3*管理者用人口入力シート!BA$3,IF(管理者入力シート!$B$14=2,EN3*管理者用人口入力シート!BA$7))</f>
        <v>102.41404041822342</v>
      </c>
      <c r="EP6" s="9">
        <f>IF(管理者入力シート!$B$14=1,EO3*管理者用人口入力シート!BB$3,IF(管理者入力シート!$B$14=2,EO3*管理者用人口入力シート!BB$7))</f>
        <v>86.387463202014786</v>
      </c>
      <c r="EQ6" s="9">
        <f>IF(管理者入力シート!$B$14=1,EP3*管理者用人口入力シート!BC$3,IF(管理者入力シート!$B$14=2,EP3*管理者用人口入力シート!BC$7))</f>
        <v>41.749862805309895</v>
      </c>
      <c r="ER6" s="9">
        <f>IF(管理者入力シート!$B$14=1,EQ3*管理者用人口入力シート!BD$3,IF(管理者入力シート!$B$14=2,EQ3*管理者用人口入力シート!BD$7))</f>
        <v>19.05132768549343</v>
      </c>
      <c r="ES6" s="9">
        <f>IF(管理者入力シート!$B$14=1,ER3*管理者用人口入力シート!BE$3,IF(管理者入力シート!$B$14=2,ER3*管理者用人口入力シート!BE$7))</f>
        <v>8.3102711400012943</v>
      </c>
      <c r="ET6" s="9">
        <f>IF(管理者入力シート!$B$14=1,ES3*管理者用人口入力シート!BF$3,IF(管理者入力シート!$B$14=2,ES3*管理者用人口入力シート!BF$7))</f>
        <v>0.13306907485334205</v>
      </c>
      <c r="EU6" s="9">
        <f t="shared" ref="EU6:EU14" si="71">SUM(DZ6:ET6)</f>
        <v>1047.8426598420358</v>
      </c>
      <c r="EV6" s="9">
        <f t="shared" si="41"/>
        <v>26.638920088148296</v>
      </c>
      <c r="EW6" s="9">
        <f t="shared" si="42"/>
        <v>15.075352700449354</v>
      </c>
      <c r="EX6" s="9">
        <f t="shared" si="10"/>
        <v>434.45073834248188</v>
      </c>
      <c r="EY6" s="9">
        <f t="shared" si="43"/>
        <v>258.04603432589613</v>
      </c>
      <c r="EZ6" s="13">
        <f t="shared" si="44"/>
        <v>0.4146144788645808</v>
      </c>
      <c r="FA6" s="13">
        <f t="shared" si="45"/>
        <v>0.24626410454103581</v>
      </c>
      <c r="FB6" s="9">
        <f t="shared" ref="FB6:FB14" si="72">SUM(ED6:EG6)</f>
        <v>220.46919979648365</v>
      </c>
    </row>
    <row r="7" spans="1:158" x14ac:dyDescent="0.15">
      <c r="A7" s="7" t="str">
        <f t="shared" si="11"/>
        <v>2010_2</v>
      </c>
      <c r="B7" s="29">
        <v>2010</v>
      </c>
      <c r="C7" s="4" t="s">
        <v>22</v>
      </c>
      <c r="D7" s="10">
        <v>31</v>
      </c>
      <c r="E7" s="10">
        <v>41</v>
      </c>
      <c r="F7" s="10">
        <v>68</v>
      </c>
      <c r="G7" s="10">
        <v>76</v>
      </c>
      <c r="H7" s="10">
        <v>57</v>
      </c>
      <c r="I7" s="10">
        <v>42</v>
      </c>
      <c r="J7" s="10">
        <v>58</v>
      </c>
      <c r="K7" s="10">
        <v>58</v>
      </c>
      <c r="L7" s="10">
        <v>52</v>
      </c>
      <c r="M7" s="10">
        <v>97</v>
      </c>
      <c r="N7" s="10">
        <v>100</v>
      </c>
      <c r="O7" s="10">
        <v>134</v>
      </c>
      <c r="P7" s="10">
        <v>124</v>
      </c>
      <c r="Q7" s="10">
        <v>116</v>
      </c>
      <c r="R7" s="10">
        <v>130</v>
      </c>
      <c r="S7" s="10">
        <v>147</v>
      </c>
      <c r="T7" s="10">
        <v>131</v>
      </c>
      <c r="U7" s="10">
        <v>76</v>
      </c>
      <c r="V7" s="10">
        <v>32</v>
      </c>
      <c r="W7" s="10">
        <v>13</v>
      </c>
      <c r="X7" s="10">
        <v>1</v>
      </c>
      <c r="Y7" s="10">
        <f t="shared" si="68"/>
        <v>1584</v>
      </c>
      <c r="Z7" s="10">
        <f t="shared" si="12"/>
        <v>65.400000000000006</v>
      </c>
      <c r="AA7" s="10">
        <f t="shared" si="13"/>
        <v>42.4</v>
      </c>
      <c r="AB7" s="10">
        <f t="shared" si="0"/>
        <v>646</v>
      </c>
      <c r="AC7" s="10">
        <f t="shared" si="14"/>
        <v>400</v>
      </c>
      <c r="AD7" s="14">
        <f t="shared" si="15"/>
        <v>0.40782828282828282</v>
      </c>
      <c r="AE7" s="14">
        <f t="shared" si="16"/>
        <v>0.25252525252525254</v>
      </c>
      <c r="AF7" s="10">
        <f t="shared" si="17"/>
        <v>215</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1.0341109602602063</v>
      </c>
      <c r="AN7" s="48">
        <f t="shared" si="73"/>
        <v>0.9468161563773807</v>
      </c>
      <c r="AO7" s="48">
        <f t="shared" si="73"/>
        <v>0.8329008219638443</v>
      </c>
      <c r="AP7" s="48">
        <f t="shared" si="73"/>
        <v>0.56439359243402842</v>
      </c>
      <c r="AQ7" s="48">
        <f t="shared" si="73"/>
        <v>0.79099792913502742</v>
      </c>
      <c r="AR7" s="48">
        <f t="shared" si="73"/>
        <v>0.93904596847058996</v>
      </c>
      <c r="AS7" s="48">
        <f t="shared" si="73"/>
        <v>0.90356196572446201</v>
      </c>
      <c r="AT7" s="48">
        <f t="shared" si="73"/>
        <v>1.0980706224144725</v>
      </c>
      <c r="AU7" s="48">
        <f t="shared" si="73"/>
        <v>0.96813980615088169</v>
      </c>
      <c r="AV7" s="48">
        <f t="shared" si="73"/>
        <v>0.9636409376980396</v>
      </c>
      <c r="AW7" s="48">
        <f t="shared" si="73"/>
        <v>0.99195481184263312</v>
      </c>
      <c r="AX7" s="48">
        <f t="shared" si="73"/>
        <v>1.0062824839358897</v>
      </c>
      <c r="AY7" s="48">
        <f t="shared" si="73"/>
        <v>0.98914108270839762</v>
      </c>
      <c r="AZ7" s="48">
        <f t="shared" si="73"/>
        <v>0.89310027407050163</v>
      </c>
      <c r="BA7" s="48">
        <f t="shared" si="73"/>
        <v>0.7921223769728748</v>
      </c>
      <c r="BB7" s="48">
        <f t="shared" si="73"/>
        <v>0.84092478092960377</v>
      </c>
      <c r="BC7" s="48">
        <f t="shared" si="73"/>
        <v>0.65844632720584106</v>
      </c>
      <c r="BD7" s="48">
        <f t="shared" si="73"/>
        <v>0.40535840568817827</v>
      </c>
      <c r="BE7" s="48">
        <f t="shared" si="73"/>
        <v>0.33426055394780085</v>
      </c>
      <c r="BF7" s="48">
        <f t="shared" si="73"/>
        <v>1.5838208078870222E-2</v>
      </c>
      <c r="BH7" s="7" t="str">
        <f t="shared" si="19"/>
        <v>2030_2</v>
      </c>
      <c r="BI7" s="29">
        <f>BI6</f>
        <v>2030</v>
      </c>
      <c r="BJ7" s="4" t="s">
        <v>22</v>
      </c>
      <c r="BK7" s="10">
        <f>CM7*$AK$14</f>
        <v>10.107343934851944</v>
      </c>
      <c r="BL7" s="10">
        <f>IF(管理者入力シート!$B$14=1,BK4*管理者用人口入力シート!AM$4,IF(管理者入力シート!$B$14=2,BK4*管理者用人口入力シート!AM$8))</f>
        <v>16.496533895400734</v>
      </c>
      <c r="BM7" s="10">
        <f>IF(管理者入力シート!$B$14=1,BL4*管理者用人口入力シート!AN$4,IF(管理者入力シート!$B$14=2,BL4*管理者用人口入力シート!AN$8))</f>
        <v>23.287643139577462</v>
      </c>
      <c r="BN7" s="10">
        <f>IF(管理者入力シート!$B$14=1,BM4*管理者用人口入力シート!AO$4,IF(管理者入力シート!$B$14=2,BM4*管理者用人口入力シート!AO$8))</f>
        <v>27.920571195843927</v>
      </c>
      <c r="BO7" s="10">
        <f>IF(管理者入力シート!$B$14=1,BN4*管理者用人口入力シート!AP$4,IF(管理者入力シート!$B$14=2,BN4*管理者用人口入力シート!AP$8))</f>
        <v>20.248824021094723</v>
      </c>
      <c r="BP7" s="10">
        <f>IF(管理者入力シート!$B$14=1,BO4*管理者用人口入力シート!AQ$4,IF(管理者入力シート!$B$14=2,BO4*管理者用人口入力シート!AQ$8))</f>
        <v>15.540283974125874</v>
      </c>
      <c r="BQ7" s="10">
        <f>IF(管理者入力シート!$B$14=1,BP4*管理者用人口入力シート!AR$4,IF(管理者入力シート!$B$14=2,BP4*管理者用人口入力シート!AR$8))</f>
        <v>14.272282090403275</v>
      </c>
      <c r="BR7" s="10">
        <f>IF(管理者入力シート!$B$14=1,BQ4*管理者用人口入力シート!AS$4,IF(管理者入力シート!$B$14=2,BQ4*管理者用人口入力シート!AS$8))</f>
        <v>19.593916113018985</v>
      </c>
      <c r="BS7" s="10">
        <f>IF(管理者入力シート!$B$14=1,BR4*管理者用人口入力シート!AT$4,IF(管理者入力シート!$B$14=2,BR4*管理者用人口入力シート!AT$8))</f>
        <v>32.495236140632272</v>
      </c>
      <c r="BT7" s="10">
        <f>IF(管理者入力シート!$B$14=1,BS4*管理者用人口入力シート!AU$4,IF(管理者入力シート!$B$14=2,BS4*管理者用人口入力シート!AU$8))</f>
        <v>39.866076360099164</v>
      </c>
      <c r="BU7" s="10">
        <f>IF(管理者入力シート!$B$14=1,BT4*管理者用人口入力シート!AV$4,IF(管理者入力シート!$B$14=2,BT4*管理者用人口入力シート!AV$8))</f>
        <v>49.744924493640973</v>
      </c>
      <c r="BV7" s="10">
        <f>IF(管理者入力シート!$B$14=1,BU4*管理者用人口入力シート!AW$4,IF(管理者入力シート!$B$14=2,BU4*管理者用人口入力シート!AW$8))</f>
        <v>67.938864387098931</v>
      </c>
      <c r="BW7" s="10">
        <f>IF(管理者入力シート!$B$14=1,BV4*管理者用人口入力シート!AX$4,IF(管理者入力シート!$B$14=2,BV4*管理者用人口入力シート!AX$8))</f>
        <v>61.191015777291113</v>
      </c>
      <c r="BX7" s="10">
        <f>IF(管理者入力シート!$B$14=1,BW4*管理者用人口入力シート!AY$4,IF(管理者入力シート!$B$14=2,BW4*管理者用人口入力シート!AY$8))</f>
        <v>92.117650956461645</v>
      </c>
      <c r="BY7" s="10">
        <f>IF(管理者入力シート!$B$14=1,BX4*管理者用人口入力シート!AZ$4,IF(管理者入力シート!$B$14=2,BX4*管理者用人口入力シート!AZ$8))</f>
        <v>101.89331374945141</v>
      </c>
      <c r="BZ7" s="10">
        <f>IF(管理者入力シート!$B$14=1,BY4*管理者用人口入力シート!BA$4,IF(管理者入力シート!$B$14=2,BY4*管理者用人口入力シート!BA$8))</f>
        <v>126.75725695191508</v>
      </c>
      <c r="CA7" s="10">
        <f>IF(管理者入力シート!$B$14=1,BZ4*管理者用人口入力シート!BB$4,IF(管理者入力シート!$B$14=2,BZ4*管理者用人口入力シート!BB$8))</f>
        <v>93.071209556843129</v>
      </c>
      <c r="CB7" s="10">
        <f>IF(管理者入力シート!$B$14=1,CA4*管理者用人口入力シート!BC$4,IF(管理者入力シート!$B$14=2,CA4*管理者用人口入力シート!BC$8))</f>
        <v>64.030036811449307</v>
      </c>
      <c r="CC7" s="10">
        <f>IF(管理者入力シート!$B$14=1,CB4*管理者用人口入力シート!BD$4,IF(管理者入力シート!$B$14=2,CB4*管理者用人口入力シート!BD$8))</f>
        <v>49.13483361733477</v>
      </c>
      <c r="CD7" s="10">
        <f>IF(管理者入力シート!$B$14=1,CC4*管理者用人口入力シート!BE$4,IF(管理者入力シート!$B$14=2,CC4*管理者用人口入力シート!BE$8))</f>
        <v>28.933121187634097</v>
      </c>
      <c r="CE7" s="10">
        <f>IF(管理者入力シート!$B$14=1,CD4*管理者用人口入力シート!BF$4,IF(管理者入力シート!$B$14=2,CD4*管理者用人口入力シート!BF$8))</f>
        <v>0.55748183280559949</v>
      </c>
      <c r="CF7" s="10">
        <f t="shared" si="2"/>
        <v>955.19842018697443</v>
      </c>
      <c r="CG7" s="10">
        <f t="shared" si="20"/>
        <v>23.870506220986918</v>
      </c>
      <c r="CH7" s="10">
        <f t="shared" si="21"/>
        <v>14.89917149499977</v>
      </c>
      <c r="CI7" s="10">
        <f t="shared" si="3"/>
        <v>556.494904663895</v>
      </c>
      <c r="CJ7" s="10">
        <f t="shared" si="22"/>
        <v>362.48393995798193</v>
      </c>
      <c r="CK7" s="14">
        <f t="shared" si="23"/>
        <v>0.58259613175968661</v>
      </c>
      <c r="CL7" s="14">
        <f t="shared" si="24"/>
        <v>0.37948548939918458</v>
      </c>
      <c r="CM7" s="10">
        <f t="shared" si="25"/>
        <v>69.655306198642847</v>
      </c>
      <c r="CO7" s="7" t="str">
        <f t="shared" si="26"/>
        <v>2030_2</v>
      </c>
      <c r="CP7" s="29">
        <f>CP6</f>
        <v>2030</v>
      </c>
      <c r="CQ7" s="4" t="s">
        <v>22</v>
      </c>
      <c r="CR7" s="10">
        <f>DT7*$AK$14+将来予測シート②!$H17</f>
        <v>11.633143306659425</v>
      </c>
      <c r="CS7" s="10">
        <f>IF(管理者入力シート!$B$14=1,CR4*管理者用人口入力シート!AM$4,IF(管理者入力シート!$B$14=2,CR4*管理者用人口入力シート!AM$8))+将来予測シート②!$H18</f>
        <v>17.698918951553885</v>
      </c>
      <c r="CT7" s="10">
        <f>IF(管理者入力シート!$B$14=1,CS4*管理者用人口入力シート!AN$4,IF(管理者入力シート!$B$14=2,CS4*管理者用人口入力シート!AN$8))+将来予測シート②!$H19</f>
        <v>24.287643139577462</v>
      </c>
      <c r="CU7" s="10">
        <f>IF(管理者入力シート!$B$14=1,CT4*管理者用人口入力シート!AO$4,IF(管理者入力シート!$B$14=2,CT4*管理者用人口入力シート!AO$8))+将来予測シート②!$H20</f>
        <v>28.757734807020018</v>
      </c>
      <c r="CV7" s="10">
        <f>IF(管理者入力シート!$B$14=1,CU4*管理者用人口入力シート!AP$4,IF(管理者入力シート!$B$14=2,CU4*管理者用人口入力シート!AP$8))+将来予測シート②!$H21</f>
        <v>20.248824021094723</v>
      </c>
      <c r="CW7" s="10">
        <f>IF(管理者入力シート!$B$14=1,CV4*管理者用人口入力シート!AQ$4,IF(管理者入力シート!$B$14=2,CV4*管理者用人口入力シート!AQ$8))+将来予測シート②!$H22</f>
        <v>17.540283974125874</v>
      </c>
      <c r="CX7" s="10">
        <f>IF(管理者入力シート!$B$14=1,CW4*管理者用人口入力シート!AR$4,IF(管理者入力シート!$B$14=2,CW4*管理者用人口入力シート!AR$8))+将来予測シート②!$H23</f>
        <v>15.895856837475602</v>
      </c>
      <c r="CY7" s="10">
        <f>IF(管理者入力シート!$B$14=1,CX4*管理者用人口入力シート!AS$4,IF(管理者入力シート!$B$14=2,CX4*管理者用人口入力シート!AS$8))+将来予測シート②!$H24</f>
        <v>19.593916113018985</v>
      </c>
      <c r="CZ7" s="10">
        <f>IF(管理者入力シート!$B$14=1,CY4*管理者用人口入力シート!AT$4,IF(管理者入力シート!$B$14=2,CY4*管理者用人口入力シート!AT$8))+将来予測シート②!$H25</f>
        <v>33.495236140632272</v>
      </c>
      <c r="DA7" s="10">
        <f>IF(管理者入力シート!$B$14=1,CZ4*管理者用人口入力シート!AU$4,IF(管理者入力シート!$B$14=2,CZ4*管理者用人口入力シート!AU$8))+将来予測シート②!$H26</f>
        <v>40.893673429029526</v>
      </c>
      <c r="DB7" s="10">
        <f>IF(管理者入力シート!$B$14=1,DA4*管理者用人口入力シート!AV$4,IF(管理者入力シート!$B$14=2,DA4*管理者用人口入力シート!AV$8))+将来予測シート②!$H27</f>
        <v>49.744924493640973</v>
      </c>
      <c r="DC7" s="10">
        <f>IF(管理者入力シート!$B$14=1,DB4*管理者用人口入力シート!AW$4,IF(管理者入力シート!$B$14=2,DB4*管理者用人口入力シート!AW$8))+将来予測シート②!$H28</f>
        <v>67.938864387098931</v>
      </c>
      <c r="DD7" s="10">
        <f>IF(管理者入力シート!$B$14=1,DC4*管理者用人口入力シート!AX$4,IF(管理者入力シート!$B$14=2,DC4*管理者用人口入力シート!AX$8))+将来予測シート②!$H29</f>
        <v>61.191015777291113</v>
      </c>
      <c r="DE7" s="10">
        <f>IF(管理者入力シート!$B$14=1,DD4*管理者用人口入力シート!AY$4,IF(管理者入力シート!$B$14=2,DD4*管理者用人口入力シート!AY$8))</f>
        <v>92.117650956461645</v>
      </c>
      <c r="DF7" s="10">
        <f>IF(管理者入力シート!$B$14=1,DE4*管理者用人口入力シート!AZ$4,IF(管理者入力シート!$B$14=2,DE4*管理者用人口入力シート!AZ$8))</f>
        <v>101.89331374945141</v>
      </c>
      <c r="DG7" s="10">
        <f>IF(管理者入力シート!$B$14=1,DF4*管理者用人口入力シート!BA$4,IF(管理者入力シート!$B$14=2,DF4*管理者用人口入力シート!BA$8))</f>
        <v>126.75725695191508</v>
      </c>
      <c r="DH7" s="10">
        <f>IF(管理者入力シート!$B$14=1,DG4*管理者用人口入力シート!BB$4,IF(管理者入力シート!$B$14=2,DG4*管理者用人口入力シート!BB$8))</f>
        <v>93.071209556843129</v>
      </c>
      <c r="DI7" s="10">
        <f>IF(管理者入力シート!$B$14=1,DH4*管理者用人口入力シート!BC$4,IF(管理者入力シート!$B$14=2,DH4*管理者用人口入力シート!BC$8))</f>
        <v>64.030036811449307</v>
      </c>
      <c r="DJ7" s="10">
        <f>IF(管理者入力シート!$B$14=1,DI4*管理者用人口入力シート!BD$4,IF(管理者入力シート!$B$14=2,DI4*管理者用人口入力シート!BD$8))</f>
        <v>49.13483361733477</v>
      </c>
      <c r="DK7" s="10">
        <f>IF(管理者入力シート!$B$14=1,DJ4*管理者用人口入力シート!BE$4,IF(管理者入力シート!$B$14=2,DJ4*管理者用人口入力シート!BE$8))</f>
        <v>28.933121187634097</v>
      </c>
      <c r="DL7" s="10">
        <f>IF(管理者入力シート!$B$14=1,DK4*管理者用人口入力シート!BF$4,IF(管理者入力シート!$B$14=2,DK4*管理者用人口入力シート!BF$8))</f>
        <v>0.55748183280559949</v>
      </c>
      <c r="DM7" s="10">
        <f t="shared" si="69"/>
        <v>965.41494004211381</v>
      </c>
      <c r="DN7" s="10">
        <f t="shared" si="34"/>
        <v>25.191937254678813</v>
      </c>
      <c r="DO7" s="10">
        <f t="shared" si="35"/>
        <v>15.466604217234988</v>
      </c>
      <c r="DP7" s="10">
        <f t="shared" si="6"/>
        <v>556.494904663895</v>
      </c>
      <c r="DQ7" s="10">
        <f t="shared" si="36"/>
        <v>362.48393995798193</v>
      </c>
      <c r="DR7" s="14">
        <f t="shared" si="37"/>
        <v>0.57643079838770606</v>
      </c>
      <c r="DS7" s="14">
        <f t="shared" si="38"/>
        <v>0.37546957781922191</v>
      </c>
      <c r="DT7" s="10">
        <f t="shared" si="70"/>
        <v>73.278880945715173</v>
      </c>
      <c r="DV7" s="7" t="s">
        <v>401</v>
      </c>
      <c r="DW7" s="210">
        <f>(SUM(BK12:BW12)-SUM(D12:P12))/4</f>
        <v>-85.71688744518211</v>
      </c>
      <c r="DX7" s="29">
        <f>DX6</f>
        <v>2030</v>
      </c>
      <c r="DY7" s="4" t="s">
        <v>22</v>
      </c>
      <c r="DZ7" s="10">
        <f>FB7*$AK$14</f>
        <v>30.897311088056934</v>
      </c>
      <c r="EA7" s="10">
        <f>IF(管理者入力シート!$B$14=1,DZ4*管理者用人口入力シート!AM$4,IF(管理者入力シート!$B$14=2,DZ4*管理者用人口入力シート!AM$8))</f>
        <v>16.496533895400734</v>
      </c>
      <c r="EB7" s="10">
        <f>IF(管理者入力シート!$B$14=1,EA4*管理者用人口入力シート!AN$4,IF(管理者入力シート!$B$14=2,EA4*管理者用人口入力シート!AN$8))</f>
        <v>23.287643139577462</v>
      </c>
      <c r="EC7" s="10">
        <f>IF(管理者入力シート!$B$14=1,EB4*管理者用人口入力シート!AO$4,IF(管理者入力シート!$B$14=2,EB4*管理者用人口入力シート!AO$8))</f>
        <v>27.920571195843927</v>
      </c>
      <c r="ED7" s="10">
        <f>IF(管理者入力シート!$B$14=1,EC4*管理者用人口入力シート!AP$4,IF(管理者入力シート!$B$14=2,EC4*管理者用人口入力シート!AP$8))</f>
        <v>20.248824021094723</v>
      </c>
      <c r="EE7" s="10">
        <f>IF(管理者入力シート!$B$14=1,ED4*管理者用人口入力シート!AQ$4,IF(管理者入力シート!$B$14=2,ED4*管理者用人口入力シート!AQ$8))+DX1</f>
        <v>45.54028397412587</v>
      </c>
      <c r="EF7" s="10">
        <f>IF(管理者入力シート!$B$14=1,EE4*管理者用人口入力シート!AR$4,IF(管理者入力シート!$B$14=2,EE4*管理者用人口入力シート!AR$8))+DX1</f>
        <v>68.625903296488161</v>
      </c>
      <c r="EG7" s="10">
        <f>IF(管理者入力シート!$B$14=1,EF4*管理者用人口入力シート!AS$4,IF(管理者入力シート!$B$14=2,EF4*管理者用人口入力シート!AS$8))+DX1</f>
        <v>78.515475533053092</v>
      </c>
      <c r="EH7" s="10">
        <f>IF(管理者入力シート!$B$14=1,EG4*管理者用人口入力シート!AT$4,IF(管理者入力シート!$B$14=2,EG4*管理者用人口入力シート!AT$8))</f>
        <v>63.082502953736615</v>
      </c>
      <c r="EI7" s="10">
        <f>IF(管理者入力シート!$B$14=1,EH4*管理者用人口入力シート!AU$4,IF(管理者入力シート!$B$14=2,EH4*管理者用人口入力シート!AU$8))</f>
        <v>39.866076360099164</v>
      </c>
      <c r="EJ7" s="10">
        <f>IF(管理者入力シート!$B$14=1,EI4*管理者用人口入力シート!AV$4,IF(管理者入力シート!$B$14=2,EI4*管理者用人口入力シート!AV$8))</f>
        <v>49.744924493640973</v>
      </c>
      <c r="EK7" s="10">
        <f>IF(管理者入力シート!$B$14=1,EJ4*管理者用人口入力シート!AW$4,IF(管理者入力シート!$B$14=2,EJ4*管理者用人口入力シート!AW$8))</f>
        <v>67.938864387098931</v>
      </c>
      <c r="EL7" s="10">
        <f>IF(管理者入力シート!$B$14=1,EK4*管理者用人口入力シート!AX$4,IF(管理者入力シート!$B$14=2,EK4*管理者用人口入力シート!AX$8))</f>
        <v>61.191015777291113</v>
      </c>
      <c r="EM7" s="10">
        <f>IF(管理者入力シート!$B$14=1,EL4*管理者用人口入力シート!AY$4,IF(管理者入力シート!$B$14=2,EL4*管理者用人口入力シート!AY$8))</f>
        <v>92.117650956461645</v>
      </c>
      <c r="EN7" s="10">
        <f>IF(管理者入力シート!$B$14=1,EM4*管理者用人口入力シート!AZ$4,IF(管理者入力シート!$B$14=2,EM4*管理者用人口入力シート!AZ$8))</f>
        <v>101.89331374945141</v>
      </c>
      <c r="EO7" s="10">
        <f>IF(管理者入力シート!$B$14=1,EN4*管理者用人口入力シート!BA$4,IF(管理者入力シート!$B$14=2,EN4*管理者用人口入力シート!BA$8))</f>
        <v>126.75725695191508</v>
      </c>
      <c r="EP7" s="10">
        <f>IF(管理者入力シート!$B$14=1,EO4*管理者用人口入力シート!BB$4,IF(管理者入力シート!$B$14=2,EO4*管理者用人口入力シート!BB$8))</f>
        <v>93.071209556843129</v>
      </c>
      <c r="EQ7" s="10">
        <f>IF(管理者入力シート!$B$14=1,EP4*管理者用人口入力シート!BC$4,IF(管理者入力シート!$B$14=2,EP4*管理者用人口入力シート!BC$8))</f>
        <v>64.030036811449307</v>
      </c>
      <c r="ER7" s="10">
        <f>IF(管理者入力シート!$B$14=1,EQ4*管理者用人口入力シート!BD$4,IF(管理者入力シート!$B$14=2,EQ4*管理者用人口入力シート!BD$8))</f>
        <v>49.13483361733477</v>
      </c>
      <c r="ES7" s="10">
        <f>IF(管理者入力シート!$B$14=1,ER4*管理者用人口入力シート!BE$4,IF(管理者入力シート!$B$14=2,ER4*管理者用人口入力シート!BE$8))</f>
        <v>28.933121187634097</v>
      </c>
      <c r="ET7" s="10">
        <f>IF(管理者入力シート!$B$14=1,ES4*管理者用人口入力シート!BF$4,IF(管理者入力シート!$B$14=2,ES4*管理者用人口入力シート!BF$8))</f>
        <v>0.55748183280559949</v>
      </c>
      <c r="EU7" s="10">
        <f t="shared" si="71"/>
        <v>1149.8508347794027</v>
      </c>
      <c r="EV7" s="10">
        <f t="shared" si="41"/>
        <v>23.870506220986918</v>
      </c>
      <c r="EW7" s="10">
        <f t="shared" si="42"/>
        <v>14.89917149499977</v>
      </c>
      <c r="EX7" s="10">
        <f t="shared" si="10"/>
        <v>556.494904663895</v>
      </c>
      <c r="EY7" s="10">
        <f t="shared" si="43"/>
        <v>362.48393995798193</v>
      </c>
      <c r="EZ7" s="14">
        <f t="shared" si="44"/>
        <v>0.48397138814153906</v>
      </c>
      <c r="FA7" s="14">
        <f t="shared" si="45"/>
        <v>0.31524431603993569</v>
      </c>
      <c r="FB7" s="10">
        <f t="shared" si="72"/>
        <v>212.93048682476186</v>
      </c>
    </row>
    <row r="8" spans="1:158" x14ac:dyDescent="0.15">
      <c r="A8" s="7" t="str">
        <f t="shared" si="11"/>
        <v>2010_3</v>
      </c>
      <c r="B8" s="30">
        <v>2010</v>
      </c>
      <c r="C8" s="5" t="s">
        <v>23</v>
      </c>
      <c r="D8" s="11">
        <v>72</v>
      </c>
      <c r="E8" s="11">
        <v>81</v>
      </c>
      <c r="F8" s="11">
        <v>117</v>
      </c>
      <c r="G8" s="11">
        <v>145</v>
      </c>
      <c r="H8" s="11">
        <v>109</v>
      </c>
      <c r="I8" s="11">
        <v>97</v>
      </c>
      <c r="J8" s="11">
        <v>117</v>
      </c>
      <c r="K8" s="11">
        <v>111</v>
      </c>
      <c r="L8" s="11">
        <v>114</v>
      </c>
      <c r="M8" s="11">
        <v>173</v>
      </c>
      <c r="N8" s="11">
        <v>216</v>
      </c>
      <c r="O8" s="11">
        <v>269</v>
      </c>
      <c r="P8" s="11">
        <v>273</v>
      </c>
      <c r="Q8" s="11">
        <v>224</v>
      </c>
      <c r="R8" s="11">
        <v>235</v>
      </c>
      <c r="S8" s="11">
        <v>254</v>
      </c>
      <c r="T8" s="11">
        <v>213</v>
      </c>
      <c r="U8" s="11">
        <v>100</v>
      </c>
      <c r="V8" s="11">
        <v>50</v>
      </c>
      <c r="W8" s="11">
        <v>17</v>
      </c>
      <c r="X8" s="11">
        <v>1</v>
      </c>
      <c r="Y8" s="11">
        <f t="shared" si="68"/>
        <v>2988</v>
      </c>
      <c r="Z8" s="11">
        <f t="shared" si="12"/>
        <v>118.80000000000001</v>
      </c>
      <c r="AA8" s="11">
        <f t="shared" si="13"/>
        <v>75.8</v>
      </c>
      <c r="AB8" s="11">
        <f t="shared" si="0"/>
        <v>1094</v>
      </c>
      <c r="AC8" s="11">
        <f t="shared" si="14"/>
        <v>635</v>
      </c>
      <c r="AD8" s="15">
        <f t="shared" si="15"/>
        <v>0.36613119143239625</v>
      </c>
      <c r="AE8" s="15">
        <f t="shared" si="16"/>
        <v>0.21251673360107096</v>
      </c>
      <c r="AF8" s="11">
        <f t="shared" si="17"/>
        <v>434</v>
      </c>
      <c r="AH8" s="7"/>
      <c r="AI8" s="30" t="s">
        <v>88</v>
      </c>
      <c r="AJ8" s="5">
        <f>AJ7</f>
        <v>2010</v>
      </c>
      <c r="AK8" s="5">
        <f>AK7</f>
        <v>2020</v>
      </c>
      <c r="AL8" s="33" t="s">
        <v>22</v>
      </c>
      <c r="AM8" s="47">
        <f t="shared" si="73"/>
        <v>1.2023850561531497</v>
      </c>
      <c r="AN8" s="47">
        <f t="shared" si="73"/>
        <v>1.0748948080710934</v>
      </c>
      <c r="AO8" s="47">
        <f t="shared" si="73"/>
        <v>0.83716361117609184</v>
      </c>
      <c r="AP8" s="47">
        <f t="shared" si="73"/>
        <v>0.58914416814511539</v>
      </c>
      <c r="AQ8" s="47">
        <f t="shared" si="73"/>
        <v>0.6272857644339439</v>
      </c>
      <c r="AR8" s="47">
        <f t="shared" si="73"/>
        <v>0.81178737353616282</v>
      </c>
      <c r="AS8" s="47">
        <f t="shared" si="73"/>
        <v>0.96405198066780362</v>
      </c>
      <c r="AT8" s="47">
        <f t="shared" si="73"/>
        <v>1.0195755604368113</v>
      </c>
      <c r="AU8" s="47">
        <f t="shared" si="73"/>
        <v>1.027597068930362</v>
      </c>
      <c r="AV8" s="47">
        <f t="shared" si="73"/>
        <v>1.0075552957009413</v>
      </c>
      <c r="AW8" s="47">
        <f t="shared" si="73"/>
        <v>1.036129697942229</v>
      </c>
      <c r="AX8" s="47">
        <f t="shared" si="73"/>
        <v>0.99956899401813459</v>
      </c>
      <c r="AY8" s="47">
        <f t="shared" si="73"/>
        <v>1.0110326733406285</v>
      </c>
      <c r="AZ8" s="47">
        <f t="shared" si="73"/>
        <v>0.95868967099129343</v>
      </c>
      <c r="BA8" s="47">
        <f t="shared" si="73"/>
        <v>0.94268973817319446</v>
      </c>
      <c r="BB8" s="47">
        <f t="shared" si="73"/>
        <v>0.84254991843971994</v>
      </c>
      <c r="BC8" s="47">
        <f t="shared" si="73"/>
        <v>0.78227265917515731</v>
      </c>
      <c r="BD8" s="47">
        <f t="shared" si="73"/>
        <v>0.56997893212039075</v>
      </c>
      <c r="BE8" s="47">
        <f t="shared" si="73"/>
        <v>0.5065693050462563</v>
      </c>
      <c r="BF8" s="47">
        <f t="shared" si="73"/>
        <v>1.9611613513818404E-2</v>
      </c>
      <c r="BH8" s="7" t="str">
        <f t="shared" si="19"/>
        <v>2030_3</v>
      </c>
      <c r="BI8" s="30">
        <f>BI7</f>
        <v>2030</v>
      </c>
      <c r="BJ8" s="5" t="s">
        <v>23</v>
      </c>
      <c r="BK8" s="16">
        <f>BK6+BK7</f>
        <v>24.205665442612791</v>
      </c>
      <c r="BL8" s="16">
        <f t="shared" ref="BL8" si="74">BL6+BL7</f>
        <v>36.286572479057938</v>
      </c>
      <c r="BM8" s="16">
        <f t="shared" ref="BM8" si="75">BM6+BM7</f>
        <v>47.895804702834084</v>
      </c>
      <c r="BN8" s="16">
        <f t="shared" ref="BN8" si="76">BN6+BN7</f>
        <v>54.081011571577449</v>
      </c>
      <c r="BO8" s="16">
        <f t="shared" ref="BO8" si="77">BO6+BO7</f>
        <v>35.842426696690275</v>
      </c>
      <c r="BP8" s="16">
        <f t="shared" ref="BP8" si="78">BP6+BP7</f>
        <v>30.350402049607659</v>
      </c>
      <c r="BQ8" s="16">
        <f t="shared" ref="BQ8" si="79">BQ6+BQ7</f>
        <v>35.179275704662665</v>
      </c>
      <c r="BR8" s="16">
        <f t="shared" ref="BR8" si="80">BR6+BR7</f>
        <v>43.474163518314356</v>
      </c>
      <c r="BS8" s="16">
        <f t="shared" ref="BS8" si="81">BS6+BS7</f>
        <v>67.407285744241818</v>
      </c>
      <c r="BT8" s="16">
        <f t="shared" ref="BT8" si="82">BT6+BT7</f>
        <v>90.095310816138237</v>
      </c>
      <c r="BU8" s="16">
        <f t="shared" ref="BU8" si="83">BU6+BU7</f>
        <v>104.14268429934053</v>
      </c>
      <c r="BV8" s="16">
        <f t="shared" ref="BV8" si="84">BV6+BV7</f>
        <v>126.55879122508577</v>
      </c>
      <c r="BW8" s="16">
        <f t="shared" ref="BW8" si="85">BW6+BW7</f>
        <v>109.35660946702518</v>
      </c>
      <c r="BX8" s="16">
        <f t="shared" ref="BX8" si="86">BX6+BX7</f>
        <v>168.16898423991472</v>
      </c>
      <c r="BY8" s="16">
        <f t="shared" ref="BY8" si="87">BY6+BY7</f>
        <v>202.24668448258407</v>
      </c>
      <c r="BZ8" s="16">
        <f t="shared" ref="BZ8" si="88">BZ6+BZ7</f>
        <v>229.17129737013852</v>
      </c>
      <c r="CA8" s="16">
        <f t="shared" ref="CA8" si="89">CA6+CA7</f>
        <v>179.45867275885792</v>
      </c>
      <c r="CB8" s="16">
        <f t="shared" ref="CB8" si="90">CB6+CB7</f>
        <v>105.7798996167592</v>
      </c>
      <c r="CC8" s="16">
        <f t="shared" ref="CC8" si="91">CC6+CC7</f>
        <v>68.186161302828197</v>
      </c>
      <c r="CD8" s="16">
        <f t="shared" ref="CD8" si="92">CD6+CD7</f>
        <v>37.243392327635391</v>
      </c>
      <c r="CE8" s="16">
        <f t="shared" ref="CE8" si="93">CE6+CE7</f>
        <v>0.69055090765894156</v>
      </c>
      <c r="CF8" s="11">
        <f t="shared" si="2"/>
        <v>1795.8216467235657</v>
      </c>
      <c r="CG8" s="11">
        <f t="shared" si="20"/>
        <v>50.509426309135208</v>
      </c>
      <c r="CH8" s="11">
        <f t="shared" si="21"/>
        <v>29.974524195449124</v>
      </c>
      <c r="CI8" s="11">
        <f t="shared" si="3"/>
        <v>990.94564300637694</v>
      </c>
      <c r="CJ8" s="11">
        <f t="shared" si="22"/>
        <v>620.52997428387812</v>
      </c>
      <c r="CK8" s="15">
        <f t="shared" si="23"/>
        <v>0.551806269188443</v>
      </c>
      <c r="CL8" s="15">
        <f t="shared" si="24"/>
        <v>0.34554098143099038</v>
      </c>
      <c r="CM8" s="11">
        <f t="shared" si="25"/>
        <v>144.84626796927495</v>
      </c>
      <c r="CO8" s="7" t="str">
        <f t="shared" si="26"/>
        <v>2030_3</v>
      </c>
      <c r="CP8" s="30">
        <f>CP7</f>
        <v>2030</v>
      </c>
      <c r="CQ8" s="5" t="s">
        <v>23</v>
      </c>
      <c r="CR8" s="16">
        <f>CR6+CR7</f>
        <v>27.464880896835314</v>
      </c>
      <c r="CS8" s="16">
        <f t="shared" ref="CS8" si="94">CS6+CS7</f>
        <v>38.523068495471293</v>
      </c>
      <c r="CT8" s="16">
        <f t="shared" ref="CT8" si="95">CT6+CT7</f>
        <v>49.895804702834084</v>
      </c>
      <c r="CU8" s="16">
        <f t="shared" ref="CU8" si="96">CU6+CU7</f>
        <v>55.751076004717376</v>
      </c>
      <c r="CV8" s="16">
        <f t="shared" ref="CV8" si="97">CV6+CV7</f>
        <v>35.842426696690275</v>
      </c>
      <c r="CW8" s="16">
        <f t="shared" ref="CW8" si="98">CW6+CW7</f>
        <v>34.350402049607666</v>
      </c>
      <c r="CX8" s="16">
        <f t="shared" ref="CX8" si="99">CX6+CX7</f>
        <v>38.680942388676172</v>
      </c>
      <c r="CY8" s="16">
        <f t="shared" ref="CY8" si="100">CY6+CY7</f>
        <v>43.474163518314356</v>
      </c>
      <c r="CZ8" s="16">
        <f t="shared" ref="CZ8" si="101">CZ6+CZ7</f>
        <v>68.407285744241818</v>
      </c>
      <c r="DA8" s="16">
        <f t="shared" ref="DA8" si="102">DA6+DA7</f>
        <v>91.122907885068599</v>
      </c>
      <c r="DB8" s="16">
        <f t="shared" ref="DB8" si="103">DB6+DB7</f>
        <v>104.14268429934053</v>
      </c>
      <c r="DC8" s="16">
        <f t="shared" ref="DC8" si="104">DC6+DC7</f>
        <v>126.55879122508577</v>
      </c>
      <c r="DD8" s="16">
        <f t="shared" ref="DD8" si="105">DD6+DD7</f>
        <v>109.35660946702518</v>
      </c>
      <c r="DE8" s="16">
        <f t="shared" ref="DE8" si="106">DE6+DE7</f>
        <v>168.16898423991472</v>
      </c>
      <c r="DF8" s="16">
        <f t="shared" ref="DF8" si="107">DF6+DF7</f>
        <v>202.24668448258407</v>
      </c>
      <c r="DG8" s="16">
        <f t="shared" ref="DG8" si="108">DG6+DG7</f>
        <v>229.17129737013852</v>
      </c>
      <c r="DH8" s="16">
        <f t="shared" ref="DH8" si="109">DH6+DH7</f>
        <v>179.45867275885792</v>
      </c>
      <c r="DI8" s="16">
        <f t="shared" ref="DI8" si="110">DI6+DI7</f>
        <v>105.7798996167592</v>
      </c>
      <c r="DJ8" s="16">
        <f t="shared" ref="DJ8" si="111">DJ6+DJ7</f>
        <v>68.186161302828197</v>
      </c>
      <c r="DK8" s="16">
        <f t="shared" ref="DK8" si="112">DK6+DK7</f>
        <v>37.243392327635391</v>
      </c>
      <c r="DL8" s="16">
        <f t="shared" ref="DL8" si="113">DL6+DL7</f>
        <v>0.69055090765894156</v>
      </c>
      <c r="DM8" s="11">
        <f t="shared" si="69"/>
        <v>1814.5166863802851</v>
      </c>
      <c r="DN8" s="11">
        <f t="shared" si="34"/>
        <v>53.051323918983229</v>
      </c>
      <c r="DO8" s="11">
        <f t="shared" si="35"/>
        <v>31.10853708207711</v>
      </c>
      <c r="DP8" s="11">
        <f t="shared" si="6"/>
        <v>990.94564300637694</v>
      </c>
      <c r="DQ8" s="11">
        <f t="shared" si="36"/>
        <v>620.52997428387812</v>
      </c>
      <c r="DR8" s="15">
        <f t="shared" si="37"/>
        <v>0.54612098662105957</v>
      </c>
      <c r="DS8" s="15">
        <f t="shared" si="38"/>
        <v>0.34198085856226063</v>
      </c>
      <c r="DT8" s="11">
        <f t="shared" si="70"/>
        <v>152.34793465328846</v>
      </c>
      <c r="DV8" s="7" t="s">
        <v>402</v>
      </c>
      <c r="DW8" s="210">
        <f>(SUM(BK13:BW13)-SUM(D13:P13))/4</f>
        <v>-93.792911981209272</v>
      </c>
      <c r="DX8" s="30">
        <f>DX7</f>
        <v>2030</v>
      </c>
      <c r="DY8" s="5" t="s">
        <v>23</v>
      </c>
      <c r="DZ8" s="16">
        <f>DZ6+DZ7</f>
        <v>73.994709202976395</v>
      </c>
      <c r="EA8" s="16">
        <f t="shared" ref="EA8:ET8" si="114">EA6+EA7</f>
        <v>36.286572479057938</v>
      </c>
      <c r="EB8" s="16">
        <f t="shared" si="114"/>
        <v>47.895804702834084</v>
      </c>
      <c r="EC8" s="16">
        <f t="shared" si="114"/>
        <v>54.081011571577449</v>
      </c>
      <c r="ED8" s="16">
        <f t="shared" si="114"/>
        <v>35.842426696690275</v>
      </c>
      <c r="EE8" s="16">
        <f t="shared" si="114"/>
        <v>90.350402049607652</v>
      </c>
      <c r="EF8" s="16">
        <f t="shared" si="114"/>
        <v>147.70427596486525</v>
      </c>
      <c r="EG8" s="16">
        <f t="shared" si="114"/>
        <v>159.50258191008231</v>
      </c>
      <c r="EH8" s="16">
        <f t="shared" si="114"/>
        <v>130.93667122978036</v>
      </c>
      <c r="EI8" s="16">
        <f t="shared" si="114"/>
        <v>90.095310816138237</v>
      </c>
      <c r="EJ8" s="16">
        <f t="shared" si="114"/>
        <v>104.14268429934053</v>
      </c>
      <c r="EK8" s="16">
        <f t="shared" si="114"/>
        <v>126.55879122508577</v>
      </c>
      <c r="EL8" s="16">
        <f t="shared" si="114"/>
        <v>109.35660946702518</v>
      </c>
      <c r="EM8" s="16">
        <f t="shared" si="114"/>
        <v>168.16898423991472</v>
      </c>
      <c r="EN8" s="16">
        <f t="shared" si="114"/>
        <v>202.24668448258407</v>
      </c>
      <c r="EO8" s="16">
        <f t="shared" si="114"/>
        <v>229.17129737013852</v>
      </c>
      <c r="EP8" s="16">
        <f t="shared" si="114"/>
        <v>179.45867275885792</v>
      </c>
      <c r="EQ8" s="16">
        <f t="shared" si="114"/>
        <v>105.7798996167592</v>
      </c>
      <c r="ER8" s="16">
        <f t="shared" si="114"/>
        <v>68.186161302828197</v>
      </c>
      <c r="ES8" s="16">
        <f t="shared" si="114"/>
        <v>37.243392327635391</v>
      </c>
      <c r="ET8" s="16">
        <f t="shared" si="114"/>
        <v>0.69055090765894156</v>
      </c>
      <c r="EU8" s="11">
        <f t="shared" si="71"/>
        <v>2197.6934946214387</v>
      </c>
      <c r="EV8" s="11">
        <f t="shared" si="41"/>
        <v>50.509426309135208</v>
      </c>
      <c r="EW8" s="11">
        <f t="shared" si="42"/>
        <v>29.974524195449124</v>
      </c>
      <c r="EX8" s="11">
        <f t="shared" si="10"/>
        <v>990.94564300637694</v>
      </c>
      <c r="EY8" s="11">
        <f t="shared" si="43"/>
        <v>620.52997428387812</v>
      </c>
      <c r="EZ8" s="15">
        <f t="shared" si="44"/>
        <v>0.45090256918518623</v>
      </c>
      <c r="FA8" s="15">
        <f t="shared" si="45"/>
        <v>0.28235510356769145</v>
      </c>
      <c r="FB8" s="11">
        <f t="shared" si="72"/>
        <v>433.39968662124545</v>
      </c>
    </row>
    <row r="9" spans="1:158" x14ac:dyDescent="0.15">
      <c r="A9" s="7" t="str">
        <f t="shared" si="11"/>
        <v>2015_1</v>
      </c>
      <c r="B9" s="28">
        <v>2015</v>
      </c>
      <c r="C9" s="3" t="s">
        <v>21</v>
      </c>
      <c r="D9" s="9">
        <v>28.048723897911835</v>
      </c>
      <c r="E9" s="9">
        <v>37.071925754060324</v>
      </c>
      <c r="F9" s="9">
        <v>40.074245939675173</v>
      </c>
      <c r="G9" s="9">
        <v>41.062645011600928</v>
      </c>
      <c r="H9" s="9">
        <v>32.064965197215777</v>
      </c>
      <c r="I9" s="9">
        <v>37.067285382830626</v>
      </c>
      <c r="J9" s="9">
        <v>51.090487238979115</v>
      </c>
      <c r="K9" s="9">
        <v>52.085846867749417</v>
      </c>
      <c r="L9" s="9">
        <v>57.085846867749417</v>
      </c>
      <c r="M9" s="9">
        <v>54.09512761020882</v>
      </c>
      <c r="N9" s="9">
        <v>79.118329466357309</v>
      </c>
      <c r="O9" s="9">
        <v>118.19257540603249</v>
      </c>
      <c r="P9" s="9">
        <v>142.22969837587007</v>
      </c>
      <c r="Q9" s="9">
        <v>143.22737819025522</v>
      </c>
      <c r="R9" s="9">
        <v>95.136890951276101</v>
      </c>
      <c r="S9" s="9">
        <v>83.127610208816705</v>
      </c>
      <c r="T9" s="9">
        <v>88.120649651972158</v>
      </c>
      <c r="U9" s="9">
        <v>51.078886310904871</v>
      </c>
      <c r="V9" s="9">
        <v>8.0139211136890953</v>
      </c>
      <c r="W9" s="9">
        <v>4.0069605568445477</v>
      </c>
      <c r="X9" s="9">
        <v>0</v>
      </c>
      <c r="Y9" s="9">
        <f t="shared" si="68"/>
        <v>1242</v>
      </c>
      <c r="Z9" s="9">
        <f t="shared" si="12"/>
        <v>46.287703016241295</v>
      </c>
      <c r="AA9" s="9">
        <f t="shared" si="13"/>
        <v>24.242227378190254</v>
      </c>
      <c r="AB9" s="9">
        <f t="shared" si="0"/>
        <v>472.71229698375868</v>
      </c>
      <c r="AC9" s="9">
        <f t="shared" si="14"/>
        <v>234.34802784222737</v>
      </c>
      <c r="AD9" s="13">
        <f t="shared" si="15"/>
        <v>0.38060571415761568</v>
      </c>
      <c r="AE9" s="13">
        <f t="shared" si="16"/>
        <v>0.18868601275541655</v>
      </c>
      <c r="AF9" s="9">
        <f t="shared" si="17"/>
        <v>172.30858468677494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11.238465157390241</v>
      </c>
      <c r="BL9" s="9">
        <f>IF(管理者入力シート!$B$14=1,BK6*管理者用人口入力シート!AM$3,IF(管理者入力シート!$B$14=2,BK6*管理者用人口入力シート!AM$7))</f>
        <v>14.57922879244769</v>
      </c>
      <c r="BM9" s="9">
        <f>IF(管理者入力シート!$B$14=1,BL6*管理者用人口入力シート!AN$3,IF(管理者入力シート!$B$14=2,BL6*管理者用人口入力シート!AN$7))</f>
        <v>18.737528266338376</v>
      </c>
      <c r="BN9" s="9">
        <f>IF(管理者入力シート!$B$14=1,BM6*管理者用人口入力シート!AO$3,IF(管理者入力シート!$B$14=2,BM6*管理者用人口入力シート!AO$7))</f>
        <v>20.496157993055522</v>
      </c>
      <c r="BO9" s="9">
        <f>IF(管理者入力シート!$B$14=1,BN6*管理者用人口入力シート!AP$3,IF(管理者入力シート!$B$14=2,BN6*管理者用人口入力シート!AP$7))</f>
        <v>14.764784923316444</v>
      </c>
      <c r="BP9" s="9">
        <f>IF(管理者入力シート!$B$14=1,BO6*管理者用人口入力シート!AQ$3,IF(管理者入力シート!$B$14=2,BO6*管理者用人口入力シート!AQ$7))</f>
        <v>12.334507424150503</v>
      </c>
      <c r="BQ9" s="9">
        <f>IF(管理者入力シート!$B$14=1,BP6*管理者用人口入力シート!AR$3,IF(管理者入力シート!$B$14=2,BP6*管理者用人口入力シート!AR$7))</f>
        <v>13.907381671354585</v>
      </c>
      <c r="BR9" s="9">
        <f>IF(管理者入力シート!$B$14=1,BQ6*管理者用人口入力シート!AS$3,IF(管理者入力シート!$B$14=2,BQ6*管理者用人口入力シート!AS$7))</f>
        <v>18.890764247488992</v>
      </c>
      <c r="BS9" s="9">
        <f>IF(管理者入力シート!$B$14=1,BR6*管理者用人口入力シート!AT$3,IF(管理者入力シート!$B$14=2,BR6*管理者用人口入力シート!AT$7))</f>
        <v>26.222198131744278</v>
      </c>
      <c r="BT9" s="9">
        <f>IF(管理者入力シート!$B$14=1,BS6*管理者用人口入力シート!AU$3,IF(管理者入力シート!$B$14=2,BS6*管理者用人口入力シート!AU$7))</f>
        <v>33.799744935568519</v>
      </c>
      <c r="BU9" s="9">
        <f>IF(管理者入力シート!$B$14=1,BT6*管理者用人口入力シート!AV$3,IF(管理者入力シート!$B$14=2,BT6*管理者用人口入力シート!AV$7))</f>
        <v>48.402946591072173</v>
      </c>
      <c r="BV9" s="9">
        <f>IF(管理者入力シート!$B$14=1,BU6*管理者用人口入力シート!AW$3,IF(管理者入力シート!$B$14=2,BU6*管理者用人口入力シート!AW$7))</f>
        <v>53.960119592723458</v>
      </c>
      <c r="BW9" s="9">
        <f>IF(管理者入力シート!$B$14=1,BV6*管理者用人口入力シート!AX$3,IF(管理者入力シート!$B$14=2,BV6*管理者用人口入力シート!AX$7))</f>
        <v>58.988205586669523</v>
      </c>
      <c r="BX9" s="9">
        <f>IF(管理者入力シート!$B$14=1,BW6*管理者用人口入力シート!AY$3,IF(管理者入力シート!$B$14=2,BW6*管理者用人口入力シート!AY$7))</f>
        <v>47.642567491556321</v>
      </c>
      <c r="BY9" s="9">
        <f>IF(管理者入力シート!$B$14=1,BX6*管理者用人口入力シート!AZ$3,IF(管理者入力シート!$B$14=2,BX6*管理者用人口入力シート!AZ$7))</f>
        <v>67.921466598879022</v>
      </c>
      <c r="BZ9" s="9">
        <f>IF(管理者入力シート!$B$14=1,BY6*管理者用人口入力シート!BA$3,IF(管理者入力シート!$B$14=2,BY6*管理者用人口入力シート!BA$7))</f>
        <v>79.492150562369176</v>
      </c>
      <c r="CA9" s="9">
        <f>IF(管理者入力シート!$B$14=1,BZ6*管理者用人口入力シート!BB$3,IF(管理者入力シート!$B$14=2,BZ6*管理者用人口入力シート!BB$7))</f>
        <v>86.122504502810116</v>
      </c>
      <c r="CB9" s="9">
        <f>IF(管理者入力シート!$B$14=1,CA6*管理者用人口入力シート!BC$3,IF(管理者入力シート!$B$14=2,CA6*管理者用人口入力シート!BC$7))</f>
        <v>56.881507861996383</v>
      </c>
      <c r="CC9" s="9">
        <f>IF(管理者入力シート!$B$14=1,CB6*管理者用人口入力シート!BD$3,IF(管理者入力シート!$B$14=2,CB6*管理者用人口入力シート!BD$7))</f>
        <v>16.923657824460594</v>
      </c>
      <c r="CD9" s="9">
        <f>IF(管理者入力シート!$B$14=1,CC6*管理者用人口入力シート!BE$3,IF(管理者入力シート!$B$14=2,CC6*管理者用人口入力シート!BE$7))</f>
        <v>6.3681073455941082</v>
      </c>
      <c r="CE9" s="9">
        <f>IF(管理者入力シート!$B$14=1,CD6*管理者用人口入力シート!BF$3,IF(管理者入力シート!$B$14=2,CD6*管理者用人口入力シート!BF$7))</f>
        <v>0.13161980350717056</v>
      </c>
      <c r="CF9" s="9">
        <f t="shared" si="2"/>
        <v>707.80561530449324</v>
      </c>
      <c r="CG9" s="9">
        <f t="shared" si="20"/>
        <v>19.990054235271639</v>
      </c>
      <c r="CH9" s="9">
        <f t="shared" si="21"/>
        <v>11.594242905146455</v>
      </c>
      <c r="CI9" s="9">
        <f t="shared" si="3"/>
        <v>361.48358199117291</v>
      </c>
      <c r="CJ9" s="9">
        <f t="shared" si="22"/>
        <v>245.91954790073757</v>
      </c>
      <c r="CK9" s="13">
        <f t="shared" si="23"/>
        <v>0.51071024893701233</v>
      </c>
      <c r="CL9" s="13">
        <f t="shared" si="24"/>
        <v>0.3474393853105342</v>
      </c>
      <c r="CM9" s="9">
        <f t="shared" si="25"/>
        <v>59.89743826631053</v>
      </c>
      <c r="CO9" s="7" t="str">
        <f t="shared" si="26"/>
        <v>2035_1</v>
      </c>
      <c r="CP9" s="28">
        <f>管理者入力シート!B10</f>
        <v>2035</v>
      </c>
      <c r="CQ9" s="3" t="s">
        <v>21</v>
      </c>
      <c r="CR9" s="9">
        <f>DT10*$AK$13+将来予測シート②!$G17</f>
        <v>13.388508137764466</v>
      </c>
      <c r="CS9" s="9">
        <f>IF(管理者入力シート!$B$14=1,CR6*管理者用人口入力シート!AM$3,IF(管理者入力シート!$B$14=2,CR6*管理者用人口入力シート!AM$7))+将来予測シート②!$G18</f>
        <v>16.371773361964394</v>
      </c>
      <c r="CT9" s="9">
        <f>IF(管理者入力シート!$B$14=1,CS6*管理者用人口入力シート!AN$3,IF(管理者入力シート!$B$14=2,CS6*管理者用人口入力シート!AN$7))+将来予測シート②!$G19</f>
        <v>20.716641230999667</v>
      </c>
      <c r="CU9" s="9">
        <f>IF(管理者入力シート!$B$14=1,CT6*管理者用人口入力シート!AO$3,IF(管理者入力シート!$B$14=2,CT6*管理者用人口入力シート!AO$7))+将来予測シート②!$G20</f>
        <v>21.329058815019369</v>
      </c>
      <c r="CV9" s="9">
        <f>IF(管理者入力シート!$B$14=1,CU6*管理者用人口入力シート!AP$3,IF(管理者入力シート!$B$14=2,CU6*管理者用人口入力シート!AP$7))+将来予測シート②!$G21</f>
        <v>15.234868810365873</v>
      </c>
      <c r="CW9" s="9">
        <f>IF(管理者入力シート!$B$14=1,CV6*管理者用人口入力シート!AQ$3,IF(管理者入力シート!$B$14=2,CV6*管理者用人口入力シート!AQ$7))+将来予測シート②!$G22</f>
        <v>14.334507424150503</v>
      </c>
      <c r="CX9" s="9">
        <f>IF(管理者入力シート!$B$14=1,CW6*管理者用人口入力シート!AR$3,IF(管理者入力シート!$B$14=2,CW6*管理者用人口入力シート!AR$7))+将来予測シート②!$G23</f>
        <v>15.785473608295767</v>
      </c>
      <c r="CY9" s="9">
        <f>IF(管理者入力シート!$B$14=1,CX6*管理者用人口入力シート!AS$3,IF(管理者入力シート!$B$14=2,CX6*管理者用人口入力シート!AS$7))+将来予測シート②!$G24</f>
        <v>20.587736689842824</v>
      </c>
      <c r="CZ9" s="9">
        <f>IF(管理者入力シート!$B$14=1,CY6*管理者用人口入力シート!AT$3,IF(管理者入力シート!$B$14=2,CY6*管理者用人口入力シート!AT$7))+将来予測シート②!$G25</f>
        <v>26.222198131744278</v>
      </c>
      <c r="DA9" s="9">
        <f>IF(管理者入力シート!$B$14=1,CZ6*管理者用人口入力シート!AU$3,IF(管理者入力シート!$B$14=2,CZ6*管理者用人口入力シート!AU$7))+将来予測シート②!$G26</f>
        <v>33.799744935568519</v>
      </c>
      <c r="DB9" s="9">
        <f>IF(管理者入力シート!$B$14=1,DA6*管理者用人口入力シート!AV$3,IF(管理者入力シート!$B$14=2,DA6*管理者用人口入力シート!AV$7))+将来予測シート②!$G27</f>
        <v>48.402946591072173</v>
      </c>
      <c r="DC9" s="9">
        <f>IF(管理者入力シート!$B$14=1,DB6*管理者用人口入力シート!AW$3,IF(管理者入力シート!$B$14=2,DB6*管理者用人口入力シート!AW$7))+将来予測シート②!$G28</f>
        <v>53.960119592723458</v>
      </c>
      <c r="DD9" s="9">
        <f>IF(管理者入力シート!$B$14=1,DC6*管理者用人口入力シート!AX$3,IF(管理者入力シート!$B$14=2,DC6*管理者用人口入力シート!AX$7))+将来予測シート②!$G29</f>
        <v>58.988205586669523</v>
      </c>
      <c r="DE9" s="9">
        <f>IF(管理者入力シート!$B$14=1,DD6*管理者用人口入力シート!AY$3,IF(管理者入力シート!$B$14=2,DD6*管理者用人口入力シート!AY$7))</f>
        <v>47.642567491556321</v>
      </c>
      <c r="DF9" s="9">
        <f>IF(管理者入力シート!$B$14=1,DE6*管理者用人口入力シート!AZ$3,IF(管理者入力シート!$B$14=2,DE6*管理者用人口入力シート!AZ$7))</f>
        <v>67.921466598879022</v>
      </c>
      <c r="DG9" s="9">
        <f>IF(管理者入力シート!$B$14=1,DF6*管理者用人口入力シート!BA$3,IF(管理者入力シート!$B$14=2,DF6*管理者用人口入力シート!BA$7))</f>
        <v>79.492150562369176</v>
      </c>
      <c r="DH9" s="9">
        <f>IF(管理者入力シート!$B$14=1,DG6*管理者用人口入力シート!BB$3,IF(管理者入力シート!$B$14=2,DG6*管理者用人口入力シート!BB$7))</f>
        <v>86.122504502810116</v>
      </c>
      <c r="DI9" s="9">
        <f>IF(管理者入力シート!$B$14=1,DH6*管理者用人口入力シート!BC$3,IF(管理者入力シート!$B$14=2,DH6*管理者用人口入力シート!BC$7))</f>
        <v>56.881507861996383</v>
      </c>
      <c r="DJ9" s="9">
        <f>IF(管理者入力シート!$B$14=1,DI6*管理者用人口入力シート!BD$3,IF(管理者入力シート!$B$14=2,DI6*管理者用人口入力シート!BD$7))</f>
        <v>16.923657824460594</v>
      </c>
      <c r="DK9" s="9">
        <f>IF(管理者入力シート!$B$14=1,DJ6*管理者用人口入力シート!BE$3,IF(管理者入力シート!$B$14=2,DJ6*管理者用人口入力シート!BE$7))</f>
        <v>6.3681073455941082</v>
      </c>
      <c r="DL9" s="9">
        <f>IF(管理者入力シート!$B$14=1,DK6*管理者用人口入力シート!BF$3,IF(管理者入力シート!$B$14=2,DK6*管理者用人口入力シート!BF$7))</f>
        <v>0.13161980350717056</v>
      </c>
      <c r="DM9" s="9">
        <f t="shared" si="69"/>
        <v>720.60536490735376</v>
      </c>
      <c r="DN9" s="9">
        <f t="shared" si="34"/>
        <v>22.253048755778437</v>
      </c>
      <c r="DO9" s="9">
        <f t="shared" si="35"/>
        <v>12.552468255403742</v>
      </c>
      <c r="DP9" s="9">
        <f t="shared" si="6"/>
        <v>361.48358199117291</v>
      </c>
      <c r="DQ9" s="9">
        <f t="shared" si="36"/>
        <v>245.91954790073757</v>
      </c>
      <c r="DR9" s="13">
        <f t="shared" si="37"/>
        <v>0.50163876040202371</v>
      </c>
      <c r="DS9" s="13">
        <f t="shared" si="38"/>
        <v>0.34126799476764202</v>
      </c>
      <c r="DT9" s="9">
        <f t="shared" si="70"/>
        <v>65.942586532654971</v>
      </c>
      <c r="DV9" s="7" t="s">
        <v>403</v>
      </c>
      <c r="DW9" s="210">
        <f>DW7+DW8</f>
        <v>-179.5097994263914</v>
      </c>
      <c r="DX9" s="28">
        <f>管理者入力シート!B10</f>
        <v>2035</v>
      </c>
      <c r="DY9" s="3" t="s">
        <v>21</v>
      </c>
      <c r="DZ9" s="9">
        <f>FB10*$AK$13</f>
        <v>44.989550196905533</v>
      </c>
      <c r="EA9" s="129">
        <f>IF(管理者入力シート!$B$14=1,DZ6*管理者用人口入力シート!AM$3,IF(管理者入力シート!$B$14=2,DZ6*管理者用人口入力シート!AM$7))</f>
        <v>44.567491749335765</v>
      </c>
      <c r="EB9" s="9">
        <f>IF(管理者入力シート!$B$14=1,EA6*管理者用人口入力シート!AN$3,IF(管理者入力シート!$B$14=2,EA6*管理者用人口入力シート!AN$7))</f>
        <v>18.737528266338376</v>
      </c>
      <c r="EC9" s="9">
        <f>IF(管理者入力シート!$B$14=1,EB6*管理者用人口入力シート!AO$3,IF(管理者入力シート!$B$14=2,EB6*管理者用人口入力シート!AO$7))</f>
        <v>20.496157993055522</v>
      </c>
      <c r="ED9" s="9">
        <f>IF(管理者入力シート!$B$14=1,EC6*管理者用人口入力シート!AP$3,IF(管理者入力シート!$B$14=2,EC6*管理者用人口入力シート!AP$7))</f>
        <v>14.764784923316444</v>
      </c>
      <c r="EE9" s="9">
        <f>IF(管理者入力シート!$B$14=1,ED6*管理者用人口入力シート!AQ$3,IF(管理者入力シート!$B$14=2,ED6*管理者用人口入力シート!AQ$7))+DX1</f>
        <v>42.334507424150502</v>
      </c>
      <c r="EF9" s="9">
        <f>IF(管理者入力シート!$B$14=1,EE6*管理者用人口入力シート!AR$3,IF(管理者入力シート!$B$14=2,EE6*管理者用人口入力シート!AR$7))+DX1</f>
        <v>72.078760725472279</v>
      </c>
      <c r="EG9" s="9">
        <f>IF(管理者入力シート!$B$14=1,EF6*管理者用人口入力シート!AS$3,IF(管理者入力シート!$B$14=2,EF6*管理者用人口入力シート!AS$7))+DX1</f>
        <v>101.45220985453037</v>
      </c>
      <c r="EH9" s="9">
        <f>IF(管理者入力シート!$B$14=1,EG6*管理者用人口入力シート!AT$3,IF(管理者入力シート!$B$14=2,EG6*管理者用人口入力シート!AT$7))</f>
        <v>88.929562306971576</v>
      </c>
      <c r="EI9" s="9">
        <f>IF(管理者入力シート!$B$14=1,EH6*管理者用人口入力シート!AU$3,IF(管理者入力シート!$B$14=2,EH6*管理者用人口入力シート!AU$7))</f>
        <v>65.692321321298294</v>
      </c>
      <c r="EJ9" s="9">
        <f>IF(管理者入力シート!$B$14=1,EI6*管理者用人口入力シート!AV$3,IF(管理者入力シート!$B$14=2,EI6*管理者用人口入力シート!AV$7))</f>
        <v>48.402946591072173</v>
      </c>
      <c r="EK9" s="9">
        <f>IF(管理者入力シート!$B$14=1,EJ6*管理者用人口入力シート!AW$3,IF(管理者入力シート!$B$14=2,EJ6*管理者用人口入力シート!AW$7))</f>
        <v>53.960119592723458</v>
      </c>
      <c r="EL9" s="9">
        <f>IF(管理者入力シート!$B$14=1,EK6*管理者用人口入力シート!AX$3,IF(管理者入力シート!$B$14=2,EK6*管理者用人口入力シート!AX$7))</f>
        <v>58.988205586669523</v>
      </c>
      <c r="EM9" s="9">
        <f>IF(管理者入力シート!$B$14=1,EL6*管理者用人口入力シート!AY$3,IF(管理者入力シート!$B$14=2,EL6*管理者用人口入力シート!AY$7))</f>
        <v>47.642567491556321</v>
      </c>
      <c r="EN9" s="9">
        <f>IF(管理者入力シート!$B$14=1,EM6*管理者用人口入力シート!AZ$3,IF(管理者入力シート!$B$14=2,EM6*管理者用人口入力シート!AZ$7))</f>
        <v>67.921466598879022</v>
      </c>
      <c r="EO9" s="9">
        <f>IF(管理者入力シート!$B$14=1,EN6*管理者用人口入力シート!BA$3,IF(管理者入力シート!$B$14=2,EN6*管理者用人口入力シート!BA$7))</f>
        <v>79.492150562369176</v>
      </c>
      <c r="EP9" s="9">
        <f>IF(管理者入力シート!$B$14=1,EO6*管理者用人口入力シート!BB$3,IF(管理者入力シート!$B$14=2,EO6*管理者用人口入力シート!BB$7))</f>
        <v>86.122504502810116</v>
      </c>
      <c r="EQ9" s="9">
        <f>IF(管理者入力シート!$B$14=1,EP6*管理者用人口入力シート!BC$3,IF(管理者入力シート!$B$14=2,EP6*管理者用人口入力シート!BC$7))</f>
        <v>56.881507861996383</v>
      </c>
      <c r="ER9" s="9">
        <f>IF(管理者入力シート!$B$14=1,EQ6*管理者用人口入力シート!BD$3,IF(管理者入力シート!$B$14=2,EQ6*管理者用人口入力シート!BD$7))</f>
        <v>16.923657824460594</v>
      </c>
      <c r="ES9" s="9">
        <f>IF(管理者入力シート!$B$14=1,ER6*管理者用人口入力シート!BE$3,IF(管理者入力シート!$B$14=2,ER6*管理者用人口入力シート!BE$7))</f>
        <v>6.3681073455941082</v>
      </c>
      <c r="ET9" s="9">
        <f>IF(管理者入力シート!$B$14=1,ES6*管理者用人口入力シート!BF$3,IF(管理者入力シート!$B$14=2,ES6*管理者用人口入力シート!BF$7))</f>
        <v>0.13161980350717056</v>
      </c>
      <c r="EU9" s="9">
        <f t="shared" si="71"/>
        <v>1036.8777285230126</v>
      </c>
      <c r="EV9" s="9">
        <f t="shared" si="41"/>
        <v>37.983012009404483</v>
      </c>
      <c r="EW9" s="9">
        <f t="shared" si="42"/>
        <v>11.594242905146455</v>
      </c>
      <c r="EX9" s="9">
        <f t="shared" si="10"/>
        <v>361.48358199117291</v>
      </c>
      <c r="EY9" s="9">
        <f t="shared" si="43"/>
        <v>245.91954790073757</v>
      </c>
      <c r="EZ9" s="13">
        <f t="shared" si="44"/>
        <v>0.3486270097691177</v>
      </c>
      <c r="FA9" s="13">
        <f t="shared" si="45"/>
        <v>0.23717314118708993</v>
      </c>
      <c r="FB9" s="9">
        <f t="shared" si="72"/>
        <v>230.6302629274696</v>
      </c>
    </row>
    <row r="10" spans="1:158" x14ac:dyDescent="0.15">
      <c r="A10" s="7" t="str">
        <f t="shared" si="11"/>
        <v>2015_2</v>
      </c>
      <c r="B10" s="29">
        <v>2015</v>
      </c>
      <c r="C10" s="4" t="s">
        <v>22</v>
      </c>
      <c r="D10" s="10">
        <v>27</v>
      </c>
      <c r="E10" s="10">
        <v>39</v>
      </c>
      <c r="F10" s="10">
        <v>45</v>
      </c>
      <c r="G10" s="10">
        <v>51</v>
      </c>
      <c r="H10" s="10">
        <v>48</v>
      </c>
      <c r="I10" s="10">
        <v>43</v>
      </c>
      <c r="J10" s="10">
        <v>36</v>
      </c>
      <c r="K10" s="10">
        <v>51</v>
      </c>
      <c r="L10" s="10">
        <v>64</v>
      </c>
      <c r="M10" s="10">
        <v>54</v>
      </c>
      <c r="N10" s="10">
        <v>90</v>
      </c>
      <c r="O10" s="10">
        <v>106</v>
      </c>
      <c r="P10" s="10">
        <v>135</v>
      </c>
      <c r="Q10" s="10">
        <v>122</v>
      </c>
      <c r="R10" s="10">
        <v>111</v>
      </c>
      <c r="S10" s="10">
        <v>132</v>
      </c>
      <c r="T10" s="10">
        <v>125</v>
      </c>
      <c r="U10" s="10">
        <v>100</v>
      </c>
      <c r="V10" s="10">
        <v>44</v>
      </c>
      <c r="W10" s="10">
        <v>15</v>
      </c>
      <c r="X10" s="10">
        <v>5</v>
      </c>
      <c r="Y10" s="10">
        <f t="shared" si="68"/>
        <v>1443</v>
      </c>
      <c r="Z10" s="10">
        <f t="shared" si="12"/>
        <v>50.4</v>
      </c>
      <c r="AA10" s="10">
        <f t="shared" si="13"/>
        <v>28.2</v>
      </c>
      <c r="AB10" s="10">
        <f t="shared" si="0"/>
        <v>654</v>
      </c>
      <c r="AC10" s="10">
        <f t="shared" si="14"/>
        <v>421</v>
      </c>
      <c r="AD10" s="14">
        <f t="shared" si="15"/>
        <v>0.45322245322245325</v>
      </c>
      <c r="AE10" s="14">
        <f t="shared" si="16"/>
        <v>0.29175329175329173</v>
      </c>
      <c r="AF10" s="10">
        <f t="shared" si="17"/>
        <v>178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8.0570607347167922</v>
      </c>
      <c r="BL10" s="10">
        <f>IF(管理者入力シート!$B$14=1,BK7*管理者用人口入力シート!AM$4,IF(管理者入力シート!$B$14=2,BK7*管理者用人口入力シート!AM$8))</f>
        <v>12.152919304666151</v>
      </c>
      <c r="BM10" s="10">
        <f>IF(管理者入力シート!$B$14=1,BL7*管理者用人口入力シート!AN$4,IF(管理者入力シート!$B$14=2,BL7*管理者用人口入力シート!AN$8))</f>
        <v>17.732038635335059</v>
      </c>
      <c r="BN10" s="10">
        <f>IF(管理者入力シート!$B$14=1,BM7*管理者用人口入力シート!AO$4,IF(管理者入力シート!$B$14=2,BM7*管理者用人口入力シート!AO$8))</f>
        <v>19.49556742650881</v>
      </c>
      <c r="BO10" s="10">
        <f>IF(管理者入力シート!$B$14=1,BN7*管理者用人口入力シート!AP$4,IF(管理者入力シート!$B$14=2,BN7*管理者用人口入力シート!AP$8))</f>
        <v>16.44924169131194</v>
      </c>
      <c r="BP10" s="10">
        <f>IF(管理者入力シート!$B$14=1,BO7*管理者用人口入力シート!AQ$4,IF(管理者入力シート!$B$14=2,BO7*管理者用人口入力シート!AQ$8))</f>
        <v>12.701799054960809</v>
      </c>
      <c r="BQ10" s="10">
        <f>IF(管理者入力シート!$B$14=1,BP7*管理者用人口入力シート!AR$4,IF(管理者入力シート!$B$14=2,BP7*管理者用人口入力シート!AR$8))</f>
        <v>12.615406311361765</v>
      </c>
      <c r="BR10" s="10">
        <f>IF(管理者入力シート!$B$14=1,BQ7*管理者用人口入力シート!AS$4,IF(管理者入力シート!$B$14=2,BQ7*管理者用人口入力シート!AS$8))</f>
        <v>13.759221817902898</v>
      </c>
      <c r="BS10" s="10">
        <f>IF(管理者入力シート!$B$14=1,BR7*管理者用人口入力シート!AT$4,IF(管理者入力シート!$B$14=2,BR7*管理者用人口入力シート!AT$8))</f>
        <v>19.977478002083199</v>
      </c>
      <c r="BT10" s="10">
        <f>IF(管理者入力シート!$B$14=1,BS7*管理者用人口入力シート!AU$4,IF(管理者入力シート!$B$14=2,BS7*管理者用人口入力シート!AU$8))</f>
        <v>33.392009412313691</v>
      </c>
      <c r="BU10" s="10">
        <f>IF(管理者入力シート!$B$14=1,BT7*管理者用人口入力シート!AV$4,IF(管理者入力シート!$B$14=2,BT7*管理者用人口入力シート!AV$8))</f>
        <v>40.167276355436016</v>
      </c>
      <c r="BV10" s="10">
        <f>IF(管理者入力シート!$B$14=1,BU7*管理者用人口入力シート!AW$4,IF(管理者入力シート!$B$14=2,BU7*管理者用人口入力シート!AW$8))</f>
        <v>51.542193589755207</v>
      </c>
      <c r="BW10" s="10">
        <f>IF(管理者入力シート!$B$14=1,BV7*管理者用人口入力シート!AX$4,IF(管理者入力シート!$B$14=2,BV7*管理者用人口入力シート!AX$8))</f>
        <v>67.909582330146947</v>
      </c>
      <c r="BX10" s="10">
        <f>IF(管理者入力シート!$B$14=1,BW7*管理者用人口入力シート!AY$4,IF(管理者入力シート!$B$14=2,BW7*管理者用人口入力シート!AY$8))</f>
        <v>61.866116265743209</v>
      </c>
      <c r="BY10" s="10">
        <f>IF(管理者入力シート!$B$14=1,BX7*管理者用人口入力シート!AZ$4,IF(管理者入力シート!$B$14=2,BX7*管理者用人口入力シート!AZ$8))</f>
        <v>88.312240487941025</v>
      </c>
      <c r="BZ10" s="10">
        <f>IF(管理者入力シート!$B$14=1,BY7*管理者用人口入力シート!BA$4,IF(管理者入力シート!$B$14=2,BY7*管理者用人口入力シート!BA$8))</f>
        <v>96.053781260069499</v>
      </c>
      <c r="CA10" s="10">
        <f>IF(管理者入力シート!$B$14=1,BZ7*管理者用人口入力シート!BB$4,IF(管理者入力シート!$B$14=2,BZ7*管理者用人口入力シート!BB$8))</f>
        <v>106.79931650647868</v>
      </c>
      <c r="CB10" s="10">
        <f>IF(管理者入力シート!$B$14=1,CA7*管理者用人口入力シート!BC$4,IF(管理者入力シート!$B$14=2,CA7*管理者用人口入力シート!BC$8))</f>
        <v>72.807062592679983</v>
      </c>
      <c r="CC10" s="10">
        <f>IF(管理者入力シート!$B$14=1,CB7*管理者用人口入力シート!BD$4,IF(管理者入力シート!$B$14=2,CB7*管理者用人口入力シート!BD$8))</f>
        <v>36.495772005419184</v>
      </c>
      <c r="CD10" s="10">
        <f>IF(管理者入力シート!$B$14=1,CC7*管理者用人口入力シート!BE$4,IF(管理者入力シート!$B$14=2,CC7*管理者用人口入力シート!BE$8))</f>
        <v>24.890198519096707</v>
      </c>
      <c r="CE10" s="10">
        <f>IF(管理者入力シート!$B$14=1,CD7*管理者用人口入力シート!BF$4,IF(管理者入力シート!$B$14=2,CD7*管理者用人口入力シート!BF$8))</f>
        <v>0.56742519048035045</v>
      </c>
      <c r="CF10" s="10">
        <f t="shared" si="2"/>
        <v>813.74370749440789</v>
      </c>
      <c r="CG10" s="10">
        <f t="shared" si="20"/>
        <v>17.930974764000727</v>
      </c>
      <c r="CH10" s="10">
        <f t="shared" si="21"/>
        <v>10.991928939435786</v>
      </c>
      <c r="CI10" s="10">
        <f t="shared" si="3"/>
        <v>487.79191282790862</v>
      </c>
      <c r="CJ10" s="10">
        <f t="shared" si="22"/>
        <v>337.61355607422445</v>
      </c>
      <c r="CK10" s="14">
        <f t="shared" si="23"/>
        <v>0.59944170177347977</v>
      </c>
      <c r="CL10" s="14">
        <f t="shared" si="24"/>
        <v>0.41488929863896312</v>
      </c>
      <c r="CM10" s="10">
        <f t="shared" si="25"/>
        <v>55.525668875537413</v>
      </c>
      <c r="CO10" s="7" t="str">
        <f t="shared" si="26"/>
        <v>2035_2</v>
      </c>
      <c r="CP10" s="29">
        <f>CP9</f>
        <v>2035</v>
      </c>
      <c r="CQ10" s="4" t="s">
        <v>22</v>
      </c>
      <c r="CR10" s="10">
        <f>DT10*$AK$14+将来予測シート②!$H17</f>
        <v>9.8815475316809387</v>
      </c>
      <c r="CS10" s="10">
        <f>IF(管理者入力シート!$B$14=1,CR7*管理者用人口入力シート!AM$4,IF(管理者入力シート!$B$14=2,CR7*管理者用人口入力シート!AM$8))+将来予測シート②!$H18</f>
        <v>13.987517668015331</v>
      </c>
      <c r="CT10" s="10">
        <f>IF(管理者入力シート!$B$14=1,CS7*管理者用人口入力シート!AN$4,IF(管理者入力シート!$B$14=2,CS7*管理者用人口入力シート!AN$8))+将来予測シート②!$H19</f>
        <v>20.02447608949635</v>
      </c>
      <c r="CU10" s="10">
        <f>IF(管理者入力シート!$B$14=1,CT7*管理者用人口入力シート!AO$4,IF(管理者入力シート!$B$14=2,CT7*管理者用人口入力シート!AO$8))+将来予測シート②!$H20</f>
        <v>20.332731037684901</v>
      </c>
      <c r="CV10" s="10">
        <f>IF(管理者入力シート!$B$14=1,CU7*管理者用人口入力シート!AP$4,IF(管理者入力シート!$B$14=2,CU7*管理者用人口入力シート!AP$8))+将来予測シート②!$H21</f>
        <v>16.942451750619639</v>
      </c>
      <c r="CW10" s="10">
        <f>IF(管理者入力シート!$B$14=1,CV7*管理者用人口入力シート!AQ$4,IF(管理者入力シート!$B$14=2,CV7*管理者用人口入力シート!AQ$8))+将来予測シート②!$H22</f>
        <v>14.701799054960809</v>
      </c>
      <c r="CX10" s="10">
        <f>IF(管理者入力シート!$B$14=1,CW7*管理者用人口入力シート!AR$4,IF(管理者入力シート!$B$14=2,CW7*管理者用人口入力シート!AR$8))+将来予測シート②!$H23</f>
        <v>14.23898105843409</v>
      </c>
      <c r="CY10" s="10">
        <f>IF(管理者入力シート!$B$14=1,CX7*管理者用人口入力シート!AS$4,IF(管理者入力シート!$B$14=2,CX7*管理者用人口入力シート!AS$8))+将来予測シート②!$H24</f>
        <v>15.324432268580203</v>
      </c>
      <c r="CZ10" s="10">
        <f>IF(管理者入力シート!$B$14=1,CY7*管理者用人口入力シート!AT$4,IF(管理者入力シート!$B$14=2,CY7*管理者用人口入力シート!AT$8))+将来予測シート②!$H25</f>
        <v>20.977478002083199</v>
      </c>
      <c r="DA10" s="10">
        <f>IF(管理者入力シート!$B$14=1,CZ7*管理者用人口入力シート!AU$4,IF(管理者入力シート!$B$14=2,CZ7*管理者用人口入力シート!AU$8))+将来予測シート②!$H26</f>
        <v>34.419606481244053</v>
      </c>
      <c r="DB10" s="10">
        <f>IF(管理者入力シート!$B$14=1,DA7*管理者用人口入力シート!AV$4,IF(管理者入力シート!$B$14=2,DA7*管理者用人口入力シート!AV$8))+将来予測シート②!$H27</f>
        <v>41.202637224083567</v>
      </c>
      <c r="DC10" s="10">
        <f>IF(管理者入力シート!$B$14=1,DB7*管理者用人口入力シート!AW$4,IF(管理者入力シート!$B$14=2,DB7*管理者用人口入力シート!AW$8))+将来予測シート②!$H28</f>
        <v>51.542193589755207</v>
      </c>
      <c r="DD10" s="10">
        <f>IF(管理者入力シート!$B$14=1,DC7*管理者用人口入力シート!AX$4,IF(管理者入力シート!$B$14=2,DC7*管理者用人口入力シート!AX$8))+将来予測シート②!$H29</f>
        <v>67.909582330146947</v>
      </c>
      <c r="DE10" s="10">
        <f>IF(管理者入力シート!$B$14=1,DD7*管理者用人口入力シート!AY$4,IF(管理者入力シート!$B$14=2,DD7*管理者用人口入力シート!AY$8))</f>
        <v>61.866116265743209</v>
      </c>
      <c r="DF10" s="10">
        <f>IF(管理者入力シート!$B$14=1,DE7*管理者用人口入力シート!AZ$4,IF(管理者入力シート!$B$14=2,DE7*管理者用人口入力シート!AZ$8))</f>
        <v>88.312240487941025</v>
      </c>
      <c r="DG10" s="10">
        <f>IF(管理者入力シート!$B$14=1,DF7*管理者用人口入力シート!BA$4,IF(管理者入力シート!$B$14=2,DF7*管理者用人口入力シート!BA$8))</f>
        <v>96.053781260069499</v>
      </c>
      <c r="DH10" s="10">
        <f>IF(管理者入力シート!$B$14=1,DG7*管理者用人口入力シート!BB$4,IF(管理者入力シート!$B$14=2,DG7*管理者用人口入力シート!BB$8))</f>
        <v>106.79931650647868</v>
      </c>
      <c r="DI10" s="10">
        <f>IF(管理者入力シート!$B$14=1,DH7*管理者用人口入力シート!BC$4,IF(管理者入力シート!$B$14=2,DH7*管理者用人口入力シート!BC$8))</f>
        <v>72.807062592679983</v>
      </c>
      <c r="DJ10" s="10">
        <f>IF(管理者入力シート!$B$14=1,DI7*管理者用人口入力シート!BD$4,IF(管理者入力シート!$B$14=2,DI7*管理者用人口入力シート!BD$8))</f>
        <v>36.495772005419184</v>
      </c>
      <c r="DK10" s="10">
        <f>IF(管理者入力シート!$B$14=1,DJ7*管理者用人口入力シート!BE$4,IF(管理者入力シート!$B$14=2,DJ7*管理者用人口入力シート!BE$8))</f>
        <v>24.890198519096707</v>
      </c>
      <c r="DL10" s="10">
        <f>IF(管理者入力シート!$B$14=1,DK7*管理者用人口入力シート!BF$4,IF(管理者入力シート!$B$14=2,DK7*管理者用人口入力シート!BF$8))</f>
        <v>0.56742519048035045</v>
      </c>
      <c r="DM10" s="10">
        <f t="shared" si="69"/>
        <v>829.27734691469379</v>
      </c>
      <c r="DN10" s="10">
        <f t="shared" si="34"/>
        <v>20.40719625450701</v>
      </c>
      <c r="DO10" s="10">
        <f t="shared" si="35"/>
        <v>12.076336643335519</v>
      </c>
      <c r="DP10" s="10">
        <f t="shared" si="6"/>
        <v>487.79191282790862</v>
      </c>
      <c r="DQ10" s="10">
        <f t="shared" si="36"/>
        <v>337.61355607422445</v>
      </c>
      <c r="DR10" s="14">
        <f t="shared" si="37"/>
        <v>0.58821323727547437</v>
      </c>
      <c r="DS10" s="14">
        <f t="shared" si="38"/>
        <v>0.40711778433392337</v>
      </c>
      <c r="DT10" s="10">
        <f t="shared" si="70"/>
        <v>61.207664132594743</v>
      </c>
      <c r="DV10" s="62" t="s">
        <v>405</v>
      </c>
      <c r="DW10" s="210">
        <f>((SUM(BL12:BL13)*3/5+SUM(BM12:BM13)+SUM(BN12:BN13)*1/5)-(SUM(E12:E13)*3/5+SUM(F12:F13)+SUM(G12:G13)*1/5))/4</f>
        <v>-20.512404818366559</v>
      </c>
      <c r="DX10" s="29">
        <f>DX9</f>
        <v>2035</v>
      </c>
      <c r="DY10" s="4" t="s">
        <v>22</v>
      </c>
      <c r="DZ10" s="10">
        <f>FB10*$AK$14</f>
        <v>32.253829440908497</v>
      </c>
      <c r="EA10" s="10">
        <f>IF(管理者入力シート!$B$14=1,DZ7*管理者用人口入力シート!AM$4,IF(管理者入力シート!$B$14=2,DZ7*管理者用人口入力シート!AM$8))</f>
        <v>37.150465127594671</v>
      </c>
      <c r="EB10" s="10">
        <f>IF(管理者入力シート!$B$14=1,EA7*管理者用人口入力シート!AN$4,IF(管理者入力シート!$B$14=2,EA7*管理者用人口入力シート!AN$8))</f>
        <v>17.732038635335059</v>
      </c>
      <c r="EC10" s="10">
        <f>IF(管理者入力シート!$B$14=1,EB7*管理者用人口入力シート!AO$4,IF(管理者入力シート!$B$14=2,EB7*管理者用人口入力シート!AO$8))</f>
        <v>19.49556742650881</v>
      </c>
      <c r="ED10" s="10">
        <f>IF(管理者入力シート!$B$14=1,EC7*管理者用人口入力シート!AP$4,IF(管理者入力シート!$B$14=2,EC7*管理者用人口入力シート!AP$8))</f>
        <v>16.44924169131194</v>
      </c>
      <c r="EE10" s="10">
        <f>IF(管理者入力シート!$B$14=1,ED7*管理者用人口入力シート!AQ$4,IF(管理者入力シート!$B$14=2,ED7*管理者用人口入力シート!AQ$8))+DX1</f>
        <v>42.701799054960809</v>
      </c>
      <c r="EF10" s="10">
        <f>IF(管理者入力シート!$B$14=1,EE7*管理者用人口入力シート!AR$4,IF(管理者入力シート!$B$14=2,EE7*管理者用人口入力シート!AR$8))+DX1</f>
        <v>66.969027517446648</v>
      </c>
      <c r="EG10" s="10">
        <f>IF(管理者入力シート!$B$14=1,EF7*管理者用人口入力シート!AS$4,IF(管理者入力シート!$B$14=2,EF7*管理者用人口入力シート!AS$8))+DX1</f>
        <v>96.158937998096562</v>
      </c>
      <c r="EH10" s="10">
        <f>IF(管理者入力シート!$B$14=1,EG7*管理者用人口入力シート!AT$4,IF(管理者入力シート!$B$14=2,EG7*管理者用人口入力シート!AT$8))</f>
        <v>80.052459969575352</v>
      </c>
      <c r="EI10" s="10">
        <f>IF(管理者入力シート!$B$14=1,EH7*管理者用人口入力シート!AU$4,IF(管理者入力シート!$B$14=2,EH7*管理者用人口入力シート!AU$8))</f>
        <v>64.82339513605065</v>
      </c>
      <c r="EJ10" s="10">
        <f>IF(管理者入力シート!$B$14=1,EI7*管理者用人口入力シート!AV$4,IF(管理者入力シート!$B$14=2,EI7*管理者用人口入力シート!AV$8))</f>
        <v>40.167276355436016</v>
      </c>
      <c r="EK10" s="10">
        <f>IF(管理者入力シート!$B$14=1,EJ7*管理者用人口入力シート!AW$4,IF(管理者入力シート!$B$14=2,EJ7*管理者用人口入力シート!AW$8))</f>
        <v>51.542193589755207</v>
      </c>
      <c r="EL10" s="10">
        <f>IF(管理者入力シート!$B$14=1,EK7*管理者用人口入力シート!AX$4,IF(管理者入力シート!$B$14=2,EK7*管理者用人口入力シート!AX$8))</f>
        <v>67.909582330146947</v>
      </c>
      <c r="EM10" s="10">
        <f>IF(管理者入力シート!$B$14=1,EL7*管理者用人口入力シート!AY$4,IF(管理者入力シート!$B$14=2,EL7*管理者用人口入力シート!AY$8))</f>
        <v>61.866116265743209</v>
      </c>
      <c r="EN10" s="10">
        <f>IF(管理者入力シート!$B$14=1,EM7*管理者用人口入力シート!AZ$4,IF(管理者入力シート!$B$14=2,EM7*管理者用人口入力シート!AZ$8))</f>
        <v>88.312240487941025</v>
      </c>
      <c r="EO10" s="10">
        <f>IF(管理者入力シート!$B$14=1,EN7*管理者用人口入力シート!BA$4,IF(管理者入力シート!$B$14=2,EN7*管理者用人口入力シート!BA$8))</f>
        <v>96.053781260069499</v>
      </c>
      <c r="EP10" s="10">
        <f>IF(管理者入力シート!$B$14=1,EO7*管理者用人口入力シート!BB$4,IF(管理者入力シート!$B$14=2,EO7*管理者用人口入力シート!BB$8))</f>
        <v>106.79931650647868</v>
      </c>
      <c r="EQ10" s="10">
        <f>IF(管理者入力シート!$B$14=1,EP7*管理者用人口入力シート!BC$4,IF(管理者入力シート!$B$14=2,EP7*管理者用人口入力シート!BC$8))</f>
        <v>72.807062592679983</v>
      </c>
      <c r="ER10" s="10">
        <f>IF(管理者入力シート!$B$14=1,EQ7*管理者用人口入力シート!BD$4,IF(管理者入力シート!$B$14=2,EQ7*管理者用人口入力シート!BD$8))</f>
        <v>36.495772005419184</v>
      </c>
      <c r="ES10" s="10">
        <f>IF(管理者入力シート!$B$14=1,ER7*管理者用人口入力シート!BE$4,IF(管理者入力シート!$B$14=2,ER7*管理者用人口入力シート!BE$8))</f>
        <v>24.890198519096707</v>
      </c>
      <c r="ET10" s="10">
        <f>IF(管理者入力シート!$B$14=1,ES7*管理者用人口入力シート!BF$4,IF(管理者入力シート!$B$14=2,ES7*管理者用人口入力シート!BF$8))</f>
        <v>0.56742519048035045</v>
      </c>
      <c r="EU10" s="10">
        <f t="shared" si="71"/>
        <v>1121.197727101036</v>
      </c>
      <c r="EV10" s="10">
        <f t="shared" si="41"/>
        <v>32.929502257757839</v>
      </c>
      <c r="EW10" s="10">
        <f t="shared" si="42"/>
        <v>10.991928939435786</v>
      </c>
      <c r="EX10" s="10">
        <f t="shared" si="10"/>
        <v>487.79191282790862</v>
      </c>
      <c r="EY10" s="10">
        <f t="shared" si="43"/>
        <v>337.61355607422445</v>
      </c>
      <c r="EZ10" s="14">
        <f t="shared" si="44"/>
        <v>0.43506323731955943</v>
      </c>
      <c r="FA10" s="14">
        <f t="shared" si="45"/>
        <v>0.30111865901401408</v>
      </c>
      <c r="FB10" s="10">
        <f t="shared" si="72"/>
        <v>222.27900626181594</v>
      </c>
    </row>
    <row r="11" spans="1:158" x14ac:dyDescent="0.15">
      <c r="A11" s="7" t="str">
        <f t="shared" si="11"/>
        <v>2015_3</v>
      </c>
      <c r="B11" s="30">
        <v>2015</v>
      </c>
      <c r="C11" s="5" t="s">
        <v>23</v>
      </c>
      <c r="D11" s="11">
        <v>55.048723897911835</v>
      </c>
      <c r="E11" s="11">
        <v>76.071925754060317</v>
      </c>
      <c r="F11" s="11">
        <v>85.074245939675166</v>
      </c>
      <c r="G11" s="11">
        <v>92.062645011600921</v>
      </c>
      <c r="H11" s="11">
        <v>80.06496519721577</v>
      </c>
      <c r="I11" s="11">
        <v>80.067285382830619</v>
      </c>
      <c r="J11" s="11">
        <v>87.090487238979108</v>
      </c>
      <c r="K11" s="11">
        <v>103.08584686774941</v>
      </c>
      <c r="L11" s="11">
        <v>121.08584686774941</v>
      </c>
      <c r="M11" s="11">
        <v>108.09512761020882</v>
      </c>
      <c r="N11" s="11">
        <v>169.1183294663573</v>
      </c>
      <c r="O11" s="11">
        <v>224.19257540603249</v>
      </c>
      <c r="P11" s="11">
        <v>277.22969837587004</v>
      </c>
      <c r="Q11" s="11">
        <v>265.22737819025519</v>
      </c>
      <c r="R11" s="11">
        <v>206.13689095127609</v>
      </c>
      <c r="S11" s="11">
        <v>215.12761020881669</v>
      </c>
      <c r="T11" s="11">
        <v>213.12064965197214</v>
      </c>
      <c r="U11" s="11">
        <v>151.07888631090486</v>
      </c>
      <c r="V11" s="11">
        <v>52.013921113689094</v>
      </c>
      <c r="W11" s="11">
        <v>19.006960556844547</v>
      </c>
      <c r="X11" s="11">
        <v>5</v>
      </c>
      <c r="Y11" s="11">
        <f t="shared" si="68"/>
        <v>2685.0000000000005</v>
      </c>
      <c r="Z11" s="11">
        <f t="shared" si="12"/>
        <v>96.687703016241286</v>
      </c>
      <c r="AA11" s="11">
        <f t="shared" si="13"/>
        <v>52.442227378190253</v>
      </c>
      <c r="AB11" s="11">
        <f t="shared" si="0"/>
        <v>1126.7122969837587</v>
      </c>
      <c r="AC11" s="11">
        <f t="shared" si="14"/>
        <v>655.34802784222734</v>
      </c>
      <c r="AD11" s="15">
        <f t="shared" si="15"/>
        <v>0.41963214040363445</v>
      </c>
      <c r="AE11" s="15">
        <f t="shared" si="16"/>
        <v>0.24407747778109021</v>
      </c>
      <c r="AF11" s="11">
        <f t="shared" si="17"/>
        <v>350.30858468677491</v>
      </c>
      <c r="BH11" s="7" t="str">
        <f t="shared" si="19"/>
        <v>2035_3</v>
      </c>
      <c r="BI11" s="30">
        <f>BI10</f>
        <v>2035</v>
      </c>
      <c r="BJ11" s="5" t="s">
        <v>23</v>
      </c>
      <c r="BK11" s="16">
        <f>BK9+BK10</f>
        <v>19.295525892107033</v>
      </c>
      <c r="BL11" s="16">
        <f t="shared" ref="BL11" si="117">BL9+BL10</f>
        <v>26.732148097113843</v>
      </c>
      <c r="BM11" s="16">
        <f t="shared" ref="BM11" si="118">BM9+BM10</f>
        <v>36.469566901673431</v>
      </c>
      <c r="BN11" s="16">
        <f t="shared" ref="BN11" si="119">BN9+BN10</f>
        <v>39.991725419564332</v>
      </c>
      <c r="BO11" s="16">
        <f t="shared" ref="BO11" si="120">BO9+BO10</f>
        <v>31.214026614628384</v>
      </c>
      <c r="BP11" s="16">
        <f t="shared" ref="BP11" si="121">BP9+BP10</f>
        <v>25.03630647911131</v>
      </c>
      <c r="BQ11" s="16">
        <f t="shared" ref="BQ11" si="122">BQ9+BQ10</f>
        <v>26.522787982716352</v>
      </c>
      <c r="BR11" s="16">
        <f t="shared" ref="BR11" si="123">BR9+BR10</f>
        <v>32.649986065391886</v>
      </c>
      <c r="BS11" s="16">
        <f t="shared" ref="BS11" si="124">BS9+BS10</f>
        <v>46.199676133827481</v>
      </c>
      <c r="BT11" s="16">
        <f t="shared" ref="BT11" si="125">BT9+BT10</f>
        <v>67.19175434788221</v>
      </c>
      <c r="BU11" s="16">
        <f t="shared" ref="BU11" si="126">BU9+BU10</f>
        <v>88.570222946508181</v>
      </c>
      <c r="BV11" s="16">
        <f t="shared" ref="BV11" si="127">BV9+BV10</f>
        <v>105.50231318247867</v>
      </c>
      <c r="BW11" s="16">
        <f t="shared" ref="BW11" si="128">BW9+BW10</f>
        <v>126.89778791681647</v>
      </c>
      <c r="BX11" s="16">
        <f t="shared" ref="BX11" si="129">BX9+BX10</f>
        <v>109.50868375729954</v>
      </c>
      <c r="BY11" s="16">
        <f t="shared" ref="BY11" si="130">BY9+BY10</f>
        <v>156.23370708682006</v>
      </c>
      <c r="BZ11" s="16">
        <f t="shared" ref="BZ11" si="131">BZ9+BZ10</f>
        <v>175.54593182243866</v>
      </c>
      <c r="CA11" s="16">
        <f t="shared" ref="CA11" si="132">CA9+CA10</f>
        <v>192.92182100928881</v>
      </c>
      <c r="CB11" s="16">
        <f t="shared" ref="CB11" si="133">CB9+CB10</f>
        <v>129.68857045467638</v>
      </c>
      <c r="CC11" s="16">
        <f t="shared" ref="CC11" si="134">CC9+CC10</f>
        <v>53.419429829879775</v>
      </c>
      <c r="CD11" s="16">
        <f t="shared" ref="CD11" si="135">CD9+CD10</f>
        <v>31.258305864690815</v>
      </c>
      <c r="CE11" s="16">
        <f t="shared" ref="CE11" si="136">CE9+CE10</f>
        <v>0.69904499398752096</v>
      </c>
      <c r="CF11" s="11">
        <f t="shared" si="2"/>
        <v>1521.5493227989014</v>
      </c>
      <c r="CG11" s="11">
        <f t="shared" si="20"/>
        <v>37.921028999272366</v>
      </c>
      <c r="CH11" s="11">
        <f t="shared" si="21"/>
        <v>22.586171844582239</v>
      </c>
      <c r="CI11" s="11">
        <f t="shared" si="3"/>
        <v>849.27549481908159</v>
      </c>
      <c r="CJ11" s="11">
        <f t="shared" si="22"/>
        <v>583.53310397496193</v>
      </c>
      <c r="CK11" s="15">
        <f t="shared" si="23"/>
        <v>0.55816494548913664</v>
      </c>
      <c r="CL11" s="15">
        <f t="shared" si="24"/>
        <v>0.38351244697184605</v>
      </c>
      <c r="CM11" s="11">
        <f t="shared" si="25"/>
        <v>115.42310714184794</v>
      </c>
      <c r="CO11" s="7" t="str">
        <f t="shared" si="26"/>
        <v>2035_3</v>
      </c>
      <c r="CP11" s="30">
        <f>CP10</f>
        <v>2035</v>
      </c>
      <c r="CQ11" s="5" t="s">
        <v>23</v>
      </c>
      <c r="CR11" s="16">
        <f>CR9+CR10</f>
        <v>23.270055669445405</v>
      </c>
      <c r="CS11" s="16">
        <f t="shared" ref="CS11" si="137">CS9+CS10</f>
        <v>30.359291029979723</v>
      </c>
      <c r="CT11" s="16">
        <f t="shared" ref="CT11" si="138">CT9+CT10</f>
        <v>40.741117320496016</v>
      </c>
      <c r="CU11" s="16">
        <f t="shared" ref="CU11" si="139">CU9+CU10</f>
        <v>41.661789852704274</v>
      </c>
      <c r="CV11" s="16">
        <f t="shared" ref="CV11" si="140">CV9+CV10</f>
        <v>32.177320560985514</v>
      </c>
      <c r="CW11" s="16">
        <f t="shared" ref="CW11" si="141">CW9+CW10</f>
        <v>29.03630647911131</v>
      </c>
      <c r="CX11" s="16">
        <f t="shared" ref="CX11" si="142">CX9+CX10</f>
        <v>30.024454666729859</v>
      </c>
      <c r="CY11" s="16">
        <f t="shared" ref="CY11" si="143">CY9+CY10</f>
        <v>35.912168958423024</v>
      </c>
      <c r="CZ11" s="16">
        <f t="shared" ref="CZ11" si="144">CZ9+CZ10</f>
        <v>47.199676133827481</v>
      </c>
      <c r="DA11" s="16">
        <f t="shared" ref="DA11" si="145">DA9+DA10</f>
        <v>68.219351416812572</v>
      </c>
      <c r="DB11" s="16">
        <f t="shared" ref="DB11" si="146">DB9+DB10</f>
        <v>89.60558381515574</v>
      </c>
      <c r="DC11" s="16">
        <f t="shared" ref="DC11" si="147">DC9+DC10</f>
        <v>105.50231318247867</v>
      </c>
      <c r="DD11" s="16">
        <f t="shared" ref="DD11" si="148">DD9+DD10</f>
        <v>126.89778791681647</v>
      </c>
      <c r="DE11" s="16">
        <f t="shared" ref="DE11" si="149">DE9+DE10</f>
        <v>109.50868375729954</v>
      </c>
      <c r="DF11" s="16">
        <f t="shared" ref="DF11" si="150">DF9+DF10</f>
        <v>156.23370708682006</v>
      </c>
      <c r="DG11" s="16">
        <f t="shared" ref="DG11" si="151">DG9+DG10</f>
        <v>175.54593182243866</v>
      </c>
      <c r="DH11" s="16">
        <f t="shared" ref="DH11" si="152">DH9+DH10</f>
        <v>192.92182100928881</v>
      </c>
      <c r="DI11" s="16">
        <f t="shared" ref="DI11" si="153">DI9+DI10</f>
        <v>129.68857045467638</v>
      </c>
      <c r="DJ11" s="16">
        <f t="shared" ref="DJ11" si="154">DJ9+DJ10</f>
        <v>53.419429829879775</v>
      </c>
      <c r="DK11" s="16">
        <f t="shared" ref="DK11" si="155">DK9+DK10</f>
        <v>31.258305864690815</v>
      </c>
      <c r="DL11" s="16">
        <f t="shared" ref="DL11" si="156">DL9+DL10</f>
        <v>0.69904499398752096</v>
      </c>
      <c r="DM11" s="11">
        <f t="shared" si="69"/>
        <v>1549.8827118220479</v>
      </c>
      <c r="DN11" s="11">
        <f t="shared" si="34"/>
        <v>42.660245010285443</v>
      </c>
      <c r="DO11" s="11">
        <f t="shared" si="35"/>
        <v>24.628804898739261</v>
      </c>
      <c r="DP11" s="11">
        <f t="shared" si="6"/>
        <v>849.27549481908159</v>
      </c>
      <c r="DQ11" s="11">
        <f t="shared" si="36"/>
        <v>583.53310397496193</v>
      </c>
      <c r="DR11" s="15">
        <f t="shared" si="37"/>
        <v>0.54796113818230163</v>
      </c>
      <c r="DS11" s="15">
        <f t="shared" si="38"/>
        <v>0.37650146009368557</v>
      </c>
      <c r="DT11" s="11">
        <f t="shared" si="70"/>
        <v>127.1502506652497</v>
      </c>
      <c r="DW11" s="211"/>
      <c r="DX11" s="30">
        <f>DX10</f>
        <v>2035</v>
      </c>
      <c r="DY11" s="5" t="s">
        <v>23</v>
      </c>
      <c r="DZ11" s="16">
        <f>DZ9+DZ10</f>
        <v>77.24337963781403</v>
      </c>
      <c r="EA11" s="16">
        <f t="shared" ref="EA11" si="157">EA9+EA10</f>
        <v>81.71795687693043</v>
      </c>
      <c r="EB11" s="16">
        <f t="shared" ref="EB11" si="158">EB9+EB10</f>
        <v>36.469566901673431</v>
      </c>
      <c r="EC11" s="16">
        <f t="shared" ref="EC11" si="159">EC9+EC10</f>
        <v>39.991725419564332</v>
      </c>
      <c r="ED11" s="16">
        <f t="shared" ref="ED11" si="160">ED9+ED10</f>
        <v>31.214026614628384</v>
      </c>
      <c r="EE11" s="16">
        <f t="shared" ref="EE11" si="161">EE9+EE10</f>
        <v>85.036306479111317</v>
      </c>
      <c r="EF11" s="16">
        <f t="shared" ref="EF11" si="162">EF9+EF10</f>
        <v>139.04778824291893</v>
      </c>
      <c r="EG11" s="16">
        <f t="shared" ref="EG11" si="163">EG9+EG10</f>
        <v>197.61114785262691</v>
      </c>
      <c r="EH11" s="16">
        <f t="shared" ref="EH11" si="164">EH9+EH10</f>
        <v>168.98202227654693</v>
      </c>
      <c r="EI11" s="16">
        <f t="shared" ref="EI11" si="165">EI9+EI10</f>
        <v>130.51571645734896</v>
      </c>
      <c r="EJ11" s="16">
        <f t="shared" ref="EJ11" si="166">EJ9+EJ10</f>
        <v>88.570222946508181</v>
      </c>
      <c r="EK11" s="16">
        <f t="shared" ref="EK11" si="167">EK9+EK10</f>
        <v>105.50231318247867</v>
      </c>
      <c r="EL11" s="16">
        <f t="shared" ref="EL11" si="168">EL9+EL10</f>
        <v>126.89778791681647</v>
      </c>
      <c r="EM11" s="16">
        <f t="shared" ref="EM11" si="169">EM9+EM10</f>
        <v>109.50868375729954</v>
      </c>
      <c r="EN11" s="16">
        <f t="shared" ref="EN11" si="170">EN9+EN10</f>
        <v>156.23370708682006</v>
      </c>
      <c r="EO11" s="16">
        <f t="shared" ref="EO11" si="171">EO9+EO10</f>
        <v>175.54593182243866</v>
      </c>
      <c r="EP11" s="16">
        <f t="shared" ref="EP11" si="172">EP9+EP10</f>
        <v>192.92182100928881</v>
      </c>
      <c r="EQ11" s="16">
        <f t="shared" ref="EQ11" si="173">EQ9+EQ10</f>
        <v>129.68857045467638</v>
      </c>
      <c r="ER11" s="16">
        <f t="shared" ref="ER11" si="174">ER9+ER10</f>
        <v>53.419429829879775</v>
      </c>
      <c r="ES11" s="16">
        <f t="shared" ref="ES11" si="175">ES9+ES10</f>
        <v>31.258305864690815</v>
      </c>
      <c r="ET11" s="16">
        <f t="shared" ref="ET11" si="176">ET9+ET10</f>
        <v>0.69904499398752096</v>
      </c>
      <c r="EU11" s="11">
        <f t="shared" si="71"/>
        <v>2158.075455624049</v>
      </c>
      <c r="EV11" s="11">
        <f t="shared" si="41"/>
        <v>70.912514267162322</v>
      </c>
      <c r="EW11" s="11">
        <f t="shared" si="42"/>
        <v>22.586171844582239</v>
      </c>
      <c r="EX11" s="11">
        <f t="shared" si="10"/>
        <v>849.27549481908159</v>
      </c>
      <c r="EY11" s="11">
        <f t="shared" si="43"/>
        <v>583.53310397496193</v>
      </c>
      <c r="EZ11" s="15">
        <f t="shared" si="44"/>
        <v>0.39353373516474066</v>
      </c>
      <c r="FA11" s="15">
        <f t="shared" si="45"/>
        <v>0.27039513491256595</v>
      </c>
      <c r="FB11" s="11">
        <f t="shared" si="72"/>
        <v>452.90926918928551</v>
      </c>
    </row>
    <row r="12" spans="1:158" x14ac:dyDescent="0.15">
      <c r="A12" s="7" t="str">
        <f t="shared" si="11"/>
        <v>2020_1</v>
      </c>
      <c r="B12" s="28">
        <v>2020</v>
      </c>
      <c r="C12" s="3" t="s">
        <v>21</v>
      </c>
      <c r="D12" s="9">
        <v>25.133117884686008</v>
      </c>
      <c r="E12" s="9">
        <v>33.17310319500551</v>
      </c>
      <c r="F12" s="9">
        <v>33.171957399926555</v>
      </c>
      <c r="G12" s="9">
        <v>33.174248990084465</v>
      </c>
      <c r="H12" s="9">
        <v>28.146823356591995</v>
      </c>
      <c r="I12" s="9">
        <v>28.144531766434081</v>
      </c>
      <c r="J12" s="9">
        <v>35.187396254131471</v>
      </c>
      <c r="K12" s="9">
        <v>47.248520014689682</v>
      </c>
      <c r="L12" s="9">
        <v>58.30793977230995</v>
      </c>
      <c r="M12" s="9">
        <v>61.325082629452808</v>
      </c>
      <c r="N12" s="9">
        <v>48.25308850532501</v>
      </c>
      <c r="O12" s="9">
        <v>76.406213734851264</v>
      </c>
      <c r="P12" s="9">
        <v>113.59873668747704</v>
      </c>
      <c r="Q12" s="9">
        <v>144.76614028644877</v>
      </c>
      <c r="R12" s="9">
        <v>129.68844656628718</v>
      </c>
      <c r="S12" s="9">
        <v>75.401072346676457</v>
      </c>
      <c r="T12" s="9">
        <v>71.378215203819309</v>
      </c>
      <c r="U12" s="9">
        <v>61.332530297466029</v>
      </c>
      <c r="V12" s="9">
        <v>25.135409474843925</v>
      </c>
      <c r="W12" s="9">
        <v>4.0222842453176648</v>
      </c>
      <c r="X12" s="9">
        <v>1.0051413881748072</v>
      </c>
      <c r="Y12" s="9">
        <f t="shared" ref="Y12:Y14" si="177">SUM(D12:X12)</f>
        <v>1134.0000000000002</v>
      </c>
      <c r="Z12" s="9">
        <f>E12*3/5+F12*3/5</f>
        <v>39.807036356959237</v>
      </c>
      <c r="AA12" s="9">
        <f>F12*2/5+G12*1/5</f>
        <v>19.903632757987516</v>
      </c>
      <c r="AB12" s="9">
        <f t="shared" ref="AB12:AB14" si="178">SUM(Q12:X12)</f>
        <v>512.72923980903408</v>
      </c>
      <c r="AC12" s="9">
        <f>SUM(S12:X12)</f>
        <v>238.27465295629824</v>
      </c>
      <c r="AD12" s="13">
        <f>AB12/Y12</f>
        <v>0.45214218678045326</v>
      </c>
      <c r="AE12" s="13">
        <f>AC12/Y12</f>
        <v>0.21011874158403721</v>
      </c>
      <c r="AF12" s="9">
        <f>SUM(H12:K12)</f>
        <v>138.72727139184724</v>
      </c>
      <c r="AK12" s="61">
        <f>管理者入力シート!B5</f>
        <v>2020</v>
      </c>
      <c r="AL12" s="62"/>
      <c r="BH12" s="7" t="str">
        <f t="shared" si="19"/>
        <v>2040_1</v>
      </c>
      <c r="BI12" s="28">
        <f>管理者入力シート!B11</f>
        <v>2040</v>
      </c>
      <c r="BJ12" s="3" t="s">
        <v>21</v>
      </c>
      <c r="BK12" s="9">
        <f>CM13*$AK$13</f>
        <v>8.9617492911024996</v>
      </c>
      <c r="BL12" s="9">
        <f>IF(管理者入力シート!$B$14=1,BK9*管理者用人口入力シート!AM$3,IF(管理者入力シート!$B$14=2,BK9*管理者用人口入力シート!AM$7))</f>
        <v>11.621819995759694</v>
      </c>
      <c r="BM12" s="9">
        <f>IF(管理者入力シート!$B$14=1,BL9*管理者用人口入力シート!AN$3,IF(管理者入力シート!$B$14=2,BL9*管理者用人口入力シート!AN$7))</f>
        <v>13.803849368211763</v>
      </c>
      <c r="BN12" s="9">
        <f>IF(管理者入力シート!$B$14=1,BM9*管理者用人口入力シート!AO$3,IF(管理者入力シート!$B$14=2,BM9*管理者用人口入力シート!AO$7))</f>
        <v>15.606502694604</v>
      </c>
      <c r="BO12" s="9">
        <f>IF(管理者入力シート!$B$14=1,BN9*管理者用人口入力シート!AP$3,IF(管理者入力シート!$B$14=2,BN9*管理者用人口入力シート!AP$7))</f>
        <v>11.567900240796032</v>
      </c>
      <c r="BP12" s="9">
        <f>IF(管理者入力シート!$B$14=1,BO9*管理者用人口入力シート!AQ$3,IF(管理者入力シート!$B$14=2,BO9*管理者用人口入力シート!AQ$7))</f>
        <v>11.678914298467381</v>
      </c>
      <c r="BQ12" s="9">
        <f>IF(管理者入力シート!$B$14=1,BP9*管理者用人口入力シート!AR$3,IF(管理者入力シート!$B$14=2,BP9*管理者用人口入力シート!AR$7))</f>
        <v>11.582669469719091</v>
      </c>
      <c r="BR12" s="9">
        <f>IF(管理者入力シート!$B$14=1,BQ9*管理者用人口入力シート!AS$3,IF(管理者入力シート!$B$14=2,BQ9*管理者用人口入力シート!AS$7))</f>
        <v>12.566181121049503</v>
      </c>
      <c r="BS12" s="9">
        <f>IF(管理者入力シート!$B$14=1,BR9*管理者用人口入力シート!AT$3,IF(管理者入力シート!$B$14=2,BR9*管理者用人口入力シート!AT$7))</f>
        <v>20.743393255125302</v>
      </c>
      <c r="BT12" s="9">
        <f>IF(管理者入力シート!$B$14=1,BS9*管理者用人口入力シート!AU$3,IF(管理者入力シート!$B$14=2,BS9*管理者用人口入力シート!AU$7))</f>
        <v>25.386753816116919</v>
      </c>
      <c r="BU12" s="9">
        <f>IF(管理者入力シート!$B$14=1,BT9*管理者用人口入力シート!AV$3,IF(管理者入力シート!$B$14=2,BT9*管理者用人口入力シート!AV$7))</f>
        <v>32.570817903665812</v>
      </c>
      <c r="BV12" s="9">
        <f>IF(管理者入力シート!$B$14=1,BU9*管理者用人口入力シート!AW$3,IF(管理者入力シート!$B$14=2,BU9*管理者用人口入力シート!AW$7))</f>
        <v>48.013535778376017</v>
      </c>
      <c r="BW12" s="9">
        <f>IF(管理者入力シート!$B$14=1,BV9*管理者用人口入力シート!AX$3,IF(管理者入力シート!$B$14=2,BV9*管理者用人口入力シート!AX$7))</f>
        <v>54.29912317724343</v>
      </c>
      <c r="BX12" s="9">
        <f>IF(管理者入力シート!$B$14=1,BW9*管理者用人口入力シート!AY$3,IF(管理者入力シート!$B$14=2,BW9*管理者用人口入力シート!AY$7))</f>
        <v>58.347657541023842</v>
      </c>
      <c r="BY12" s="9">
        <f>IF(管理者入力シート!$B$14=1,BX9*管理者用人口入力シート!AZ$3,IF(管理者入力シート!$B$14=2,BX9*管理者用人口入力シート!AZ$7))</f>
        <v>42.549590084131324</v>
      </c>
      <c r="BZ12" s="9">
        <f>IF(管理者入力シート!$B$14=1,BY9*管理者用人口入力シート!BA$3,IF(管理者入力シート!$B$14=2,BY9*管理者用人口入力シート!BA$7))</f>
        <v>53.802113569787771</v>
      </c>
      <c r="CA12" s="9">
        <f>IF(管理者入力シート!$B$14=1,BZ9*管理者用人口入力シート!BB$3,IF(管理者入力シート!$B$14=2,BZ9*管理者用人口入力シート!BB$7))</f>
        <v>66.846919297283378</v>
      </c>
      <c r="CB12" s="9">
        <f>IF(管理者入力シート!$B$14=1,CA9*管理者用人口入力シート!BC$3,IF(管理者入力シート!$B$14=2,CA9*管理者用人口入力シート!BC$7))</f>
        <v>56.707046779643832</v>
      </c>
      <c r="CC12" s="9">
        <f>IF(管理者入力シート!$B$14=1,CB9*管理者用人口入力シート!BD$3,IF(管理者入力シート!$B$14=2,CB9*管理者用人口入力シート!BD$7))</f>
        <v>23.057397340078431</v>
      </c>
      <c r="CD12" s="9">
        <f>IF(管理者入力シート!$B$14=1,CC9*管理者用人口入力シート!BE$3,IF(管理者入力シート!$B$14=2,CC9*管理者用人口入力シート!BE$7))</f>
        <v>5.6569112392272327</v>
      </c>
      <c r="CE12" s="9">
        <f>IF(管理者入力シート!$B$14=1,CD9*管理者用人口入力シート!BF$3,IF(管理者入力シート!$B$14=2,CD9*管理者用人口入力シート!BF$7))</f>
        <v>0.10085940920810141</v>
      </c>
      <c r="CF12" s="9">
        <f t="shared" si="2"/>
        <v>585.47170567062142</v>
      </c>
      <c r="CG12" s="9">
        <f t="shared" si="20"/>
        <v>15.255401618382873</v>
      </c>
      <c r="CH12" s="9">
        <f t="shared" si="21"/>
        <v>8.6428402862055052</v>
      </c>
      <c r="CI12" s="9">
        <f t="shared" si="3"/>
        <v>307.06849526038388</v>
      </c>
      <c r="CJ12" s="9">
        <f t="shared" si="22"/>
        <v>206.17124763522878</v>
      </c>
      <c r="CK12" s="13">
        <f t="shared" si="23"/>
        <v>0.52448050398721835</v>
      </c>
      <c r="CL12" s="13">
        <f t="shared" si="24"/>
        <v>0.3521455360495559</v>
      </c>
      <c r="CM12" s="9">
        <f t="shared" si="25"/>
        <v>47.395665130032008</v>
      </c>
      <c r="CO12" s="7" t="str">
        <f t="shared" si="26"/>
        <v>2040_1</v>
      </c>
      <c r="CP12" s="28">
        <f>管理者入力シート!B11</f>
        <v>2040</v>
      </c>
      <c r="CQ12" s="3" t="s">
        <v>21</v>
      </c>
      <c r="CR12" s="9">
        <f>DT13*$AK$13+将来予測シート②!$G17</f>
        <v>11.174411910840966</v>
      </c>
      <c r="CS12" s="9">
        <f>IF(管理者入力シート!$B$14=1,CR9*管理者用人口入力シート!AM$3,IF(管理者入力シート!$B$14=2,CR9*管理者用人口入力シート!AM$7))+将来予測シート②!$G18</f>
        <v>13.845203006795199</v>
      </c>
      <c r="CT12" s="9">
        <f>IF(管理者入力シート!$B$14=1,CS9*管理者用人口入力シート!AN$3,IF(管理者入力シート!$B$14=2,CS9*管理者用人口入力シート!AN$7))+将来予測シート②!$G19</f>
        <v>16.501059527656714</v>
      </c>
      <c r="CU12" s="9">
        <f>IF(管理者入力シート!$B$14=1,CT9*管理者用人口入力シート!AO$3,IF(管理者入力シート!$B$14=2,CT9*管理者用人口入力シート!AO$7))+将来予測シート②!$G20</f>
        <v>17.254907509629689</v>
      </c>
      <c r="CV12" s="9">
        <f>IF(管理者入力シート!$B$14=1,CU9*管理者用人口入力シート!AP$3,IF(管理者入力シート!$B$14=2,CU9*管理者用人口入力シート!AP$7))+将来予測シート②!$G21</f>
        <v>12.037984127845464</v>
      </c>
      <c r="CW12" s="9">
        <f>IF(管理者入力シート!$B$14=1,CV9*管理者用人口入力シート!AQ$3,IF(管理者入力シート!$B$14=2,CV9*管理者用人口入力シート!AQ$7))+将来予測シート②!$G22</f>
        <v>14.050749679643225</v>
      </c>
      <c r="CX12" s="9">
        <f>IF(管理者入力シート!$B$14=1,CW9*管理者用人口入力シート!AR$3,IF(管理者入力シート!$B$14=2,CW9*管理者用人口入力シート!AR$7))+将来予測シート②!$G23</f>
        <v>13.460761406660271</v>
      </c>
      <c r="CY12" s="9">
        <f>IF(管理者入力シート!$B$14=1,CX9*管理者用人口入力シート!AS$3,IF(管理者入力シート!$B$14=2,CX9*管理者用人口入力シート!AS$7))+将来予測シート②!$G24</f>
        <v>14.263153563403339</v>
      </c>
      <c r="CZ12" s="9">
        <f>IF(管理者入力シート!$B$14=1,CY9*管理者用人口入力シート!AT$3,IF(管理者入力シート!$B$14=2,CY9*管理者用人口入力シート!AT$7))+将来予測シート②!$G25</f>
        <v>22.606788841120981</v>
      </c>
      <c r="DA12" s="9">
        <f>IF(管理者入力シート!$B$14=1,CZ9*管理者用人口入力シート!AU$3,IF(管理者入力シート!$B$14=2,CZ9*管理者用人口入力シート!AU$7))+将来予測シート②!$G26</f>
        <v>25.386753816116919</v>
      </c>
      <c r="DB12" s="9">
        <f>IF(管理者入力シート!$B$14=1,DA9*管理者用人口入力シート!AV$3,IF(管理者入力シート!$B$14=2,DA9*管理者用人口入力シート!AV$7))+将来予測シート②!$G27</f>
        <v>32.570817903665812</v>
      </c>
      <c r="DC12" s="9">
        <f>IF(管理者入力シート!$B$14=1,DB9*管理者用人口入力シート!AW$3,IF(管理者入力シート!$B$14=2,DB9*管理者用人口入力シート!AW$7))+将来予測シート②!$G28</f>
        <v>48.013535778376017</v>
      </c>
      <c r="DD12" s="9">
        <f>IF(管理者入力シート!$B$14=1,DC9*管理者用人口入力シート!AX$3,IF(管理者入力シート!$B$14=2,DC9*管理者用人口入力シート!AX$7))+将来予測シート②!$G29</f>
        <v>54.29912317724343</v>
      </c>
      <c r="DE12" s="9">
        <f>IF(管理者入力シート!$B$14=1,DD9*管理者用人口入力シート!AY$3,IF(管理者入力シート!$B$14=2,DD9*管理者用人口入力シート!AY$7))</f>
        <v>58.347657541023842</v>
      </c>
      <c r="DF12" s="9">
        <f>IF(管理者入力シート!$B$14=1,DE9*管理者用人口入力シート!AZ$3,IF(管理者入力シート!$B$14=2,DE9*管理者用人口入力シート!AZ$7))</f>
        <v>42.549590084131324</v>
      </c>
      <c r="DG12" s="9">
        <f>IF(管理者入力シート!$B$14=1,DF9*管理者用人口入力シート!BA$3,IF(管理者入力シート!$B$14=2,DF9*管理者用人口入力シート!BA$7))</f>
        <v>53.802113569787771</v>
      </c>
      <c r="DH12" s="9">
        <f>IF(管理者入力シート!$B$14=1,DG9*管理者用人口入力シート!BB$3,IF(管理者入力シート!$B$14=2,DG9*管理者用人口入力シート!BB$7))</f>
        <v>66.846919297283378</v>
      </c>
      <c r="DI12" s="9">
        <f>IF(管理者入力シート!$B$14=1,DH9*管理者用人口入力シート!BC$3,IF(管理者入力シート!$B$14=2,DH9*管理者用人口入力シート!BC$7))</f>
        <v>56.707046779643832</v>
      </c>
      <c r="DJ12" s="9">
        <f>IF(管理者入力シート!$B$14=1,DI9*管理者用人口入力シート!BD$3,IF(管理者入力シート!$B$14=2,DI9*管理者用人口入力シート!BD$7))</f>
        <v>23.057397340078431</v>
      </c>
      <c r="DK12" s="9">
        <f>IF(管理者入力シート!$B$14=1,DJ9*管理者用人口入力シート!BE$3,IF(管理者入力シート!$B$14=2,DJ9*管理者用人口入力シート!BE$7))</f>
        <v>5.6569112392272327</v>
      </c>
      <c r="DL12" s="9">
        <f>IF(管理者入力シート!$B$14=1,DK9*管理者用人口入力シート!BF$3,IF(管理者入力シート!$B$14=2,DK9*管理者用人口入力シート!BF$7))</f>
        <v>0.10085940920810141</v>
      </c>
      <c r="DM12" s="9">
        <f t="shared" si="69"/>
        <v>602.5337455093819</v>
      </c>
      <c r="DN12" s="9">
        <f t="shared" si="34"/>
        <v>18.207757520671144</v>
      </c>
      <c r="DO12" s="9">
        <f t="shared" si="35"/>
        <v>10.051405312988624</v>
      </c>
      <c r="DP12" s="9">
        <f t="shared" si="6"/>
        <v>307.06849526038388</v>
      </c>
      <c r="DQ12" s="9">
        <f t="shared" si="36"/>
        <v>206.17124763522878</v>
      </c>
      <c r="DR12" s="13">
        <f t="shared" si="37"/>
        <v>0.50962870967631568</v>
      </c>
      <c r="DS12" s="13">
        <f t="shared" si="38"/>
        <v>0.3421737772727263</v>
      </c>
      <c r="DT12" s="9">
        <f t="shared" si="70"/>
        <v>53.812648777552297</v>
      </c>
      <c r="DV12" s="212"/>
      <c r="DX12" s="28">
        <f>管理者入力シート!B11</f>
        <v>2040</v>
      </c>
      <c r="DY12" s="3" t="s">
        <v>21</v>
      </c>
      <c r="DZ12" s="9">
        <f>FB13*$AK$13</f>
        <v>42.712834330617795</v>
      </c>
      <c r="EA12" s="129">
        <f>IF(管理者入力シート!$B$14=1,DZ9*管理者用人口入力シート!AM$3,IF(管理者入力シート!$B$14=2,DZ9*管理者用人口入力シート!AM$7))</f>
        <v>46.524186955796736</v>
      </c>
      <c r="EB12" s="9">
        <f>IF(管理者入力シート!$B$14=1,EA9*管理者用人口入力シート!AN$3,IF(管理者入力シート!$B$14=2,EA9*管理者用人口入力シート!AN$7))</f>
        <v>42.197221237486715</v>
      </c>
      <c r="EC12" s="9">
        <f>IF(管理者入力シート!$B$14=1,EB9*管理者用人口入力シート!AO$3,IF(管理者入力シート!$B$14=2,EB9*管理者用人口入力シート!AO$7))</f>
        <v>15.606502694604</v>
      </c>
      <c r="ED12" s="9">
        <f>IF(管理者入力シート!$B$14=1,EC9*管理者用人口入力シート!AP$3,IF(管理者入力シート!$B$14=2,EC9*管理者用人口入力シート!AP$7))</f>
        <v>11.567900240796032</v>
      </c>
      <c r="EE12" s="9">
        <f>IF(管理者入力シート!$B$14=1,ED9*管理者用人口入力シート!AQ$3,IF(管理者入力シート!$B$14=2,ED9*管理者用人口入力シート!AQ$7))+DX1</f>
        <v>41.678914298467383</v>
      </c>
      <c r="EF12" s="9">
        <f>IF(管理者入力シート!$B$14=1,EE9*管理者用人口入力シート!AR$3,IF(管理者入力シート!$B$14=2,EE9*管理者用人口入力シート!AR$7))+DX1</f>
        <v>69.754048523836786</v>
      </c>
      <c r="EG12" s="9">
        <f>IF(管理者入力シート!$B$14=1,EF9*管理者用人口入力シート!AS$3,IF(管理者入力シート!$B$14=2,EF9*管理者用人口入力シート!AS$7))+DX1</f>
        <v>95.127626728090888</v>
      </c>
      <c r="EH12" s="9">
        <f>IF(管理者入力シート!$B$14=1,EG9*管理者用人口入力シート!AT$3,IF(管理者入力シート!$B$14=2,EG9*管理者用人口入力シート!AT$7))</f>
        <v>111.40169122028784</v>
      </c>
      <c r="EI12" s="9">
        <f>IF(管理者入力シート!$B$14=1,EH9*管理者用人口入力シート!AU$3,IF(管理者入力シート!$B$14=2,EH9*管理者用人口入力シート!AU$7))</f>
        <v>86.09624921295422</v>
      </c>
      <c r="EJ12" s="9">
        <f>IF(管理者入力シート!$B$14=1,EI9*管理者用人口入力シート!AV$3,IF(管理者入力シート!$B$14=2,EI9*管理者用人口入力シート!AV$7))</f>
        <v>63.303810117616806</v>
      </c>
      <c r="EK12" s="9">
        <f>IF(管理者入力シート!$B$14=1,EJ9*管理者用人口入力シート!AW$3,IF(管理者入力シート!$B$14=2,EJ9*管理者用人口入力シート!AW$7))</f>
        <v>48.013535778376017</v>
      </c>
      <c r="EL12" s="9">
        <f>IF(管理者入力シート!$B$14=1,EK9*管理者用人口入力シート!AX$3,IF(管理者入力シート!$B$14=2,EK9*管理者用人口入力シート!AX$7))</f>
        <v>54.29912317724343</v>
      </c>
      <c r="EM12" s="9">
        <f>IF(管理者入力シート!$B$14=1,EL9*管理者用人口入力シート!AY$3,IF(管理者入力シート!$B$14=2,EL9*管理者用人口入力シート!AY$7))</f>
        <v>58.347657541023842</v>
      </c>
      <c r="EN12" s="9">
        <f>IF(管理者入力シート!$B$14=1,EM9*管理者用人口入力シート!AZ$3,IF(管理者入力シート!$B$14=2,EM9*管理者用人口入力シート!AZ$7))</f>
        <v>42.549590084131324</v>
      </c>
      <c r="EO12" s="9">
        <f>IF(管理者入力シート!$B$14=1,EN9*管理者用人口入力シート!BA$3,IF(管理者入力シート!$B$14=2,EN9*管理者用人口入力シート!BA$7))</f>
        <v>53.802113569787771</v>
      </c>
      <c r="EP12" s="9">
        <f>IF(管理者入力シート!$B$14=1,EO9*管理者用人口入力シート!BB$3,IF(管理者入力シート!$B$14=2,EO9*管理者用人口入力シート!BB$7))</f>
        <v>66.846919297283378</v>
      </c>
      <c r="EQ12" s="9">
        <f>IF(管理者入力シート!$B$14=1,EP9*管理者用人口入力シート!BC$3,IF(管理者入力シート!$B$14=2,EP9*管理者用人口入力シート!BC$7))</f>
        <v>56.707046779643832</v>
      </c>
      <c r="ER12" s="9">
        <f>IF(管理者入力シート!$B$14=1,EQ9*管理者用人口入力シート!BD$3,IF(管理者入力シート!$B$14=2,EQ9*管理者用人口入力シート!BD$7))</f>
        <v>23.057397340078431</v>
      </c>
      <c r="ES12" s="9">
        <f>IF(管理者入力シート!$B$14=1,ER9*管理者用人口入力シート!BE$3,IF(管理者入力シート!$B$14=2,ER9*管理者用人口入力シート!BE$7))</f>
        <v>5.6569112392272327</v>
      </c>
      <c r="ET12" s="9">
        <f>IF(管理者入力シート!$B$14=1,ES9*管理者用人口入力シート!BF$3,IF(管理者入力シート!$B$14=2,ES9*管理者用人口入力シート!BF$7))</f>
        <v>0.10085940920810141</v>
      </c>
      <c r="EU12" s="9">
        <f t="shared" si="71"/>
        <v>1035.3521397765587</v>
      </c>
      <c r="EV12" s="9">
        <f t="shared" si="41"/>
        <v>53.232844915970077</v>
      </c>
      <c r="EW12" s="9">
        <f t="shared" si="42"/>
        <v>20.000189033915486</v>
      </c>
      <c r="EX12" s="9">
        <f t="shared" si="10"/>
        <v>307.06849526038388</v>
      </c>
      <c r="EY12" s="9">
        <f t="shared" si="43"/>
        <v>206.17124763522878</v>
      </c>
      <c r="EZ12" s="13">
        <f t="shared" si="44"/>
        <v>0.29658362934049948</v>
      </c>
      <c r="FA12" s="13">
        <f t="shared" si="45"/>
        <v>0.19913152222752251</v>
      </c>
      <c r="FB12" s="9">
        <f t="shared" si="72"/>
        <v>218.1284897911911</v>
      </c>
    </row>
    <row r="13" spans="1:158" x14ac:dyDescent="0.15">
      <c r="A13" s="7" t="str">
        <f t="shared" si="11"/>
        <v>2020_2</v>
      </c>
      <c r="B13" s="29">
        <v>2020</v>
      </c>
      <c r="C13" s="4" t="s">
        <v>22</v>
      </c>
      <c r="D13" s="10">
        <v>18.018390804597701</v>
      </c>
      <c r="E13" s="10">
        <v>31.027586206896551</v>
      </c>
      <c r="F13" s="10">
        <v>41.055172413793102</v>
      </c>
      <c r="G13" s="10">
        <v>42.05057471264368</v>
      </c>
      <c r="H13" s="10">
        <v>28.027586206896551</v>
      </c>
      <c r="I13" s="10">
        <v>25.036781609195401</v>
      </c>
      <c r="J13" s="10">
        <v>33.05977011494253</v>
      </c>
      <c r="K13" s="10">
        <v>38.05057471264368</v>
      </c>
      <c r="L13" s="10">
        <v>48.045977011494251</v>
      </c>
      <c r="M13" s="10">
        <v>65.078160919540238</v>
      </c>
      <c r="N13" s="10">
        <v>59.08275862068966</v>
      </c>
      <c r="O13" s="10">
        <v>91.151724137931041</v>
      </c>
      <c r="P13" s="10">
        <v>105.12413793103448</v>
      </c>
      <c r="Q13" s="10">
        <v>140.25747126436781</v>
      </c>
      <c r="R13" s="10">
        <v>117.17931034482758</v>
      </c>
      <c r="S13" s="10">
        <v>97.147126436781605</v>
      </c>
      <c r="T13" s="10">
        <v>110.19770114942528</v>
      </c>
      <c r="U13" s="10">
        <v>100.20689655172413</v>
      </c>
      <c r="V13" s="10">
        <v>56.114942528735632</v>
      </c>
      <c r="W13" s="10">
        <v>24.087356321839081</v>
      </c>
      <c r="X13" s="10">
        <v>0</v>
      </c>
      <c r="Y13" s="10">
        <f t="shared" si="177"/>
        <v>1270.0000000000002</v>
      </c>
      <c r="Z13" s="10">
        <f t="shared" ref="Z13:Z14" si="179">E13*3/5+F13*3/5</f>
        <v>43.249655172413789</v>
      </c>
      <c r="AA13" s="10">
        <f t="shared" ref="AA13:AA14" si="180">F13*2/5+G13*1/5</f>
        <v>24.832183908045977</v>
      </c>
      <c r="AB13" s="10">
        <f t="shared" si="178"/>
        <v>645.19080459770112</v>
      </c>
      <c r="AC13" s="10">
        <f t="shared" ref="AC13:AC14" si="181">SUM(S13:X13)</f>
        <v>387.75402298850577</v>
      </c>
      <c r="AD13" s="14">
        <f t="shared" ref="AD13:AD14" si="182">AB13/Y13</f>
        <v>0.50802425558874098</v>
      </c>
      <c r="AE13" s="14">
        <f t="shared" ref="AE13:AE14" si="183">AC13/Y13</f>
        <v>0.30531812833740607</v>
      </c>
      <c r="AF13" s="10">
        <f t="shared" ref="AF13:AF14" si="184">SUM(H13:K13)</f>
        <v>124.17471264367816</v>
      </c>
      <c r="AI13" s="60" t="s">
        <v>47</v>
      </c>
      <c r="AJ13" s="1" t="s">
        <v>21</v>
      </c>
      <c r="AK13" s="8">
        <f>VLOOKUP(AK12&amp;"_1",A:D,4,FALSE)/VLOOKUP(AK12&amp;"_2",A:AF,32,FALSE)</f>
        <v>0.20240125666170047</v>
      </c>
      <c r="AL13" s="63"/>
      <c r="BH13" s="7" t="str">
        <f t="shared" si="19"/>
        <v>2040_2</v>
      </c>
      <c r="BI13" s="29">
        <f>BI12</f>
        <v>2040</v>
      </c>
      <c r="BJ13" s="4" t="s">
        <v>22</v>
      </c>
      <c r="BK13" s="10">
        <f>CM13*$AK$14</f>
        <v>6.4248415879313256</v>
      </c>
      <c r="BL13" s="10">
        <f>IF(管理者入力シート!$B$14=1,BK10*管理者用人口入力シート!AM$4,IF(管理者入力シート!$B$14=2,BK10*管理者用人口入力シート!AM$8))</f>
        <v>9.6876894239417872</v>
      </c>
      <c r="BM13" s="10">
        <f>IF(管理者入力シート!$B$14=1,BL10*管理者用人口入力シート!AN$4,IF(管理者入力シート!$B$14=2,BL10*管理者用人口入力シート!AN$8))</f>
        <v>13.063109863492608</v>
      </c>
      <c r="BN13" s="10">
        <f>IF(管理者入力シート!$B$14=1,BM10*管理者用人口入力シート!AO$4,IF(管理者入力シート!$B$14=2,BM10*管理者用人口入力シート!AO$8))</f>
        <v>14.844617497471077</v>
      </c>
      <c r="BO13" s="10">
        <f>IF(管理者入力シート!$B$14=1,BN10*管理者用人口入力シート!AP$4,IF(管理者入力シート!$B$14=2,BN10*管理者用人口入力シート!AP$8))</f>
        <v>11.485699854007541</v>
      </c>
      <c r="BP13" s="10">
        <f>IF(管理者入力シート!$B$14=1,BO10*管理者用人口入力シート!AQ$4,IF(管理者入力シート!$B$14=2,BO10*管理者用人口入力シート!AQ$8))</f>
        <v>10.31837514869331</v>
      </c>
      <c r="BQ13" s="10">
        <f>IF(管理者入力シート!$B$14=1,BP10*管理者用人口入力シート!AR$4,IF(管理者入力シート!$B$14=2,BP10*管理者用人口入力シート!AR$8))</f>
        <v>10.31116009401075</v>
      </c>
      <c r="BR13" s="10">
        <f>IF(管理者入力シート!$B$14=1,BQ10*管理者用人口入力シート!AS$4,IF(管理者入力シート!$B$14=2,BQ10*管理者用人口入力シート!AS$8))</f>
        <v>12.161907441397419</v>
      </c>
      <c r="BS13" s="10">
        <f>IF(管理者入力シート!$B$14=1,BR10*管理者用人口入力シート!AT$4,IF(管理者入力シート!$B$14=2,BR10*管理者用人口入力シート!AT$8))</f>
        <v>14.028566296162749</v>
      </c>
      <c r="BT13" s="10">
        <f>IF(管理者入力シート!$B$14=1,BS10*管理者用人口入力シート!AU$4,IF(管理者入力シート!$B$14=2,BS10*管理者用人口入力シート!AU$8))</f>
        <v>20.528797839561477</v>
      </c>
      <c r="BU13" s="10">
        <f>IF(管理者入力シート!$B$14=1,BT10*管理者用人口入力シート!AV$4,IF(管理者入力シート!$B$14=2,BT10*管理者用人口入力シート!AV$8))</f>
        <v>33.644295917472334</v>
      </c>
      <c r="BV13" s="10">
        <f>IF(管理者入力シート!$B$14=1,BU10*管理者用人口入力シート!AW$4,IF(管理者入力シート!$B$14=2,BU10*管理者用人口入力シート!AW$8))</f>
        <v>41.618507917319953</v>
      </c>
      <c r="BW13" s="10">
        <f>IF(管理者入力シート!$B$14=1,BV10*管理者用人口入力シート!AX$4,IF(管理者入力シート!$B$14=2,BV10*管理者用人口入力シート!AX$8))</f>
        <v>51.519978595999561</v>
      </c>
      <c r="BX13" s="10">
        <f>IF(管理者入力シート!$B$14=1,BW10*管理者用人口入力シート!AY$4,IF(管理者入力シート!$B$14=2,BW10*管理者用人口入力シート!AY$8))</f>
        <v>68.658806568693976</v>
      </c>
      <c r="BY13" s="10">
        <f>IF(管理者入力シート!$B$14=1,BX10*管理者用人口入力シート!AZ$4,IF(管理者入力シート!$B$14=2,BX10*管理者用人口入力シート!AZ$8))</f>
        <v>59.310406648314462</v>
      </c>
      <c r="BZ13" s="10">
        <f>IF(管理者入力シート!$B$14=1,BY10*管理者用人口入力シート!BA$4,IF(管理者入力シート!$B$14=2,BY10*管理者用人口入力シート!BA$8))</f>
        <v>83.251042863065308</v>
      </c>
      <c r="CA13" s="10">
        <f>IF(管理者入力シート!$B$14=1,BZ10*管理者用人口入力シート!BB$4,IF(管理者入力シート!$B$14=2,BZ10*管理者用人口入力シート!BB$8))</f>
        <v>80.930105566498256</v>
      </c>
      <c r="CB13" s="10">
        <f>IF(管理者入力シート!$B$14=1,CA10*管理者用人口入力シート!BC$4,IF(管理者入力シート!$B$14=2,CA10*管理者用人口入力シート!BC$8))</f>
        <v>83.546185321612342</v>
      </c>
      <c r="CC13" s="10">
        <f>IF(管理者入力シート!$B$14=1,CB10*管理者用人口入力シート!BD$4,IF(管理者入力シート!$B$14=2,CB10*管理者用人口入力シート!BD$8))</f>
        <v>41.498491787398187</v>
      </c>
      <c r="CD13" s="10">
        <f>IF(管理者入力シート!$B$14=1,CC10*管理者用人口入力シート!BE$4,IF(管理者入力シート!$B$14=2,CC10*管理者用人口入力シート!BE$8))</f>
        <v>18.487637861911811</v>
      </c>
      <c r="CE13" s="10">
        <f>IF(管理者入力シート!$B$14=1,CD10*管理者用人口入力シート!BF$4,IF(管理者入力シート!$B$14=2,CD10*管理者用人口入力シート!BF$8))</f>
        <v>0.48813695363873982</v>
      </c>
      <c r="CF13" s="10">
        <f t="shared" si="2"/>
        <v>685.80836104859509</v>
      </c>
      <c r="CG13" s="10">
        <f t="shared" si="20"/>
        <v>13.650479572460636</v>
      </c>
      <c r="CH13" s="10">
        <f t="shared" si="21"/>
        <v>8.1941674448912583</v>
      </c>
      <c r="CI13" s="10">
        <f t="shared" si="3"/>
        <v>436.17081357113301</v>
      </c>
      <c r="CJ13" s="10">
        <f t="shared" si="22"/>
        <v>308.20160035412465</v>
      </c>
      <c r="CK13" s="14">
        <f t="shared" si="23"/>
        <v>0.63599518224629337</v>
      </c>
      <c r="CL13" s="14">
        <f t="shared" si="24"/>
        <v>0.44939901269632682</v>
      </c>
      <c r="CM13" s="10">
        <f t="shared" si="25"/>
        <v>44.277142538109018</v>
      </c>
      <c r="CO13" s="7" t="str">
        <f t="shared" si="26"/>
        <v>2040_2</v>
      </c>
      <c r="CP13" s="29">
        <f>CP12</f>
        <v>2040</v>
      </c>
      <c r="CQ13" s="4" t="s">
        <v>22</v>
      </c>
      <c r="CR13" s="10">
        <f>DT13*$AK$14+将来予測シート②!$H17</f>
        <v>8.2942215469490108</v>
      </c>
      <c r="CS13" s="10">
        <f>IF(管理者入力シート!$B$14=1,CR10*管理者用人口入力シート!AM$4,IF(管理者入力シート!$B$14=2,CR10*管理者用人口入力シート!AM$8))+将来予測シート②!$H18</f>
        <v>11.881425083760204</v>
      </c>
      <c r="CT13" s="10">
        <f>IF(管理者入力シート!$B$14=1,CS10*管理者用人口入力シート!AN$4,IF(管理者入力シート!$B$14=2,CS10*管理者用人口入力シート!AN$8))+将来予測シート②!$H19</f>
        <v>16.035110119152364</v>
      </c>
      <c r="CU13" s="10">
        <f>IF(管理者入力シート!$B$14=1,CT10*管理者用人口入力シート!AO$4,IF(管理者入力シート!$B$14=2,CT10*管理者用人口入力シート!AO$8))+将来予測シート②!$H20</f>
        <v>16.763762714992069</v>
      </c>
      <c r="CV13" s="10">
        <f>IF(管理者入力シート!$B$14=1,CU10*管理者用人口入力シート!AP$4,IF(管理者入力シート!$B$14=2,CU10*管理者用人口入力シート!AP$8))+将来予測シート②!$H21</f>
        <v>11.97890991331524</v>
      </c>
      <c r="CW13" s="10">
        <f>IF(管理者入力シート!$B$14=1,CV10*管理者用人口入力シート!AQ$4,IF(管理者入力シート!$B$14=2,CV10*管理者用人口入力シート!AQ$8))+将来予測シート②!$H22</f>
        <v>12.627758797772652</v>
      </c>
      <c r="CX13" s="10">
        <f>IF(管理者入力シート!$B$14=1,CW10*管理者用人口入力シート!AR$4,IF(管理者入力シート!$B$14=2,CW10*管理者用人口入力シート!AR$8))+将来予測シート②!$H23</f>
        <v>11.934734841083076</v>
      </c>
      <c r="CY13" s="10">
        <f>IF(管理者入力シート!$B$14=1,CX10*管理者用人口入力シート!AS$4,IF(管理者入力シート!$B$14=2,CX10*管理者用人口入力シート!AS$8))+将来予測シート②!$H24</f>
        <v>13.727117892074723</v>
      </c>
      <c r="CZ13" s="10">
        <f>IF(管理者入力シート!$B$14=1,CY10*管理者用人口入力シート!AT$4,IF(管理者入力シート!$B$14=2,CY10*管理者用人口入力シート!AT$8))+将来予測シート②!$H25</f>
        <v>16.624416618613616</v>
      </c>
      <c r="DA13" s="10">
        <f>IF(管理者入力シート!$B$14=1,CZ10*管理者用人口入力シート!AU$4,IF(管理者入力シート!$B$14=2,CZ10*管理者用人口入力シート!AU$8))+将来予測シート②!$H26</f>
        <v>21.556394908491839</v>
      </c>
      <c r="DB13" s="10">
        <f>IF(管理者入力シート!$B$14=1,DA10*管理者用人口入力シート!AV$4,IF(管理者入力シート!$B$14=2,DA10*管理者用人口入力シート!AV$8))+将来予測シート②!$H27</f>
        <v>34.679656786119885</v>
      </c>
      <c r="DC13" s="10">
        <f>IF(管理者入力シート!$B$14=1,DB10*管理者用人口入力シート!AW$4,IF(管理者入力シート!$B$14=2,DB10*管理者用人口入力シート!AW$8))+将来予測シート②!$H28</f>
        <v>42.69127606141295</v>
      </c>
      <c r="DD13" s="10">
        <f>IF(管理者入力シート!$B$14=1,DC10*管理者用人口入力シート!AX$4,IF(管理者入力シート!$B$14=2,DC10*管理者用人口入力シート!AX$8))+将来予測シート②!$H29</f>
        <v>51.519978595999561</v>
      </c>
      <c r="DE13" s="10">
        <f>IF(管理者入力シート!$B$14=1,DD10*管理者用人口入力シート!AY$4,IF(管理者入力シート!$B$14=2,DD10*管理者用人口入力シート!AY$8))</f>
        <v>68.658806568693976</v>
      </c>
      <c r="DF13" s="10">
        <f>IF(管理者入力シート!$B$14=1,DE10*管理者用人口入力シート!AZ$4,IF(管理者入力シート!$B$14=2,DE10*管理者用人口入力シート!AZ$8))</f>
        <v>59.310406648314462</v>
      </c>
      <c r="DG13" s="10">
        <f>IF(管理者入力シート!$B$14=1,DF10*管理者用人口入力シート!BA$4,IF(管理者入力シート!$B$14=2,DF10*管理者用人口入力シート!BA$8))</f>
        <v>83.251042863065308</v>
      </c>
      <c r="DH13" s="10">
        <f>IF(管理者入力シート!$B$14=1,DG10*管理者用人口入力シート!BB$4,IF(管理者入力シート!$B$14=2,DG10*管理者用人口入力シート!BB$8))</f>
        <v>80.930105566498256</v>
      </c>
      <c r="DI13" s="10">
        <f>IF(管理者入力シート!$B$14=1,DH10*管理者用人口入力シート!BC$4,IF(管理者入力シート!$B$14=2,DH10*管理者用人口入力シート!BC$8))</f>
        <v>83.546185321612342</v>
      </c>
      <c r="DJ13" s="10">
        <f>IF(管理者入力シート!$B$14=1,DI10*管理者用人口入力シート!BD$4,IF(管理者入力シート!$B$14=2,DI10*管理者用人口入力シート!BD$8))</f>
        <v>41.498491787398187</v>
      </c>
      <c r="DK13" s="10">
        <f>IF(管理者入力シート!$B$14=1,DJ10*管理者用人口入力シート!BE$4,IF(管理者入力シート!$B$14=2,DJ10*管理者用人口入力シート!BE$8))</f>
        <v>18.487637861911811</v>
      </c>
      <c r="DL13" s="10">
        <f>IF(管理者入力シート!$B$14=1,DK10*管理者用人口入力シート!BF$4,IF(管理者入力シート!$B$14=2,DK10*管理者用人口入力シート!BF$8))</f>
        <v>0.48813695363873982</v>
      </c>
      <c r="DM13" s="10">
        <f t="shared" si="69"/>
        <v>706.48557745087044</v>
      </c>
      <c r="DN13" s="10">
        <f t="shared" si="34"/>
        <v>16.749921121747541</v>
      </c>
      <c r="DO13" s="10">
        <f t="shared" si="35"/>
        <v>9.7667965906593608</v>
      </c>
      <c r="DP13" s="10">
        <f t="shared" si="6"/>
        <v>436.17081357113301</v>
      </c>
      <c r="DQ13" s="10">
        <f t="shared" si="36"/>
        <v>308.20160035412465</v>
      </c>
      <c r="DR13" s="14">
        <f t="shared" si="37"/>
        <v>0.61738105842856317</v>
      </c>
      <c r="DS13" s="14">
        <f t="shared" si="38"/>
        <v>0.43624613182645933</v>
      </c>
      <c r="DT13" s="10">
        <f t="shared" si="70"/>
        <v>50.268521444245692</v>
      </c>
      <c r="DV13" s="62"/>
      <c r="DX13" s="29">
        <f>DX12</f>
        <v>2040</v>
      </c>
      <c r="DY13" s="4" t="s">
        <v>22</v>
      </c>
      <c r="DZ13" s="10">
        <f>FB13*$AK$14</f>
        <v>30.62161029412303</v>
      </c>
      <c r="EA13" s="10">
        <f>IF(管理者入力シート!$B$14=1,DZ10*管理者用人口入力シート!AM$4,IF(管理者入力シート!$B$14=2,DZ10*管理者用人口入力シート!AM$8))</f>
        <v>38.781522523460879</v>
      </c>
      <c r="EB13" s="10">
        <f>IF(管理者入力シート!$B$14=1,EA10*管理者用人口入力シート!AN$4,IF(管理者入力シート!$B$14=2,EA10*管理者用人口入力シート!AN$8))</f>
        <v>39.932842083077723</v>
      </c>
      <c r="EC13" s="10">
        <f>IF(管理者入力シート!$B$14=1,EB10*管理者用人口入力シート!AO$4,IF(管理者入力シート!$B$14=2,EB10*管理者用人口入力シート!AO$8))</f>
        <v>14.844617497471077</v>
      </c>
      <c r="ED13" s="10">
        <f>IF(管理者入力シート!$B$14=1,EC10*管理者用人口入力シート!AP$4,IF(管理者入力シート!$B$14=2,EC10*管理者用人口入力シート!AP$8))</f>
        <v>11.485699854007541</v>
      </c>
      <c r="EE13" s="10">
        <f>IF(管理者入力シート!$B$14=1,ED10*管理者用人口入力シート!AQ$4,IF(管理者入力シート!$B$14=2,ED10*管理者用人口入力シート!AQ$8))+DX1</f>
        <v>40.318375148693306</v>
      </c>
      <c r="EF13" s="10">
        <f>IF(管理者入力シート!$B$14=1,EE10*管理者用人口入力シート!AR$4,IF(管理者入力シート!$B$14=2,EE10*管理者用人口入力シート!AR$8))+DX1</f>
        <v>64.664781300095626</v>
      </c>
      <c r="EG13" s="10">
        <f>IF(管理者入力シート!$B$14=1,EF10*管理者用人口入力シート!AS$4,IF(管理者入力シート!$B$14=2,EF10*管理者用人口入力シート!AS$8))+DX1</f>
        <v>94.561623621591082</v>
      </c>
      <c r="EH13" s="10">
        <f>IF(管理者入力シート!$B$14=1,EG10*管理者用人口入力シート!AT$4,IF(管理者入力シート!$B$14=2,EG10*管理者用人口入力シート!AT$8))</f>
        <v>98.041303100417892</v>
      </c>
      <c r="EI13" s="10">
        <f>IF(管理者入力シート!$B$14=1,EH10*管理者用人口入力シート!AU$4,IF(管理者入力シート!$B$14=2,EH10*管理者用人口入力シート!AU$8))</f>
        <v>82.26167322540077</v>
      </c>
      <c r="EJ13" s="10">
        <f>IF(管理者入力シート!$B$14=1,EI10*管理者用人口入力シート!AV$4,IF(管理者入力シート!$B$14=2,EI10*管理者用人口入力シート!AV$8))</f>
        <v>65.313155054642465</v>
      </c>
      <c r="EK13" s="10">
        <f>IF(管理者入力シート!$B$14=1,EJ10*管理者用人口入力シート!AW$4,IF(管理者入力シート!$B$14=2,EJ10*管理者用人口入力シート!AW$8))</f>
        <v>41.618507917319953</v>
      </c>
      <c r="EL13" s="10">
        <f>IF(管理者入力シート!$B$14=1,EK10*管理者用人口入力シート!AX$4,IF(管理者入力シート!$B$14=2,EK10*管理者用人口入力シート!AX$8))</f>
        <v>51.519978595999561</v>
      </c>
      <c r="EM13" s="10">
        <f>IF(管理者入力シート!$B$14=1,EL10*管理者用人口入力シート!AY$4,IF(管理者入力シート!$B$14=2,EL10*管理者用人口入力シート!AY$8))</f>
        <v>68.658806568693976</v>
      </c>
      <c r="EN13" s="10">
        <f>IF(管理者入力シート!$B$14=1,EM10*管理者用人口入力シート!AZ$4,IF(管理者入力シート!$B$14=2,EM10*管理者用人口入力シート!AZ$8))</f>
        <v>59.310406648314462</v>
      </c>
      <c r="EO13" s="10">
        <f>IF(管理者入力シート!$B$14=1,EN10*管理者用人口入力シート!BA$4,IF(管理者入力シート!$B$14=2,EN10*管理者用人口入力シート!BA$8))</f>
        <v>83.251042863065308</v>
      </c>
      <c r="EP13" s="10">
        <f>IF(管理者入力シート!$B$14=1,EO10*管理者用人口入力シート!BB$4,IF(管理者入力シート!$B$14=2,EO10*管理者用人口入力シート!BB$8))</f>
        <v>80.930105566498256</v>
      </c>
      <c r="EQ13" s="10">
        <f>IF(管理者入力シート!$B$14=1,EP10*管理者用人口入力シート!BC$4,IF(管理者入力シート!$B$14=2,EP10*管理者用人口入力シート!BC$8))</f>
        <v>83.546185321612342</v>
      </c>
      <c r="ER13" s="10">
        <f>IF(管理者入力シート!$B$14=1,EQ10*管理者用人口入力シート!BD$4,IF(管理者入力シート!$B$14=2,EQ10*管理者用人口入力シート!BD$8))</f>
        <v>41.498491787398187</v>
      </c>
      <c r="ES13" s="10">
        <f>IF(管理者入力シート!$B$14=1,ER10*管理者用人口入力シート!BE$4,IF(管理者入力シート!$B$14=2,ER10*管理者用人口入力シート!BE$8))</f>
        <v>18.487637861911811</v>
      </c>
      <c r="ET13" s="10">
        <f>IF(管理者入力シート!$B$14=1,ES10*管理者用人口入力シート!BF$4,IF(管理者入力シート!$B$14=2,ES10*管理者用人口入力シート!BF$8))</f>
        <v>0.48813695363873982</v>
      </c>
      <c r="EU13" s="10">
        <f t="shared" si="71"/>
        <v>1110.1365037874339</v>
      </c>
      <c r="EV13" s="10">
        <f t="shared" si="41"/>
        <v>47.228618763923158</v>
      </c>
      <c r="EW13" s="10">
        <f t="shared" si="42"/>
        <v>18.942060332725305</v>
      </c>
      <c r="EX13" s="10">
        <f t="shared" si="10"/>
        <v>436.17081357113301</v>
      </c>
      <c r="EY13" s="10">
        <f t="shared" si="43"/>
        <v>308.20160035412465</v>
      </c>
      <c r="EZ13" s="14">
        <f t="shared" si="44"/>
        <v>0.39289836167269199</v>
      </c>
      <c r="FA13" s="14">
        <f t="shared" si="45"/>
        <v>0.27762495810437587</v>
      </c>
      <c r="FB13" s="10">
        <f t="shared" si="72"/>
        <v>211.03047992438755</v>
      </c>
    </row>
    <row r="14" spans="1:158" x14ac:dyDescent="0.15">
      <c r="A14" s="7" t="str">
        <f t="shared" si="11"/>
        <v>2020_3</v>
      </c>
      <c r="B14" s="30">
        <v>2020</v>
      </c>
      <c r="C14" s="5" t="s">
        <v>23</v>
      </c>
      <c r="D14" s="11">
        <v>43.151508689283709</v>
      </c>
      <c r="E14" s="11">
        <v>64.200689401902054</v>
      </c>
      <c r="F14" s="11">
        <v>74.227129813719657</v>
      </c>
      <c r="G14" s="11">
        <v>75.224823702728145</v>
      </c>
      <c r="H14" s="11">
        <v>56.174409563488545</v>
      </c>
      <c r="I14" s="11">
        <v>53.181313375629486</v>
      </c>
      <c r="J14" s="11">
        <v>68.247166369073994</v>
      </c>
      <c r="K14" s="11">
        <v>85.299094727333369</v>
      </c>
      <c r="L14" s="11">
        <v>106.35391678380421</v>
      </c>
      <c r="M14" s="11">
        <v>126.40324354899305</v>
      </c>
      <c r="N14" s="11">
        <v>107.33584712601467</v>
      </c>
      <c r="O14" s="11">
        <v>167.5579378727823</v>
      </c>
      <c r="P14" s="11">
        <v>218.72287461851153</v>
      </c>
      <c r="Q14" s="11">
        <v>285.02361155081655</v>
      </c>
      <c r="R14" s="11">
        <v>246.86775691111478</v>
      </c>
      <c r="S14" s="11">
        <v>172.54819878345808</v>
      </c>
      <c r="T14" s="11">
        <v>181.57591635324459</v>
      </c>
      <c r="U14" s="11">
        <v>161.53942684919016</v>
      </c>
      <c r="V14" s="11">
        <v>81.250352003579565</v>
      </c>
      <c r="W14" s="11">
        <v>28.109640567156745</v>
      </c>
      <c r="X14" s="11">
        <v>1.0051413881748072</v>
      </c>
      <c r="Y14" s="11">
        <f t="shared" si="177"/>
        <v>2404</v>
      </c>
      <c r="Z14" s="11">
        <f t="shared" si="179"/>
        <v>83.056691529373026</v>
      </c>
      <c r="AA14" s="11">
        <f t="shared" si="180"/>
        <v>44.735816666033493</v>
      </c>
      <c r="AB14" s="11">
        <f t="shared" si="178"/>
        <v>1157.9200444067351</v>
      </c>
      <c r="AC14" s="11">
        <f t="shared" si="181"/>
        <v>626.02867594480392</v>
      </c>
      <c r="AD14" s="15">
        <f t="shared" si="182"/>
        <v>0.48166391198283487</v>
      </c>
      <c r="AE14" s="15">
        <f t="shared" si="183"/>
        <v>0.26041126287221461</v>
      </c>
      <c r="AF14" s="11">
        <f t="shared" si="184"/>
        <v>262.9019840355254</v>
      </c>
      <c r="AI14" s="43"/>
      <c r="AJ14" s="1" t="s">
        <v>22</v>
      </c>
      <c r="AK14" s="8">
        <f>VLOOKUP(AK12&amp;"_2",A:D,4,FALSE)/VLOOKUP(AK12&amp;"_2",A:AF,32,FALSE)</f>
        <v>0.14510515402843602</v>
      </c>
      <c r="AL14" s="63"/>
      <c r="BH14" s="7" t="str">
        <f t="shared" si="19"/>
        <v>2040_3</v>
      </c>
      <c r="BI14" s="30">
        <f>BI13</f>
        <v>2040</v>
      </c>
      <c r="BJ14" s="5" t="s">
        <v>23</v>
      </c>
      <c r="BK14" s="16">
        <f>BK12+BK13</f>
        <v>15.386590879033825</v>
      </c>
      <c r="BL14" s="16">
        <f t="shared" ref="BL14" si="185">BL12+BL13</f>
        <v>21.309509419701481</v>
      </c>
      <c r="BM14" s="16">
        <f t="shared" ref="BM14" si="186">BM12+BM13</f>
        <v>26.866959231704371</v>
      </c>
      <c r="BN14" s="16">
        <f t="shared" ref="BN14" si="187">BN12+BN13</f>
        <v>30.451120192075077</v>
      </c>
      <c r="BO14" s="16">
        <f t="shared" ref="BO14" si="188">BO12+BO13</f>
        <v>23.053600094803571</v>
      </c>
      <c r="BP14" s="16">
        <f t="shared" ref="BP14" si="189">BP12+BP13</f>
        <v>21.997289447160689</v>
      </c>
      <c r="BQ14" s="16">
        <f t="shared" ref="BQ14" si="190">BQ12+BQ13</f>
        <v>21.893829563729842</v>
      </c>
      <c r="BR14" s="16">
        <f t="shared" ref="BR14" si="191">BR12+BR13</f>
        <v>24.728088562446921</v>
      </c>
      <c r="BS14" s="16">
        <f t="shared" ref="BS14" si="192">BS12+BS13</f>
        <v>34.771959551288049</v>
      </c>
      <c r="BT14" s="16">
        <f t="shared" ref="BT14" si="193">BT12+BT13</f>
        <v>45.915551655678399</v>
      </c>
      <c r="BU14" s="16">
        <f t="shared" ref="BU14" si="194">BU12+BU13</f>
        <v>66.215113821138146</v>
      </c>
      <c r="BV14" s="16">
        <f t="shared" ref="BV14" si="195">BV12+BV13</f>
        <v>89.63204369569597</v>
      </c>
      <c r="BW14" s="16">
        <f t="shared" ref="BW14" si="196">BW12+BW13</f>
        <v>105.81910177324299</v>
      </c>
      <c r="BX14" s="16">
        <f t="shared" ref="BX14" si="197">BX12+BX13</f>
        <v>127.00646410971783</v>
      </c>
      <c r="BY14" s="16">
        <f t="shared" ref="BY14" si="198">BY12+BY13</f>
        <v>101.85999673244578</v>
      </c>
      <c r="BZ14" s="16">
        <f t="shared" ref="BZ14" si="199">BZ12+BZ13</f>
        <v>137.05315643285309</v>
      </c>
      <c r="CA14" s="16">
        <f t="shared" ref="CA14" si="200">CA12+CA13</f>
        <v>147.77702486378163</v>
      </c>
      <c r="CB14" s="16">
        <f t="shared" ref="CB14" si="201">CB12+CB13</f>
        <v>140.25323210125617</v>
      </c>
      <c r="CC14" s="16">
        <f t="shared" ref="CC14" si="202">CC12+CC13</f>
        <v>64.555889127476618</v>
      </c>
      <c r="CD14" s="16">
        <f t="shared" ref="CD14" si="203">CD12+CD13</f>
        <v>24.144549101139042</v>
      </c>
      <c r="CE14" s="16">
        <f t="shared" ref="CE14" si="204">CE12+CE13</f>
        <v>0.5889963628468412</v>
      </c>
      <c r="CF14" s="11">
        <f t="shared" si="2"/>
        <v>1271.2800667192162</v>
      </c>
      <c r="CG14" s="11">
        <f t="shared" si="20"/>
        <v>28.905881190843509</v>
      </c>
      <c r="CH14" s="11">
        <f t="shared" si="21"/>
        <v>16.837007731096765</v>
      </c>
      <c r="CI14" s="11">
        <f t="shared" si="3"/>
        <v>743.23930883151695</v>
      </c>
      <c r="CJ14" s="11">
        <f t="shared" si="22"/>
        <v>514.37284798935343</v>
      </c>
      <c r="CK14" s="15">
        <f t="shared" si="23"/>
        <v>0.58463852953314177</v>
      </c>
      <c r="CL14" s="15">
        <f t="shared" si="24"/>
        <v>0.40461017320659481</v>
      </c>
      <c r="CM14" s="11">
        <f t="shared" si="25"/>
        <v>91.672807668141019</v>
      </c>
      <c r="CO14" s="7" t="str">
        <f t="shared" si="26"/>
        <v>2040_3</v>
      </c>
      <c r="CP14" s="30">
        <f>CP13</f>
        <v>2040</v>
      </c>
      <c r="CQ14" s="5" t="s">
        <v>23</v>
      </c>
      <c r="CR14" s="16">
        <f>CR12+CR13</f>
        <v>19.468633457789977</v>
      </c>
      <c r="CS14" s="16">
        <f t="shared" ref="CS14" si="205">CS12+CS13</f>
        <v>25.726628090555401</v>
      </c>
      <c r="CT14" s="16">
        <f t="shared" ref="CT14" si="206">CT12+CT13</f>
        <v>32.536169646809078</v>
      </c>
      <c r="CU14" s="16">
        <f t="shared" ref="CU14" si="207">CU12+CU13</f>
        <v>34.018670224621758</v>
      </c>
      <c r="CV14" s="16">
        <f t="shared" ref="CV14" si="208">CV12+CV13</f>
        <v>24.016894041160704</v>
      </c>
      <c r="CW14" s="16">
        <f t="shared" ref="CW14" si="209">CW12+CW13</f>
        <v>26.678508477415875</v>
      </c>
      <c r="CX14" s="16">
        <f t="shared" ref="CX14" si="210">CX12+CX13</f>
        <v>25.395496247743345</v>
      </c>
      <c r="CY14" s="16">
        <f t="shared" ref="CY14" si="211">CY12+CY13</f>
        <v>27.990271455478062</v>
      </c>
      <c r="CZ14" s="16">
        <f t="shared" ref="CZ14" si="212">CZ12+CZ13</f>
        <v>39.231205459734596</v>
      </c>
      <c r="DA14" s="16">
        <f t="shared" ref="DA14" si="213">DA12+DA13</f>
        <v>46.943148724608761</v>
      </c>
      <c r="DB14" s="16">
        <f t="shared" ref="DB14" si="214">DB12+DB13</f>
        <v>67.250474689785705</v>
      </c>
      <c r="DC14" s="16">
        <f t="shared" ref="DC14" si="215">DC12+DC13</f>
        <v>90.70481183978896</v>
      </c>
      <c r="DD14" s="16">
        <f t="shared" ref="DD14" si="216">DD12+DD13</f>
        <v>105.81910177324299</v>
      </c>
      <c r="DE14" s="16">
        <f t="shared" ref="DE14" si="217">DE12+DE13</f>
        <v>127.00646410971783</v>
      </c>
      <c r="DF14" s="16">
        <f t="shared" ref="DF14" si="218">DF12+DF13</f>
        <v>101.85999673244578</v>
      </c>
      <c r="DG14" s="16">
        <f t="shared" ref="DG14" si="219">DG12+DG13</f>
        <v>137.05315643285309</v>
      </c>
      <c r="DH14" s="16">
        <f t="shared" ref="DH14" si="220">DH12+DH13</f>
        <v>147.77702486378163</v>
      </c>
      <c r="DI14" s="16">
        <f t="shared" ref="DI14" si="221">DI12+DI13</f>
        <v>140.25323210125617</v>
      </c>
      <c r="DJ14" s="16">
        <f t="shared" ref="DJ14" si="222">DJ12+DJ13</f>
        <v>64.555889127476618</v>
      </c>
      <c r="DK14" s="16">
        <f t="shared" ref="DK14" si="223">DK12+DK13</f>
        <v>24.144549101139042</v>
      </c>
      <c r="DL14" s="16">
        <f t="shared" ref="DL14" si="224">DL12+DL13</f>
        <v>0.5889963628468412</v>
      </c>
      <c r="DM14" s="11">
        <f t="shared" si="69"/>
        <v>1309.0193229602521</v>
      </c>
      <c r="DN14" s="11">
        <f t="shared" si="34"/>
        <v>34.957678642418685</v>
      </c>
      <c r="DO14" s="11">
        <f t="shared" si="35"/>
        <v>19.818201903647982</v>
      </c>
      <c r="DP14" s="11">
        <f t="shared" si="6"/>
        <v>743.23930883151695</v>
      </c>
      <c r="DQ14" s="11">
        <f t="shared" si="36"/>
        <v>514.37284798935343</v>
      </c>
      <c r="DR14" s="15">
        <f t="shared" si="37"/>
        <v>0.56778329837846486</v>
      </c>
      <c r="DS14" s="15">
        <f t="shared" si="38"/>
        <v>0.39294519108101217</v>
      </c>
      <c r="DT14" s="11">
        <f t="shared" si="70"/>
        <v>104.08117022179799</v>
      </c>
      <c r="DX14" s="30">
        <f>DX13</f>
        <v>2040</v>
      </c>
      <c r="DY14" s="5" t="s">
        <v>23</v>
      </c>
      <c r="DZ14" s="16">
        <f>DZ12+DZ13</f>
        <v>73.334444624740826</v>
      </c>
      <c r="EA14" s="16">
        <f t="shared" ref="EA14" si="225">EA12+EA13</f>
        <v>85.305709479257615</v>
      </c>
      <c r="EB14" s="16">
        <f t="shared" ref="EB14" si="226">EB12+EB13</f>
        <v>82.130063320564432</v>
      </c>
      <c r="EC14" s="16">
        <f t="shared" ref="EC14" si="227">EC12+EC13</f>
        <v>30.451120192075077</v>
      </c>
      <c r="ED14" s="16">
        <f t="shared" ref="ED14" si="228">ED12+ED13</f>
        <v>23.053600094803571</v>
      </c>
      <c r="EE14" s="16">
        <f t="shared" ref="EE14" si="229">EE12+EE13</f>
        <v>81.997289447160682</v>
      </c>
      <c r="EF14" s="16">
        <f t="shared" ref="EF14" si="230">EF12+EF13</f>
        <v>134.41882982393241</v>
      </c>
      <c r="EG14" s="16">
        <f t="shared" ref="EG14" si="231">EG12+EG13</f>
        <v>189.68925034968197</v>
      </c>
      <c r="EH14" s="16">
        <f t="shared" ref="EH14" si="232">EH12+EH13</f>
        <v>209.44299432070574</v>
      </c>
      <c r="EI14" s="16">
        <f t="shared" ref="EI14" si="233">EI12+EI13</f>
        <v>168.35792243835499</v>
      </c>
      <c r="EJ14" s="16">
        <f t="shared" ref="EJ14" si="234">EJ12+EJ13</f>
        <v>128.61696517225926</v>
      </c>
      <c r="EK14" s="16">
        <f t="shared" ref="EK14" si="235">EK12+EK13</f>
        <v>89.63204369569597</v>
      </c>
      <c r="EL14" s="16">
        <f t="shared" ref="EL14" si="236">EL12+EL13</f>
        <v>105.81910177324299</v>
      </c>
      <c r="EM14" s="16">
        <f t="shared" ref="EM14" si="237">EM12+EM13</f>
        <v>127.00646410971783</v>
      </c>
      <c r="EN14" s="16">
        <f t="shared" ref="EN14" si="238">EN12+EN13</f>
        <v>101.85999673244578</v>
      </c>
      <c r="EO14" s="16">
        <f t="shared" ref="EO14" si="239">EO12+EO13</f>
        <v>137.05315643285309</v>
      </c>
      <c r="EP14" s="16">
        <f t="shared" ref="EP14" si="240">EP12+EP13</f>
        <v>147.77702486378163</v>
      </c>
      <c r="EQ14" s="16">
        <f t="shared" ref="EQ14" si="241">EQ12+EQ13</f>
        <v>140.25323210125617</v>
      </c>
      <c r="ER14" s="16">
        <f t="shared" ref="ER14" si="242">ER12+ER13</f>
        <v>64.555889127476618</v>
      </c>
      <c r="ES14" s="16">
        <f t="shared" ref="ES14" si="243">ES12+ES13</f>
        <v>24.144549101139042</v>
      </c>
      <c r="ET14" s="16">
        <f t="shared" ref="ET14" si="244">ET12+ET13</f>
        <v>0.5889963628468412</v>
      </c>
      <c r="EU14" s="11">
        <f t="shared" si="71"/>
        <v>2145.4886435639928</v>
      </c>
      <c r="EV14" s="11">
        <f t="shared" si="41"/>
        <v>100.46146367989323</v>
      </c>
      <c r="EW14" s="11">
        <f t="shared" si="42"/>
        <v>38.942249366640787</v>
      </c>
      <c r="EX14" s="11">
        <f t="shared" si="10"/>
        <v>743.23930883151695</v>
      </c>
      <c r="EY14" s="11">
        <f t="shared" si="43"/>
        <v>514.37284798935343</v>
      </c>
      <c r="EZ14" s="15">
        <f t="shared" si="44"/>
        <v>0.34641959586273086</v>
      </c>
      <c r="FA14" s="15">
        <f t="shared" si="45"/>
        <v>0.23974624593439914</v>
      </c>
      <c r="FB14" s="11">
        <f t="shared" si="72"/>
        <v>429.15896971557862</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6.935735841238162</v>
      </c>
      <c r="BL15" s="9">
        <f>IF(管理者入力シート!$B$14=1,BK12*管理者用人口入力シート!AM$3,IF(管理者入力シート!$B$14=2,BK12*管理者用人口入力シート!AM$7))</f>
        <v>9.2674431650332298</v>
      </c>
      <c r="BM15" s="9">
        <f>IF(管理者入力シート!$B$14=1,BL12*管理者用人口入力シート!AN$3,IF(管理者入力シート!$B$14=2,BL12*管理者用人口入力シート!AN$7))</f>
        <v>11.00372693849498</v>
      </c>
      <c r="BN15" s="9">
        <f>IF(管理者入力シート!$B$14=1,BM12*管理者用人口入力シート!AO$3,IF(管理者入力シート!$B$14=2,BM12*管理者用人口入力シート!AO$7))</f>
        <v>11.49723748504867</v>
      </c>
      <c r="BO15" s="9">
        <f>IF(管理者入力シート!$B$14=1,BN12*管理者用人口入力シート!AP$3,IF(管理者入力シート!$B$14=2,BN12*管理者用人口入力シート!AP$7))</f>
        <v>8.808210121138897</v>
      </c>
      <c r="BP15" s="9">
        <f>IF(管理者入力シート!$B$14=1,BO12*管理者用人口入力シート!AQ$3,IF(管理者入力シート!$B$14=2,BO12*管理者用人口入力シート!AQ$7))</f>
        <v>9.150185134910247</v>
      </c>
      <c r="BQ15" s="9">
        <f>IF(管理者入力シート!$B$14=1,BP12*管理者用人口入力シート!AR$3,IF(管理者入力シート!$B$14=2,BP12*管理者用人口入力シート!AR$7))</f>
        <v>10.967037388089324</v>
      </c>
      <c r="BR15" s="9">
        <f>IF(管理者入力シート!$B$14=1,BQ12*管理者用人口入力シート!AS$3,IF(管理者入力シート!$B$14=2,BQ12*管理者用人口入力シート!AS$7))</f>
        <v>10.465659594396094</v>
      </c>
      <c r="BS15" s="9">
        <f>IF(管理者入力シート!$B$14=1,BR12*管理者用人口入力シート!AT$3,IF(管理者入力シート!$B$14=2,BR12*管理者用人口入力シート!AT$7))</f>
        <v>13.798554324963822</v>
      </c>
      <c r="BT15" s="9">
        <f>IF(管理者入力シート!$B$14=1,BS12*管理者用人口入力シート!AU$3,IF(管理者入力シート!$B$14=2,BS12*管理者用人口入力シート!AU$7))</f>
        <v>20.082504724928516</v>
      </c>
      <c r="BU15" s="9">
        <f>IF(管理者入力シート!$B$14=1,BT12*管理者用人口入力シート!AV$3,IF(管理者入力シート!$B$14=2,BT12*管理者用人口入力シート!AV$7))</f>
        <v>24.463715252472191</v>
      </c>
      <c r="BV15" s="9">
        <f>IF(管理者入力シート!$B$14=1,BU12*管理者用人口入力シート!AW$3,IF(管理者入力シート!$B$14=2,BU12*管理者用人口入力シート!AW$7))</f>
        <v>32.308779545191484</v>
      </c>
      <c r="BW15" s="9">
        <f>IF(管理者入力シート!$B$14=1,BV12*管理者用人口入力シート!AX$3,IF(管理者入力シート!$B$14=2,BV12*管理者用人口入力シート!AX$7))</f>
        <v>48.315180045608933</v>
      </c>
      <c r="BX15" s="9">
        <f>IF(管理者入力シート!$B$14=1,BW12*管理者用人口入力シート!AY$3,IF(管理者入力シート!$B$14=2,BW12*管理者用人口入力シート!AY$7))</f>
        <v>53.709493489655216</v>
      </c>
      <c r="BY15" s="9">
        <f>IF(管理者入力シート!$B$14=1,BX12*管理者用人口入力シート!AZ$3,IF(管理者入力シート!$B$14=2,BX12*管理者用人口入力シート!AZ$7))</f>
        <v>52.110308941260165</v>
      </c>
      <c r="BZ15" s="9">
        <f>IF(管理者入力シート!$B$14=1,BY12*管理者用人口入力シート!BA$3,IF(管理者入力シート!$B$14=2,BY12*管理者用人口入力シート!BA$7))</f>
        <v>33.704482436663568</v>
      </c>
      <c r="CA15" s="9">
        <f>IF(管理者入力シート!$B$14=1,BZ12*管理者用人口入力シート!BB$3,IF(管理者入力シート!$B$14=2,BZ12*管理者用人口入力シート!BB$7))</f>
        <v>45.243530567223445</v>
      </c>
      <c r="CB15" s="9">
        <f>IF(管理者入力シート!$B$14=1,CA12*管理者用人口入力シート!BC$3,IF(管理者入力シート!$B$14=2,CA12*管理者用人口入力シート!BC$7))</f>
        <v>44.015108496321503</v>
      </c>
      <c r="CC15" s="9">
        <f>IF(管理者入力シート!$B$14=1,CB12*管理者用人口入力シート!BD$3,IF(管理者入力シート!$B$14=2,CB12*管理者用人口入力シート!BD$7))</f>
        <v>22.986678073881368</v>
      </c>
      <c r="CD15" s="9">
        <f>IF(管理者入力シート!$B$14=1,CC12*管理者用人口入力シート!BE$3,IF(管理者入力シート!$B$14=2,CC12*管理者用人口入力シート!BE$7))</f>
        <v>7.7071784074891667</v>
      </c>
      <c r="CE15" s="9">
        <f>IF(管理者入力シート!$B$14=1,CD12*管理者用人口入力シート!BF$3,IF(管理者入力シート!$B$14=2,CD12*管理者用人口入力シート!BF$7))</f>
        <v>8.9595337290580515E-2</v>
      </c>
      <c r="CF15" s="9">
        <f t="shared" ref="CF15:CF20" si="252">SUM(BK15:CE15)</f>
        <v>476.63034531129949</v>
      </c>
      <c r="CG15" s="9">
        <f t="shared" ref="CG15:CG20" si="253">BL15*3/5+BM15*3/5</f>
        <v>12.162702062116926</v>
      </c>
      <c r="CH15" s="9">
        <f t="shared" ref="CH15:CH20" si="254">BM15*2/5+BN15*1/5</f>
        <v>6.7009382724077255</v>
      </c>
      <c r="CI15" s="9">
        <f t="shared" ref="CI15:CI20" si="255">SUM(BX15:CE15)</f>
        <v>259.56637574978498</v>
      </c>
      <c r="CJ15" s="9">
        <f t="shared" ref="CJ15:CJ20" si="256">SUM(BZ15:CE15)</f>
        <v>153.74657331886965</v>
      </c>
      <c r="CK15" s="13">
        <f t="shared" ref="CK15:CK20" si="257">CI15/CF15</f>
        <v>0.5445863409730145</v>
      </c>
      <c r="CL15" s="13">
        <f t="shared" ref="CL15:CL20" si="258">CJ15/CF15</f>
        <v>0.32256983809634243</v>
      </c>
      <c r="CM15" s="9">
        <f t="shared" ref="CM15:CM20" si="259">SUM(BO15:BR15)</f>
        <v>39.391092238534561</v>
      </c>
      <c r="CO15" s="7" t="str">
        <f t="shared" si="26"/>
        <v>2045_1</v>
      </c>
      <c r="CP15" s="28">
        <f>管理者入力シート!B12</f>
        <v>2045</v>
      </c>
      <c r="CQ15" s="3" t="s">
        <v>21</v>
      </c>
      <c r="CR15" s="9">
        <f>DT16*$AK$13+将来予測シート②!$G17</f>
        <v>9.3282515888501862</v>
      </c>
      <c r="CS15" s="9">
        <f>IF(管理者入力シート!$B$14=1,CR12*管理者用人口入力シート!AM$3,IF(管理者入力シート!$B$14=2,CR12*管理者用人口入力シート!AM$7))+将来予測シート②!$G18</f>
        <v>11.555581831462838</v>
      </c>
      <c r="CT15" s="9">
        <f>IF(管理者入力シート!$B$14=1,CS12*管理者用人口入力シート!AN$3,IF(管理者入力シート!$B$14=2,CS12*管理者用人口入力シート!AN$7))+将来予測シート②!$G19</f>
        <v>14.108861895158384</v>
      </c>
      <c r="CU15" s="9">
        <f>IF(管理者入力シート!$B$14=1,CT12*管理者用人口入力シート!AO$3,IF(管理者入力シート!$B$14=2,CT12*管理者用人口入力シート!AO$7))+将来予測シート②!$G20</f>
        <v>13.743746043859602</v>
      </c>
      <c r="CV15" s="9">
        <f>IF(管理者入力シート!$B$14=1,CU12*管理者用人口入力シート!AP$3,IF(管理者入力シート!$B$14=2,CU12*管理者用人口入力シート!AP$7))+将来予測シート②!$G21</f>
        <v>9.7385592364767959</v>
      </c>
      <c r="CW15" s="9">
        <f>IF(管理者入力シート!$B$14=1,CV12*管理者用人口入力シート!AQ$3,IF(管理者入力シート!$B$14=2,CV12*管理者用人口入力シート!AQ$7))+将来予測シート②!$G22</f>
        <v>11.522020516086091</v>
      </c>
      <c r="CX15" s="9">
        <f>IF(管理者入力シート!$B$14=1,CW12*管理者用人口入力シート!AR$3,IF(管理者入力シート!$B$14=2,CW12*管理者用人口入力シート!AR$7))+将来予測シート②!$G23</f>
        <v>13.194299840658404</v>
      </c>
      <c r="CY15" s="9">
        <f>IF(管理者入力シート!$B$14=1,CX12*管理者用人口入力シート!AS$3,IF(管理者入力シート!$B$14=2,CX12*管理者用人口入力シート!AS$7))+将来予測シート②!$G24</f>
        <v>12.16263203674993</v>
      </c>
      <c r="CZ15" s="9">
        <f>IF(管理者入力シート!$B$14=1,CY12*管理者用人口入力シート!AT$3,IF(管理者入力シート!$B$14=2,CY12*管理者用人口入力シート!AT$7))+将来予測シート②!$G25</f>
        <v>15.661949910959507</v>
      </c>
      <c r="DA15" s="9">
        <f>IF(管理者入力シート!$B$14=1,CZ12*管理者用人口入力シート!AU$3,IF(管理者入力シート!$B$14=2,CZ12*管理者用人口入力シート!AU$7))+将来予測シート②!$G26</f>
        <v>21.886532166336782</v>
      </c>
      <c r="DB15" s="9">
        <f>IF(管理者入力シート!$B$14=1,DA12*管理者用人口入力シート!AV$3,IF(管理者入力シート!$B$14=2,DA12*管理者用人口入力シート!AV$7))+将来予測シート②!$G27</f>
        <v>24.463715252472191</v>
      </c>
      <c r="DC15" s="9">
        <f>IF(管理者入力シート!$B$14=1,DB12*管理者用人口入力シート!AW$3,IF(管理者入力シート!$B$14=2,DB12*管理者用人口入力シート!AW$7))+将来予測シート②!$G28</f>
        <v>32.308779545191484</v>
      </c>
      <c r="DD15" s="9">
        <f>IF(管理者入力シート!$B$14=1,DC12*管理者用人口入力シート!AX$3,IF(管理者入力シート!$B$14=2,DC12*管理者用人口入力シート!AX$7))+将来予測シート②!$G29</f>
        <v>48.315180045608933</v>
      </c>
      <c r="DE15" s="9">
        <f>IF(管理者入力シート!$B$14=1,DD12*管理者用人口入力シート!AY$3,IF(管理者入力シート!$B$14=2,DD12*管理者用人口入力シート!AY$7))</f>
        <v>53.709493489655216</v>
      </c>
      <c r="DF15" s="9">
        <f>IF(管理者入力シート!$B$14=1,DE12*管理者用人口入力シート!AZ$3,IF(管理者入力シート!$B$14=2,DE12*管理者用人口入力シート!AZ$7))</f>
        <v>52.110308941260165</v>
      </c>
      <c r="DG15" s="9">
        <f>IF(管理者入力シート!$B$14=1,DF12*管理者用人口入力シート!BA$3,IF(管理者入力シート!$B$14=2,DF12*管理者用人口入力シート!BA$7))</f>
        <v>33.704482436663568</v>
      </c>
      <c r="DH15" s="9">
        <f>IF(管理者入力シート!$B$14=1,DG12*管理者用人口入力シート!BB$3,IF(管理者入力シート!$B$14=2,DG12*管理者用人口入力シート!BB$7))</f>
        <v>45.243530567223445</v>
      </c>
      <c r="DI15" s="9">
        <f>IF(管理者入力シート!$B$14=1,DH12*管理者用人口入力シート!BC$3,IF(管理者入力シート!$B$14=2,DH12*管理者用人口入力シート!BC$7))</f>
        <v>44.015108496321503</v>
      </c>
      <c r="DJ15" s="9">
        <f>IF(管理者入力シート!$B$14=1,DI12*管理者用人口入力シート!BD$3,IF(管理者入力シート!$B$14=2,DI12*管理者用人口入力シート!BD$7))</f>
        <v>22.986678073881368</v>
      </c>
      <c r="DK15" s="9">
        <f>IF(管理者入力シート!$B$14=1,DJ12*管理者用人口入力シート!BE$3,IF(管理者入力シート!$B$14=2,DJ12*管理者用人口入力シート!BE$7))</f>
        <v>7.7071784074891667</v>
      </c>
      <c r="DL15" s="9">
        <f>IF(管理者入力シート!$B$14=1,DK12*管理者用人口入力シート!BF$3,IF(管理者入力シート!$B$14=2,DK12*管理者用人口入力シート!BF$7))</f>
        <v>8.9595337290580515E-2</v>
      </c>
      <c r="DM15" s="9">
        <f t="shared" ref="DM15:DM20" si="260">SUM(CR15:DL15)</f>
        <v>497.55648565965612</v>
      </c>
      <c r="DN15" s="9">
        <f t="shared" ref="DN15:DN20" si="261">CS15*3/5+CT15*3/5</f>
        <v>15.398666235972733</v>
      </c>
      <c r="DO15" s="9">
        <f t="shared" ref="DO15:DO20" si="262">CT15*2/5+CU15*1/5</f>
        <v>8.3922939668352736</v>
      </c>
      <c r="DP15" s="9">
        <f t="shared" ref="DP15:DP20" si="263">SUM(DE15:DL15)</f>
        <v>259.56637574978498</v>
      </c>
      <c r="DQ15" s="9">
        <f t="shared" ref="DQ15:DQ20" si="264">SUM(DG15:DL15)</f>
        <v>153.74657331886965</v>
      </c>
      <c r="DR15" s="13">
        <f t="shared" ref="DR15:DR20" si="265">DP15/DM15</f>
        <v>0.52168222750760473</v>
      </c>
      <c r="DS15" s="13">
        <f t="shared" ref="DS15:DS20" si="266">DQ15/DM15</f>
        <v>0.30900325440443965</v>
      </c>
      <c r="DT15" s="9">
        <f t="shared" ref="DT15:DT20" si="267">SUM(CV15:CY15)</f>
        <v>46.617511629971219</v>
      </c>
      <c r="DV15" s="62" t="s">
        <v>404</v>
      </c>
      <c r="DW15" s="211">
        <f>AK13+AK14</f>
        <v>0.34750641069013649</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4.9723555779377069</v>
      </c>
      <c r="BL16" s="10">
        <f>IF(管理者入力シート!$B$14=1,BK13*管理者用人口入力シート!AM$4,IF(管理者入力シート!$B$14=2,BK13*管理者用人口入力シート!AM$8))</f>
        <v>7.7251335134798982</v>
      </c>
      <c r="BM16" s="10">
        <f>IF(管理者入力シート!$B$14=1,BL13*管理者用人口入力シート!AN$4,IF(管理者入力シート!$B$14=2,BL13*管理者用人口入力シート!AN$8))</f>
        <v>10.413247064000268</v>
      </c>
      <c r="BN16" s="10">
        <f>IF(管理者入力シート!$B$14=1,BM13*管理者用人口入力シート!AO$4,IF(管理者入力シート!$B$14=2,BM13*管理者用人口入力シート!AO$8))</f>
        <v>10.935960226511495</v>
      </c>
      <c r="BO16" s="10">
        <f>IF(管理者入力シート!$B$14=1,BN13*管理者用人口入力シート!AP$4,IF(管理者入力シート!$B$14=2,BN13*管理者用人口入力シート!AP$8))</f>
        <v>8.7456198269800218</v>
      </c>
      <c r="BP16" s="10">
        <f>IF(管理者入力シート!$B$14=1,BO13*管理者用人口入力シート!AQ$4,IF(管理者入力シート!$B$14=2,BO13*管理者用人口入力シート!AQ$8))</f>
        <v>7.2048160129799577</v>
      </c>
      <c r="BQ16" s="10">
        <f>IF(管理者入力シート!$B$14=1,BP13*管理者用人口入力シート!AR$4,IF(管理者入力シート!$B$14=2,BP13*管理者用人口入力シート!AR$8))</f>
        <v>8.3763266611185561</v>
      </c>
      <c r="BR16" s="10">
        <f>IF(管理者入力シート!$B$14=1,BQ13*管理者用人口入力シート!AS$4,IF(管理者入力シート!$B$14=2,BQ13*管理者用人口入力シート!AS$8))</f>
        <v>9.9404943116138806</v>
      </c>
      <c r="BS16" s="10">
        <f>IF(管理者入力シート!$B$14=1,BR13*管理者用人口入力シート!AT$4,IF(管理者入力シート!$B$14=2,BR13*管理者用人口入力シート!AT$8))</f>
        <v>12.3999835955434</v>
      </c>
      <c r="BT16" s="10">
        <f>IF(管理者入力シート!$B$14=1,BS13*管理者用人口入力シート!AU$4,IF(管理者入力シート!$B$14=2,BS13*管理者用人口入力シート!AU$8))</f>
        <v>14.415713607232105</v>
      </c>
      <c r="BU16" s="10">
        <f>IF(管理者入力シート!$B$14=1,BT13*管理者用人口入力シート!AV$4,IF(管理者入力シート!$B$14=2,BT13*管理者用人口入力シート!AV$8))</f>
        <v>20.68389897762421</v>
      </c>
      <c r="BV16" s="10">
        <f>IF(管理者入力シート!$B$14=1,BU13*管理者用人口入力シート!AW$4,IF(管理者入力シート!$B$14=2,BU13*管理者用人口入力シート!AW$8))</f>
        <v>34.85985416644958</v>
      </c>
      <c r="BW16" s="10">
        <f>IF(管理者入力シート!$B$14=1,BV13*管理者用人口入力シート!AX$4,IF(管理者入力シート!$B$14=2,BV13*管理者用人口入力シート!AX$8))</f>
        <v>41.600570091451274</v>
      </c>
      <c r="BX16" s="10">
        <f>IF(管理者入力シート!$B$14=1,BW13*管理者用人口入力シート!AY$4,IF(管理者入力シート!$B$14=2,BW13*管理者用人口入力シート!AY$8))</f>
        <v>52.088381690365395</v>
      </c>
      <c r="BY16" s="10">
        <f>IF(管理者入力シート!$B$14=1,BX13*管理者用人口入力シート!AZ$4,IF(管理者入力シート!$B$14=2,BX13*管理者用人口入力シート!AZ$8))</f>
        <v>65.822488679996084</v>
      </c>
      <c r="BZ16" s="10">
        <f>IF(管理者入力シート!$B$14=1,BY13*管理者用人口入力シート!BA$4,IF(管理者入力シート!$B$14=2,BY13*管理者用人口入力シート!BA$8))</f>
        <v>55.911311714245251</v>
      </c>
      <c r="CA16" s="10">
        <f>IF(管理者入力シート!$B$14=1,BZ13*管理者用人口入力シート!BB$4,IF(管理者入力シート!$B$14=2,BZ13*管理者用人口入力シート!BB$8))</f>
        <v>70.143159374297298</v>
      </c>
      <c r="CB16" s="10">
        <f>IF(管理者入力シート!$B$14=1,CA13*管理者用人口入力シート!BC$4,IF(管理者入力シート!$B$14=2,CA13*管理者用人口入力シート!BC$8))</f>
        <v>63.309408888830795</v>
      </c>
      <c r="CC16" s="10">
        <f>IF(管理者入力シート!$B$14=1,CB13*管理者用人口入力シート!BD$4,IF(管理者入力シート!$B$14=2,CB13*管理者用人口入力シート!BD$8))</f>
        <v>47.619565492344869</v>
      </c>
      <c r="CD16" s="10">
        <f>IF(管理者入力シート!$B$14=1,CC13*管理者用人口入力シート!BE$4,IF(管理者入力シート!$B$14=2,CC13*管理者用人口入力シート!BE$8))</f>
        <v>21.021862145210076</v>
      </c>
      <c r="CE16" s="10">
        <f>IF(管理者入力シート!$B$14=1,CD13*管理者用人口入力シート!BF$4,IF(管理者入力シート!$B$14=2,CD13*管理者用人口入力シート!BF$8))</f>
        <v>0.36257240853125045</v>
      </c>
      <c r="CF16" s="10">
        <f t="shared" si="252"/>
        <v>568.55272402674336</v>
      </c>
      <c r="CG16" s="10">
        <f t="shared" si="253"/>
        <v>10.8830283464881</v>
      </c>
      <c r="CH16" s="10">
        <f t="shared" si="254"/>
        <v>6.3524908709024066</v>
      </c>
      <c r="CI16" s="10">
        <f t="shared" si="255"/>
        <v>376.27875039382104</v>
      </c>
      <c r="CJ16" s="10">
        <f t="shared" si="256"/>
        <v>258.36788002345958</v>
      </c>
      <c r="CK16" s="14">
        <f t="shared" si="257"/>
        <v>0.66181856931200245</v>
      </c>
      <c r="CL16" s="14">
        <f t="shared" si="258"/>
        <v>0.45443081899877869</v>
      </c>
      <c r="CM16" s="10">
        <f t="shared" si="259"/>
        <v>34.267256812692416</v>
      </c>
      <c r="CO16" s="7" t="str">
        <f t="shared" si="26"/>
        <v>2045_2</v>
      </c>
      <c r="CP16" s="29">
        <f>CP15</f>
        <v>2045</v>
      </c>
      <c r="CQ16" s="4" t="s">
        <v>22</v>
      </c>
      <c r="CR16" s="10">
        <f>DT16*$AK$14+将来予測シート②!$H17</f>
        <v>6.9706755260297122</v>
      </c>
      <c r="CS16" s="10">
        <f>IF(管理者入力シート!$B$14=1,CR13*管理者用人口入力シート!AM$4,IF(管理者入力シート!$B$14=2,CR13*管理者用人口入力シート!AM$8))+将来予測シート②!$H18</f>
        <v>9.9728480404749504</v>
      </c>
      <c r="CT16" s="10">
        <f>IF(管理者入力シート!$B$14=1,CS13*管理者用人口入力シート!AN$4,IF(管理者入力シート!$B$14=2,CS13*管理者用人口入力シート!AN$8))+将来予測シート②!$H19</f>
        <v>13.771282135019499</v>
      </c>
      <c r="CU16" s="10">
        <f>IF(管理者入力シート!$B$14=1,CT13*管理者用人口入力シート!AO$4,IF(管理者入力シート!$B$14=2,CT13*管理者用人口入力シート!AO$8))+将来予測シート②!$H20</f>
        <v>13.424010692955886</v>
      </c>
      <c r="CV16" s="10">
        <f>IF(管理者入力シート!$B$14=1,CU13*管理者用人口入力シート!AP$4,IF(管理者入力シート!$B$14=2,CU13*管理者用人口入力シート!AP$8))+将来予測シート②!$H21</f>
        <v>9.8762730397061027</v>
      </c>
      <c r="CW16" s="10">
        <f>IF(管理者入力シート!$B$14=1,CV13*管理者用人口入力シート!AQ$4,IF(管理者入力シート!$B$14=2,CV13*管理者用人口入力シート!AQ$8))+将来予測シート②!$H22</f>
        <v>9.5141996620592995</v>
      </c>
      <c r="CX16" s="10">
        <f>IF(管理者入力シート!$B$14=1,CW13*管理者用人口入力シート!AR$4,IF(管理者入力シート!$B$14=2,CW13*管理者用人口入力シート!AR$8))+将来予測シート②!$H23</f>
        <v>10.251055148092034</v>
      </c>
      <c r="CY16" s="10">
        <f>IF(管理者入力シート!$B$14=1,CX13*管理者用人口入力シート!AS$4,IF(管理者入力シート!$B$14=2,CX13*管理者用人口入力シート!AS$8))+将来予測シート②!$H24</f>
        <v>11.505704762291185</v>
      </c>
      <c r="CZ16" s="10">
        <f>IF(管理者入力シート!$B$14=1,CY13*管理者用人口入力シート!AT$4,IF(管理者入力シート!$B$14=2,CY13*管理者用人口入力シート!AT$8))+将来予測シート②!$H25</f>
        <v>14.995833917994267</v>
      </c>
      <c r="DA16" s="10">
        <f>IF(管理者入力シート!$B$14=1,CZ13*管理者用人口入力シート!AU$4,IF(管理者入力シート!$B$14=2,CZ13*管理者用人口入力シート!AU$8))+将来予測シート②!$H26</f>
        <v>17.083201789964551</v>
      </c>
      <c r="DB16" s="10">
        <f>IF(管理者入力シート!$B$14=1,DA13*管理者用人口入力シート!AV$4,IF(管理者入力シート!$B$14=2,DA13*管理者用人口入力シート!AV$8))+将来予測シート②!$H27</f>
        <v>21.719259846271761</v>
      </c>
      <c r="DC16" s="10">
        <f>IF(管理者入力シート!$B$14=1,DB13*管理者用人口入力シート!AW$4,IF(管理者入力シート!$B$14=2,DB13*管理者用人口入力シート!AW$8))+将来予測シート②!$H28</f>
        <v>35.93262231054257</v>
      </c>
      <c r="DD16" s="10">
        <f>IF(管理者入力シート!$B$14=1,DC13*管理者用人口入力シート!AX$4,IF(管理者入力シート!$B$14=2,DC13*管理者用人口入力シート!AX$8))+将来予測シート②!$H29</f>
        <v>42.672875866057012</v>
      </c>
      <c r="DE16" s="10">
        <f>IF(管理者入力シート!$B$14=1,DD13*管理者用人口入力シート!AY$4,IF(管理者入力シート!$B$14=2,DD13*管理者用人口入力シート!AY$8))</f>
        <v>52.088381690365395</v>
      </c>
      <c r="DF16" s="10">
        <f>IF(管理者入力シート!$B$14=1,DE13*管理者用人口入力シート!AZ$4,IF(管理者入力シート!$B$14=2,DE13*管理者用人口入力シート!AZ$8))</f>
        <v>65.822488679996084</v>
      </c>
      <c r="DG16" s="10">
        <f>IF(管理者入力シート!$B$14=1,DF13*管理者用人口入力シート!BA$4,IF(管理者入力シート!$B$14=2,DF13*管理者用人口入力シート!BA$8))</f>
        <v>55.911311714245251</v>
      </c>
      <c r="DH16" s="10">
        <f>IF(管理者入力シート!$B$14=1,DG13*管理者用人口入力シート!BB$4,IF(管理者入力シート!$B$14=2,DG13*管理者用人口入力シート!BB$8))</f>
        <v>70.143159374297298</v>
      </c>
      <c r="DI16" s="10">
        <f>IF(管理者入力シート!$B$14=1,DH13*管理者用人口入力シート!BC$4,IF(管理者入力シート!$B$14=2,DH13*管理者用人口入力シート!BC$8))</f>
        <v>63.309408888830795</v>
      </c>
      <c r="DJ16" s="10">
        <f>IF(管理者入力シート!$B$14=1,DI13*管理者用人口入力シート!BD$4,IF(管理者入力シート!$B$14=2,DI13*管理者用人口入力シート!BD$8))</f>
        <v>47.619565492344869</v>
      </c>
      <c r="DK16" s="10">
        <f>IF(管理者入力シート!$B$14=1,DJ13*管理者用人口入力シート!BE$4,IF(管理者入力シート!$B$14=2,DJ13*管理者用人口入力シート!BE$8))</f>
        <v>21.021862145210076</v>
      </c>
      <c r="DL16" s="10">
        <f>IF(管理者入力シート!$B$14=1,DK13*管理者用人口入力シート!BF$4,IF(管理者入力シート!$B$14=2,DK13*管理者用人口入力シート!BF$8))</f>
        <v>0.36257240853125045</v>
      </c>
      <c r="DM16" s="10">
        <f t="shared" si="260"/>
        <v>593.96859313127993</v>
      </c>
      <c r="DN16" s="10">
        <f t="shared" si="261"/>
        <v>14.246478105296671</v>
      </c>
      <c r="DO16" s="10">
        <f t="shared" si="262"/>
        <v>8.1933149925989763</v>
      </c>
      <c r="DP16" s="10">
        <f t="shared" si="263"/>
        <v>376.27875039382104</v>
      </c>
      <c r="DQ16" s="10">
        <f t="shared" si="264"/>
        <v>258.36788002345958</v>
      </c>
      <c r="DR16" s="14">
        <f t="shared" si="265"/>
        <v>0.63349940509506919</v>
      </c>
      <c r="DS16" s="14">
        <f t="shared" si="266"/>
        <v>0.43498576020896557</v>
      </c>
      <c r="DT16" s="10">
        <f t="shared" si="267"/>
        <v>41.147232612148628</v>
      </c>
      <c r="DV16" s="212" t="s">
        <v>406</v>
      </c>
      <c r="DW16" s="7">
        <f>IF(DW10&lt;0,ABS(DW10)/DW15,0)</f>
        <v>59.027414134978365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11.908091419175868</v>
      </c>
      <c r="BL17" s="16">
        <f t="shared" ref="BL17:CE17" si="268">BL15+BL16</f>
        <v>16.992576678513128</v>
      </c>
      <c r="BM17" s="16">
        <f t="shared" si="268"/>
        <v>21.416974002495248</v>
      </c>
      <c r="BN17" s="16">
        <f t="shared" si="268"/>
        <v>22.433197711560165</v>
      </c>
      <c r="BO17" s="16">
        <f t="shared" si="268"/>
        <v>17.553829948118917</v>
      </c>
      <c r="BP17" s="16">
        <f t="shared" si="268"/>
        <v>16.355001147890206</v>
      </c>
      <c r="BQ17" s="16">
        <f t="shared" si="268"/>
        <v>19.343364049207878</v>
      </c>
      <c r="BR17" s="16">
        <f t="shared" si="268"/>
        <v>20.406153906009976</v>
      </c>
      <c r="BS17" s="16">
        <f t="shared" si="268"/>
        <v>26.198537920507221</v>
      </c>
      <c r="BT17" s="16">
        <f t="shared" si="268"/>
        <v>34.498218332160619</v>
      </c>
      <c r="BU17" s="16">
        <f t="shared" si="268"/>
        <v>45.147614230096401</v>
      </c>
      <c r="BV17" s="16">
        <f t="shared" si="268"/>
        <v>67.168633711641064</v>
      </c>
      <c r="BW17" s="16">
        <f t="shared" si="268"/>
        <v>89.915750137060201</v>
      </c>
      <c r="BX17" s="16">
        <f t="shared" si="268"/>
        <v>105.79787518002061</v>
      </c>
      <c r="BY17" s="16">
        <f t="shared" si="268"/>
        <v>117.93279762125624</v>
      </c>
      <c r="BZ17" s="16">
        <f t="shared" si="268"/>
        <v>89.615794150908812</v>
      </c>
      <c r="CA17" s="16">
        <f t="shared" si="268"/>
        <v>115.38668994152074</v>
      </c>
      <c r="CB17" s="16">
        <f t="shared" si="268"/>
        <v>107.32451738515229</v>
      </c>
      <c r="CC17" s="16">
        <f t="shared" si="268"/>
        <v>70.60624356622624</v>
      </c>
      <c r="CD17" s="16">
        <f t="shared" si="268"/>
        <v>28.729040552699242</v>
      </c>
      <c r="CE17" s="16">
        <f t="shared" si="268"/>
        <v>0.45216774582183095</v>
      </c>
      <c r="CF17" s="11">
        <f t="shared" si="252"/>
        <v>1045.1830693380427</v>
      </c>
      <c r="CG17" s="11">
        <f t="shared" si="253"/>
        <v>23.045730408605024</v>
      </c>
      <c r="CH17" s="11">
        <f t="shared" si="254"/>
        <v>13.053429143310133</v>
      </c>
      <c r="CI17" s="11">
        <f t="shared" si="255"/>
        <v>635.84512614360597</v>
      </c>
      <c r="CJ17" s="11">
        <f t="shared" si="256"/>
        <v>412.11445334232911</v>
      </c>
      <c r="CK17" s="15">
        <f t="shared" si="257"/>
        <v>0.60835765981773193</v>
      </c>
      <c r="CL17" s="15">
        <f t="shared" si="258"/>
        <v>0.39429882231381541</v>
      </c>
      <c r="CM17" s="11">
        <f t="shared" si="259"/>
        <v>73.658349051226978</v>
      </c>
      <c r="CO17" s="7" t="str">
        <f t="shared" si="26"/>
        <v>2045_3</v>
      </c>
      <c r="CP17" s="30">
        <f>CP16</f>
        <v>2045</v>
      </c>
      <c r="CQ17" s="5" t="s">
        <v>23</v>
      </c>
      <c r="CR17" s="16">
        <f>CR15+CR16</f>
        <v>16.298927114879898</v>
      </c>
      <c r="CS17" s="16">
        <f>CS15+CS16</f>
        <v>21.528429871937789</v>
      </c>
      <c r="CT17" s="16">
        <f t="shared" ref="CT17:DL17" si="269">CT15+CT16</f>
        <v>27.880144030177881</v>
      </c>
      <c r="CU17" s="16">
        <f t="shared" si="269"/>
        <v>27.167756736815488</v>
      </c>
      <c r="CV17" s="16">
        <f t="shared" si="269"/>
        <v>19.614832276182899</v>
      </c>
      <c r="CW17" s="16">
        <f t="shared" si="269"/>
        <v>21.036220178145392</v>
      </c>
      <c r="CX17" s="16">
        <f t="shared" si="269"/>
        <v>23.445354988750438</v>
      </c>
      <c r="CY17" s="16">
        <f t="shared" si="269"/>
        <v>23.668336799041114</v>
      </c>
      <c r="CZ17" s="16">
        <f t="shared" si="269"/>
        <v>30.657783828953775</v>
      </c>
      <c r="DA17" s="16">
        <f t="shared" si="269"/>
        <v>38.969733956301333</v>
      </c>
      <c r="DB17" s="16">
        <f t="shared" si="269"/>
        <v>46.182975098743952</v>
      </c>
      <c r="DC17" s="16">
        <f t="shared" si="269"/>
        <v>68.241401855734054</v>
      </c>
      <c r="DD17" s="16">
        <f t="shared" si="269"/>
        <v>90.988055911665953</v>
      </c>
      <c r="DE17" s="16">
        <f t="shared" si="269"/>
        <v>105.79787518002061</v>
      </c>
      <c r="DF17" s="16">
        <f t="shared" si="269"/>
        <v>117.93279762125624</v>
      </c>
      <c r="DG17" s="16">
        <f t="shared" si="269"/>
        <v>89.615794150908812</v>
      </c>
      <c r="DH17" s="16">
        <f t="shared" si="269"/>
        <v>115.38668994152074</v>
      </c>
      <c r="DI17" s="16">
        <f t="shared" si="269"/>
        <v>107.32451738515229</v>
      </c>
      <c r="DJ17" s="16">
        <f t="shared" si="269"/>
        <v>70.60624356622624</v>
      </c>
      <c r="DK17" s="16">
        <f t="shared" si="269"/>
        <v>28.729040552699242</v>
      </c>
      <c r="DL17" s="16">
        <f t="shared" si="269"/>
        <v>0.45216774582183095</v>
      </c>
      <c r="DM17" s="11">
        <f t="shared" si="260"/>
        <v>1091.5250787909358</v>
      </c>
      <c r="DN17" s="11">
        <f t="shared" si="261"/>
        <v>29.6451443412694</v>
      </c>
      <c r="DO17" s="11">
        <f t="shared" si="262"/>
        <v>16.58560895943425</v>
      </c>
      <c r="DP17" s="11">
        <f t="shared" si="263"/>
        <v>635.84512614360597</v>
      </c>
      <c r="DQ17" s="11">
        <f t="shared" si="264"/>
        <v>412.11445334232911</v>
      </c>
      <c r="DR17" s="15">
        <f t="shared" si="265"/>
        <v>0.58252910400182567</v>
      </c>
      <c r="DS17" s="15">
        <f t="shared" si="266"/>
        <v>0.37755839178594175</v>
      </c>
      <c r="DT17" s="11">
        <f t="shared" si="267"/>
        <v>87.764744242119846</v>
      </c>
      <c r="DV17" s="62" t="s">
        <v>407</v>
      </c>
      <c r="DW17" s="7">
        <f>IF(DW9&gt;=0,0,IF(AND(DW10&lt;=0,DW9&lt;=0,DW16*2&gt;=ABS(DW9)),ROUND(DW16/3,0),ROUND(ABS(DW9)/6,0)))</f>
        <v>30</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5.2326499325538087</v>
      </c>
      <c r="BL18" s="9">
        <f>IF(管理者入力シート!$B$14=1,BK15*管理者用人口入力シート!AM$3,IF(管理者入力シート!$B$14=2,BK15*管理者用人口入力シート!AM$7))</f>
        <v>7.1723204508939258</v>
      </c>
      <c r="BM18" s="9">
        <f>IF(管理者入力シート!$B$14=1,BL15*管理者用人口入力シート!AN$3,IF(管理者入力シート!$B$14=2,BL15*管理者用人口入力シート!AN$7))</f>
        <v>8.774564916962591</v>
      </c>
      <c r="BN18" s="9">
        <f>IF(管理者入力シート!$B$14=1,BM15*管理者用人口入力シート!AO$3,IF(管理者入力シート!$B$14=2,BM15*管理者用人口入力シート!AO$7))</f>
        <v>9.1650132117381649</v>
      </c>
      <c r="BO18" s="9">
        <f>IF(管理者入力シート!$B$14=1,BN15*管理者用人口入力シート!AP$3,IF(管理者入力シート!$B$14=2,BN15*管理者用人口入力シート!AP$7))</f>
        <v>6.4889671672537927</v>
      </c>
      <c r="BP18" s="9">
        <f>IF(管理者入力シート!$B$14=1,BO15*管理者用人口入力シート!AQ$3,IF(管理者入力シート!$B$14=2,BO15*管理者用人口入力シート!AQ$7))</f>
        <v>6.9672759652070564</v>
      </c>
      <c r="BQ18" s="9">
        <f>IF(管理者入力シート!$B$14=1,BP15*管理者用人口入力シート!AR$3,IF(管理者入力シート!$B$14=2,BP15*管理者用人口入力シート!AR$7))</f>
        <v>8.5924444616969886</v>
      </c>
      <c r="BR18" s="9">
        <f>IF(管理者入力シート!$B$14=1,BQ15*管理者用人口入力シート!AS$3,IF(管理者入力シート!$B$14=2,BQ15*管理者用人口入力シート!AS$7))</f>
        <v>9.909397860555659</v>
      </c>
      <c r="BS18" s="9">
        <f>IF(管理者入力シート!$B$14=1,BR15*管理者用人口入力シート!AT$3,IF(管理者入力シート!$B$14=2,BR15*管理者用人口入力シート!AT$7))</f>
        <v>11.492033344796514</v>
      </c>
      <c r="BT18" s="9">
        <f>IF(管理者入力シート!$B$14=1,BS15*管理者用人口入力シート!AU$3,IF(管理者入力シート!$B$14=2,BS15*管理者用人口入力シート!AU$7))</f>
        <v>13.358929709332886</v>
      </c>
      <c r="BU18" s="9">
        <f>IF(管理者入力シート!$B$14=1,BT15*管理者用人口入力シート!AV$3,IF(管理者入力シート!$B$14=2,BT15*管理者用人口入力シート!AV$7))</f>
        <v>19.352323684455424</v>
      </c>
      <c r="BV18" s="9">
        <f>IF(管理者入力シート!$B$14=1,BU15*管理者用人口入力シート!AW$3,IF(管理者入力シート!$B$14=2,BU15*管理者用人口入力シート!AW$7))</f>
        <v>24.266900060237806</v>
      </c>
      <c r="BW18" s="9">
        <f>IF(管理者入力シート!$B$14=1,BV15*管理者用人口入力シート!AX$3,IF(管理者入力シート!$B$14=2,BV15*管理者用人口入力シート!AX$7))</f>
        <v>32.511758933672354</v>
      </c>
      <c r="BX18" s="9">
        <f>IF(管理者入力シート!$B$14=1,BW15*管理者用人口入力シート!AY$3,IF(管理者入力シート!$B$14=2,BW15*管理者用人口入力シート!AY$7))</f>
        <v>47.790529501564791</v>
      </c>
      <c r="BY18" s="9">
        <f>IF(管理者入力シート!$B$14=1,BX15*管理者用人口入力シート!AZ$3,IF(管理者入力シート!$B$14=2,BX15*管理者用人口入力シート!AZ$7))</f>
        <v>47.967963355798894</v>
      </c>
      <c r="BZ18" s="9">
        <f>IF(管理者入力シート!$B$14=1,BY15*管理者用人口入力シート!BA$3,IF(管理者入力シート!$B$14=2,BY15*管理者用人口入力シート!BA$7))</f>
        <v>41.277741783341853</v>
      </c>
      <c r="CA18" s="9">
        <f>IF(管理者入力シート!$B$14=1,BZ15*管理者用人口入力シート!BB$3,IF(管理者入力シート!$B$14=2,BZ15*管理者用人口入力シート!BB$7))</f>
        <v>28.34293450939699</v>
      </c>
      <c r="CB18" s="9">
        <f>IF(管理者入力シート!$B$14=1,CA15*管理者用人口入力シート!BC$3,IF(管理者入力シート!$B$14=2,CA15*管理者用人口入力シート!BC$7))</f>
        <v>29.79043653181348</v>
      </c>
      <c r="CC18" s="9">
        <f>IF(管理者入力シート!$B$14=1,CB15*管理者用人口入力シート!BD$3,IF(管理者入力シート!$B$14=2,CB15*管理者用人口入力シート!BD$7))</f>
        <v>17.841894206261074</v>
      </c>
      <c r="CD18" s="9">
        <f>IF(管理者入力シート!$B$14=1,CC15*管理者用人口入力シート!BE$3,IF(管理者入力シート!$B$14=2,CC15*管理者用人口入力シート!BE$7))</f>
        <v>7.6835397463953541</v>
      </c>
      <c r="CE18" s="9">
        <f>IF(管理者入力シート!$B$14=1,CD15*管理者用人口入力シート!BF$3,IF(管理者入力シート!$B$14=2,CD15*管理者用人口入力シート!BF$7))</f>
        <v>0.12206789531878906</v>
      </c>
      <c r="CF18" s="9">
        <f t="shared" si="252"/>
        <v>384.10168722924817</v>
      </c>
      <c r="CG18" s="9">
        <f t="shared" si="253"/>
        <v>9.5681312207139086</v>
      </c>
      <c r="CH18" s="9">
        <f t="shared" si="254"/>
        <v>5.3428286091326687</v>
      </c>
      <c r="CI18" s="9">
        <f t="shared" si="255"/>
        <v>220.81710752989122</v>
      </c>
      <c r="CJ18" s="9">
        <f t="shared" si="256"/>
        <v>125.05861467252754</v>
      </c>
      <c r="CK18" s="13">
        <f t="shared" si="257"/>
        <v>0.5748923133422692</v>
      </c>
      <c r="CL18" s="13">
        <f t="shared" si="258"/>
        <v>0.32558725678777678</v>
      </c>
      <c r="CM18" s="9">
        <f t="shared" si="259"/>
        <v>31.958085454713498</v>
      </c>
      <c r="CO18" s="7" t="str">
        <f t="shared" si="26"/>
        <v>2050_1</v>
      </c>
      <c r="CP18" s="28">
        <f>管理者入力シート!B13</f>
        <v>2050</v>
      </c>
      <c r="CQ18" s="3" t="s">
        <v>21</v>
      </c>
      <c r="CR18" s="9">
        <f>DT19*$AK$13+将来予測シート②!$G17</f>
        <v>7.8229423688425079</v>
      </c>
      <c r="CS18" s="9">
        <f>IF(管理者入力シート!$B$14=1,CR15*管理者用人口入力シート!AM$3,IF(管理者入力シート!$B$14=2,CR15*管理者用人口入力シート!AM$7))+将来予測シート②!$G18</f>
        <v>9.6464472080946617</v>
      </c>
      <c r="CT18" s="9">
        <f>IF(管理者入力シート!$B$14=1,CS15*管理者用人口入力シート!AN$3,IF(管理者入力シート!$B$14=2,CS15*管理者用人口入力シート!AN$7))+将来予測シート②!$G19</f>
        <v>11.941011574369938</v>
      </c>
      <c r="CU18" s="9">
        <f>IF(管理者入力シート!$B$14=1,CT15*管理者用人口入力シート!AO$3,IF(管理者入力シート!$B$14=2,CT15*管理者用人口入力シート!AO$7))+将来予測シート②!$G20</f>
        <v>11.751282669451779</v>
      </c>
      <c r="CV18" s="9">
        <f>IF(管理者入力シート!$B$14=1,CU15*管理者用人口入力シート!AP$3,IF(管理者入力シート!$B$14=2,CU15*管理者用人口入力シート!AP$7))+将来予測シート②!$G21</f>
        <v>7.7568822031948867</v>
      </c>
      <c r="CW18" s="9">
        <f>IF(管理者入力シート!$B$14=1,CV15*管理者用人口入力シート!AQ$3,IF(管理者入力シート!$B$14=2,CV15*管理者用人口入力シート!AQ$7))+将来予測シート②!$G22</f>
        <v>9.7031801888119382</v>
      </c>
      <c r="CX18" s="9">
        <f>IF(管理者入力シート!$B$14=1,CW15*管理者用人口入力シート!AR$3,IF(管理者入力シート!$B$14=2,CW15*管理者用人口入力シート!AR$7))+将来予測シート②!$G23</f>
        <v>10.819706914266069</v>
      </c>
      <c r="CY18" s="9">
        <f>IF(管理者入力シート!$B$14=1,CX15*管理者用人口入力シート!AS$3,IF(管理者入力シート!$B$14=2,CX15*管理者用人口入力シート!AS$7))+将来予測シート②!$G24</f>
        <v>11.921867500383264</v>
      </c>
      <c r="CZ18" s="9">
        <f>IF(管理者入力シート!$B$14=1,CY15*管理者用人口入力シート!AT$3,IF(管理者入力シート!$B$14=2,CY15*管理者用人口入力シート!AT$7))+将来予測シート②!$G25</f>
        <v>13.355428930792199</v>
      </c>
      <c r="DA18" s="9">
        <f>IF(管理者入力シート!$B$14=1,CZ15*管理者用人口入力シート!AU$3,IF(管理者入力シート!$B$14=2,CZ15*管理者用人口入力シート!AU$7))+将来予測シート②!$G26</f>
        <v>15.162957150741155</v>
      </c>
      <c r="DB18" s="9">
        <f>IF(管理者入力シート!$B$14=1,DA15*管理者用人口入力シート!AV$3,IF(管理者入力シート!$B$14=2,DA15*管理者用人口入力シート!AV$7))+将来予測シート②!$G27</f>
        <v>21.090758379727081</v>
      </c>
      <c r="DC18" s="9">
        <f>IF(管理者入力シート!$B$14=1,DB15*管理者用人口入力シート!AW$3,IF(管理者入力シート!$B$14=2,DB15*管理者用人口入力シート!AW$7))+将来予測シート②!$G28</f>
        <v>24.266900060237806</v>
      </c>
      <c r="DD18" s="9">
        <f>IF(管理者入力シート!$B$14=1,DC15*管理者用人口入力シート!AX$3,IF(管理者入力シート!$B$14=2,DC15*管理者用人口入力シート!AX$7))+将来予測シート②!$G29</f>
        <v>32.511758933672354</v>
      </c>
      <c r="DE18" s="9">
        <f>IF(管理者入力シート!$B$14=1,DD15*管理者用人口入力シート!AY$3,IF(管理者入力シート!$B$14=2,DD15*管理者用人口入力シート!AY$7))</f>
        <v>47.790529501564791</v>
      </c>
      <c r="DF18" s="9">
        <f>IF(管理者入力シート!$B$14=1,DE15*管理者用人口入力シート!AZ$3,IF(管理者入力シート!$B$14=2,DE15*管理者用人口入力シート!AZ$7))</f>
        <v>47.967963355798894</v>
      </c>
      <c r="DG18" s="9">
        <f>IF(管理者入力シート!$B$14=1,DF15*管理者用人口入力シート!BA$3,IF(管理者入力シート!$B$14=2,DF15*管理者用人口入力シート!BA$7))</f>
        <v>41.277741783341853</v>
      </c>
      <c r="DH18" s="9">
        <f>IF(管理者入力シート!$B$14=1,DG15*管理者用人口入力シート!BB$3,IF(管理者入力シート!$B$14=2,DG15*管理者用人口入力シート!BB$7))</f>
        <v>28.34293450939699</v>
      </c>
      <c r="DI18" s="9">
        <f>IF(管理者入力シート!$B$14=1,DH15*管理者用人口入力シート!BC$3,IF(管理者入力シート!$B$14=2,DH15*管理者用人口入力シート!BC$7))</f>
        <v>29.79043653181348</v>
      </c>
      <c r="DJ18" s="9">
        <f>IF(管理者入力シート!$B$14=1,DI15*管理者用人口入力シート!BD$3,IF(管理者入力シート!$B$14=2,DI15*管理者用人口入力シート!BD$7))</f>
        <v>17.841894206261074</v>
      </c>
      <c r="DK18" s="9">
        <f>IF(管理者入力シート!$B$14=1,DJ15*管理者用人口入力シート!BE$3,IF(管理者入力シート!$B$14=2,DJ15*管理者用人口入力シート!BE$7))</f>
        <v>7.6835397463953541</v>
      </c>
      <c r="DL18" s="9">
        <f>IF(管理者入力シート!$B$14=1,DK15*管理者用人口入力シート!BF$3,IF(管理者入力シート!$B$14=2,DK15*管理者用人口入力シート!BF$7))</f>
        <v>0.12206789531878906</v>
      </c>
      <c r="DM18" s="9">
        <f t="shared" si="260"/>
        <v>408.56823161247684</v>
      </c>
      <c r="DN18" s="9">
        <f t="shared" si="261"/>
        <v>12.952475269478761</v>
      </c>
      <c r="DO18" s="9">
        <f t="shared" si="262"/>
        <v>7.1266611636383308</v>
      </c>
      <c r="DP18" s="9">
        <f t="shared" si="263"/>
        <v>220.81710752989122</v>
      </c>
      <c r="DQ18" s="9">
        <f t="shared" si="264"/>
        <v>125.05861467252754</v>
      </c>
      <c r="DR18" s="13">
        <f t="shared" si="265"/>
        <v>0.54046568099140457</v>
      </c>
      <c r="DS18" s="13">
        <f t="shared" si="266"/>
        <v>0.30608991349857195</v>
      </c>
      <c r="DT18" s="9">
        <f t="shared" si="267"/>
        <v>40.201636806656161</v>
      </c>
      <c r="DX18" s="287">
        <f>DX1</f>
        <v>30</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3.7513822145343521</v>
      </c>
      <c r="BL19" s="10">
        <f>IF(管理者入力シート!$B$14=1,BK16*管理者用人口入力シート!AM$4,IF(管理者入力シート!$B$14=2,BK16*管理者用人口入力シート!AM$8))</f>
        <v>5.9786860407920566</v>
      </c>
      <c r="BM19" s="10">
        <f>IF(管理者入力シート!$B$14=1,BL16*管理者用人口入力シート!AN$4,IF(管理者入力シート!$B$14=2,BL16*管理者用人口入力シート!AN$8))</f>
        <v>8.303705905295546</v>
      </c>
      <c r="BN19" s="10">
        <f>IF(管理者入力シート!$B$14=1,BM16*管理者用人口入力シート!AO$4,IF(管理者入力シート!$B$14=2,BM16*管理者用人口入力シート!AO$8))</f>
        <v>8.7175915161673014</v>
      </c>
      <c r="BO19" s="10">
        <f>IF(管理者入力シート!$B$14=1,BN16*管理者用人口入力シート!AP$4,IF(管理者入力シート!$B$14=2,BN16*管理者用人口入力シート!AP$8))</f>
        <v>6.4428571905161824</v>
      </c>
      <c r="BP19" s="10">
        <f>IF(管理者入力シート!$B$14=1,BO16*管理者用人口入力シート!AQ$4,IF(管理者入力シート!$B$14=2,BO16*管理者用人口入力シート!AQ$8))</f>
        <v>5.4860028186158196</v>
      </c>
      <c r="BQ19" s="10">
        <f>IF(管理者入力シート!$B$14=1,BP16*管理者用人口入力シート!AR$4,IF(管理者入力シート!$B$14=2,BP16*管理者用人口入力シート!AR$8))</f>
        <v>5.848778667988288</v>
      </c>
      <c r="BR19" s="10">
        <f>IF(管理者入力シート!$B$14=1,BQ16*管理者用人口入力シート!AS$4,IF(管理者入力シート!$B$14=2,BQ16*管理者用人口入力シート!AS$8))</f>
        <v>8.0752143083718746</v>
      </c>
      <c r="BS19" s="10">
        <f>IF(管理者入力シート!$B$14=1,BR16*管理者用人口入力シート!AT$4,IF(管理者入力シート!$B$14=2,BR16*管理者用人口入力シート!AT$8))</f>
        <v>10.135085058782657</v>
      </c>
      <c r="BT19" s="10">
        <f>IF(管理者入力シート!$B$14=1,BS16*管理者用人口入力シート!AU$4,IF(管理者入力シート!$B$14=2,BS16*管理者用人口入力シート!AU$8))</f>
        <v>12.742186797564969</v>
      </c>
      <c r="BU19" s="10">
        <f>IF(管理者入力シート!$B$14=1,BT16*管理者用人口入力シート!AV$4,IF(管理者入力シート!$B$14=2,BT16*管理者用人口入力シート!AV$8))</f>
        <v>14.524628586274826</v>
      </c>
      <c r="BV19" s="10">
        <f>IF(管理者入力シート!$B$14=1,BU16*管理者用人口入力シート!AW$4,IF(管理者入力シート!$B$14=2,BU16*管理者用人口入力シート!AW$8))</f>
        <v>21.431201999953352</v>
      </c>
      <c r="BW19" s="10">
        <f>IF(管理者入力シート!$B$14=1,BV16*管理者用人口入力シート!AX$4,IF(管理者入力シート!$B$14=2,BV16*管理者用人口入力シート!AX$8))</f>
        <v>34.844829360776885</v>
      </c>
      <c r="BX19" s="10">
        <f>IF(管理者入力シート!$B$14=1,BW16*管理者用人口入力シート!AY$4,IF(管理者入力シート!$B$14=2,BW16*管理者用人口入力シート!AY$8))</f>
        <v>42.059535592054175</v>
      </c>
      <c r="BY19" s="10">
        <f>IF(管理者入力シート!$B$14=1,BX16*管理者用人口入力シート!AZ$4,IF(管理者入力シート!$B$14=2,BX16*管理者用人口入力シート!AZ$8))</f>
        <v>49.936593505205316</v>
      </c>
      <c r="BZ19" s="10">
        <f>IF(管理者入力シート!$B$14=1,BY16*管理者用人口入力シート!BA$4,IF(管理者入力シート!$B$14=2,BY16*管理者用人口入力シート!BA$8))</f>
        <v>62.050184619653564</v>
      </c>
      <c r="CA19" s="10">
        <f>IF(管理者入力シート!$B$14=1,BZ16*管理者用人口入力シート!BB$4,IF(管理者入力シート!$B$14=2,BZ16*管理者用人口入力シート!BB$8))</f>
        <v>47.108071124695094</v>
      </c>
      <c r="CB19" s="10">
        <f>IF(管理者入力シート!$B$14=1,CA16*管理者用人口入力シート!BC$4,IF(管理者入力シート!$B$14=2,CA16*管理者用人口入力シート!BC$8))</f>
        <v>54.871075806678412</v>
      </c>
      <c r="CC19" s="10">
        <f>IF(管理者入力シート!$B$14=1,CB16*管理者用人口入力シート!BD$4,IF(管理者入力シート!$B$14=2,CB16*管理者用人口入力シート!BD$8))</f>
        <v>36.085029271628947</v>
      </c>
      <c r="CD19" s="10">
        <f>IF(管理者入力シート!$B$14=1,CC16*管理者用人口入力シート!BE$4,IF(管理者入力シート!$B$14=2,CC16*管理者用人口入力シート!BE$8))</f>
        <v>24.122610198061828</v>
      </c>
      <c r="CE19" s="10">
        <f>IF(管理者入力シート!$B$14=1,CD16*管理者用人口入力シート!BF$4,IF(管理者入力シート!$B$14=2,CD16*管理者用人口入力シート!BF$8))</f>
        <v>0.41227263573262946</v>
      </c>
      <c r="CF19" s="10">
        <f t="shared" si="252"/>
        <v>462.92752321934404</v>
      </c>
      <c r="CG19" s="10">
        <f t="shared" si="253"/>
        <v>8.5694351676525624</v>
      </c>
      <c r="CH19" s="10">
        <f t="shared" si="254"/>
        <v>5.065000665351679</v>
      </c>
      <c r="CI19" s="10">
        <f t="shared" si="255"/>
        <v>316.64537275370998</v>
      </c>
      <c r="CJ19" s="10">
        <f t="shared" si="256"/>
        <v>224.64924365645047</v>
      </c>
      <c r="CK19" s="14">
        <f t="shared" si="257"/>
        <v>0.68400636573012152</v>
      </c>
      <c r="CL19" s="14">
        <f t="shared" si="258"/>
        <v>0.48527951437013023</v>
      </c>
      <c r="CM19" s="10">
        <f t="shared" si="259"/>
        <v>25.852852985492163</v>
      </c>
      <c r="CO19" s="7" t="str">
        <f t="shared" si="26"/>
        <v>2050_2</v>
      </c>
      <c r="CP19" s="29">
        <f>CP18</f>
        <v>2050</v>
      </c>
      <c r="CQ19" s="4" t="s">
        <v>22</v>
      </c>
      <c r="CR19" s="10">
        <f>DT19*$AK$14+将来予測シート②!$H17</f>
        <v>5.8914918794838496</v>
      </c>
      <c r="CS19" s="10">
        <f>IF(管理者入力シート!$B$14=1,CR16*管理者用人口入力シート!AM$4,IF(管理者入力シート!$B$14=2,CR16*管理者用人口入力シート!AM$8))+将来予測シート②!$H18</f>
        <v>8.3814360837906214</v>
      </c>
      <c r="CT19" s="10">
        <f>IF(管理者入力シート!$B$14=1,CS16*管理者用人口入力シート!AN$4,IF(管理者入力シート!$B$14=2,CS16*管理者用人口入力シート!AN$8))+将来予測シート②!$H19</f>
        <v>11.719762580388501</v>
      </c>
      <c r="CU19" s="10">
        <f>IF(管理者入力シート!$B$14=1,CT16*管理者用人口入力シート!AO$4,IF(管理者入力シート!$B$14=2,CT16*管理者用人口入力シート!AO$8))+将来予測シート②!$H20</f>
        <v>11.528816282677724</v>
      </c>
      <c r="CV19" s="10">
        <f>IF(管理者入力シート!$B$14=1,CU16*管理者用人口入力シート!AP$4,IF(管理者入力シート!$B$14=2,CU16*管理者用人口入力シート!AP$8))+将来予測シート②!$H21</f>
        <v>7.908677612872629</v>
      </c>
      <c r="CW19" s="10">
        <f>IF(管理者入力シート!$B$14=1,CV16*管理者用人口入力シート!AQ$4,IF(管理者入力シート!$B$14=2,CV16*管理者用人口入力シート!AQ$8))+将来予測シート②!$H22</f>
        <v>8.1952454834703943</v>
      </c>
      <c r="CX19" s="10">
        <f>IF(管理者入力シート!$B$14=1,CW16*管理者用人口入力シート!AR$4,IF(管理者入力シート!$B$14=2,CW16*管理者用人口入力シート!AR$8))+将来予測シート②!$H23</f>
        <v>7.7235071549617667</v>
      </c>
      <c r="CY19" s="10">
        <f>IF(管理者入力シート!$B$14=1,CX16*管理者用人口入力シート!AS$4,IF(管理者入力シート!$B$14=2,CX16*管理者用人口入力シート!AS$8))+将来予測シート②!$H24</f>
        <v>9.88255001945301</v>
      </c>
      <c r="CZ19" s="10">
        <f>IF(管理者入力シート!$B$14=1,CY16*管理者用人口入力シート!AT$4,IF(管理者入力シート!$B$14=2,CY16*管理者用人口入力シート!AT$8))+将来予測シート②!$H25</f>
        <v>12.730935381233524</v>
      </c>
      <c r="DA19" s="10">
        <f>IF(管理者入力シート!$B$14=1,CZ16*管理者用人口入力シート!AU$4,IF(管理者入力シート!$B$14=2,CZ16*管理者用人口入力シート!AU$8))+将来予測シート②!$H26</f>
        <v>15.409674980297414</v>
      </c>
      <c r="DB19" s="10">
        <f>IF(管理者入力シート!$B$14=1,DA16*管理者用人口入力シート!AV$4,IF(管理者入力シート!$B$14=2,DA16*管理者用人口入力シート!AV$8))+将来予測シート②!$H27</f>
        <v>17.212270431006583</v>
      </c>
      <c r="DC19" s="10">
        <f>IF(管理者入力シート!$B$14=1,DB16*管理者用人口入力シート!AW$4,IF(管理者入力シート!$B$14=2,DB16*管理者用人口入力シート!AW$8))+将来予測シート②!$H28</f>
        <v>22.503970144046342</v>
      </c>
      <c r="DD19" s="10">
        <f>IF(管理者入力シート!$B$14=1,DC16*管理者用人口入力シート!AX$4,IF(管理者入力シート!$B$14=2,DC16*管理者用人口入力シート!AX$8))+将来予測シート②!$H29</f>
        <v>35.917135135382615</v>
      </c>
      <c r="DE19" s="10">
        <f>IF(管理者入力シート!$B$14=1,DD16*管理者用人口入力シート!AY$4,IF(管理者入力シート!$B$14=2,DD16*管理者用人口入力シート!AY$8))</f>
        <v>43.143671765992408</v>
      </c>
      <c r="DF19" s="10">
        <f>IF(管理者入力シート!$B$14=1,DE16*管理者用人口入力シート!AZ$4,IF(管理者入力シート!$B$14=2,DE16*管理者用人口入力シート!AZ$8))</f>
        <v>49.936593505205316</v>
      </c>
      <c r="DG19" s="10">
        <f>IF(管理者入力シート!$B$14=1,DF16*管理者用人口入力シート!BA$4,IF(管理者入力シート!$B$14=2,DF16*管理者用人口入力シート!BA$8))</f>
        <v>62.050184619653564</v>
      </c>
      <c r="DH19" s="10">
        <f>IF(管理者入力シート!$B$14=1,DG16*管理者用人口入力シート!BB$4,IF(管理者入力シート!$B$14=2,DG16*管理者用人口入力シート!BB$8))</f>
        <v>47.108071124695094</v>
      </c>
      <c r="DI19" s="10">
        <f>IF(管理者入力シート!$B$14=1,DH16*管理者用人口入力シート!BC$4,IF(管理者入力シート!$B$14=2,DH16*管理者用人口入力シート!BC$8))</f>
        <v>54.871075806678412</v>
      </c>
      <c r="DJ19" s="10">
        <f>IF(管理者入力シート!$B$14=1,DI16*管理者用人口入力シート!BD$4,IF(管理者入力シート!$B$14=2,DI16*管理者用人口入力シート!BD$8))</f>
        <v>36.085029271628947</v>
      </c>
      <c r="DK19" s="10">
        <f>IF(管理者入力シート!$B$14=1,DJ16*管理者用人口入力シート!BE$4,IF(管理者入力シート!$B$14=2,DJ16*管理者用人口入力シート!BE$8))</f>
        <v>24.122610198061828</v>
      </c>
      <c r="DL19" s="10">
        <f>IF(管理者入力シート!$B$14=1,DK16*管理者用人口入力シート!BF$4,IF(管理者入力シート!$B$14=2,DK16*管理者用人口入力シート!BF$8))</f>
        <v>0.41227263573262946</v>
      </c>
      <c r="DM19" s="10">
        <f t="shared" si="260"/>
        <v>492.73498209671317</v>
      </c>
      <c r="DN19" s="10">
        <f t="shared" si="261"/>
        <v>12.060719198507474</v>
      </c>
      <c r="DO19" s="10">
        <f t="shared" si="262"/>
        <v>6.9936682886909454</v>
      </c>
      <c r="DP19" s="10">
        <f t="shared" si="263"/>
        <v>317.72950892764823</v>
      </c>
      <c r="DQ19" s="10">
        <f t="shared" si="264"/>
        <v>224.64924365645047</v>
      </c>
      <c r="DR19" s="14">
        <f t="shared" si="265"/>
        <v>0.64482839756095256</v>
      </c>
      <c r="DS19" s="14">
        <f t="shared" si="266"/>
        <v>0.45592306578378211</v>
      </c>
      <c r="DT19" s="10">
        <f t="shared" si="267"/>
        <v>33.709980270757796</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8.9840321470881612</v>
      </c>
      <c r="BL20" s="16">
        <f t="shared" ref="BL20:CE20" si="276">BL18+BL19</f>
        <v>13.151006491685983</v>
      </c>
      <c r="BM20" s="16">
        <f t="shared" si="276"/>
        <v>17.078270822258137</v>
      </c>
      <c r="BN20" s="16">
        <f t="shared" si="276"/>
        <v>17.882604727905466</v>
      </c>
      <c r="BO20" s="16">
        <f t="shared" si="276"/>
        <v>12.931824357769976</v>
      </c>
      <c r="BP20" s="16">
        <f t="shared" si="276"/>
        <v>12.453278783822876</v>
      </c>
      <c r="BQ20" s="16">
        <f t="shared" si="276"/>
        <v>14.441223129685277</v>
      </c>
      <c r="BR20" s="16">
        <f t="shared" si="276"/>
        <v>17.984612168927534</v>
      </c>
      <c r="BS20" s="16">
        <f t="shared" si="276"/>
        <v>21.627118403579171</v>
      </c>
      <c r="BT20" s="16">
        <f t="shared" si="276"/>
        <v>26.101116506897853</v>
      </c>
      <c r="BU20" s="16">
        <f t="shared" si="276"/>
        <v>33.87695227073025</v>
      </c>
      <c r="BV20" s="16">
        <f t="shared" si="276"/>
        <v>45.698102060191161</v>
      </c>
      <c r="BW20" s="16">
        <f t="shared" si="276"/>
        <v>67.356588294449239</v>
      </c>
      <c r="BX20" s="16">
        <f t="shared" si="276"/>
        <v>89.850065093618966</v>
      </c>
      <c r="BY20" s="16">
        <f t="shared" si="276"/>
        <v>97.90455686100421</v>
      </c>
      <c r="BZ20" s="16">
        <f t="shared" si="276"/>
        <v>103.32792640299542</v>
      </c>
      <c r="CA20" s="16">
        <f t="shared" si="276"/>
        <v>75.451005634092084</v>
      </c>
      <c r="CB20" s="16">
        <f t="shared" si="276"/>
        <v>84.661512338491889</v>
      </c>
      <c r="CC20" s="16">
        <f t="shared" si="276"/>
        <v>53.926923477890021</v>
      </c>
      <c r="CD20" s="16">
        <f t="shared" si="276"/>
        <v>31.806149944457182</v>
      </c>
      <c r="CE20" s="16">
        <f t="shared" si="276"/>
        <v>0.53434053105141854</v>
      </c>
      <c r="CF20" s="11">
        <f t="shared" si="252"/>
        <v>847.02921044859227</v>
      </c>
      <c r="CG20" s="11">
        <f t="shared" si="253"/>
        <v>18.137566388366473</v>
      </c>
      <c r="CH20" s="11">
        <f t="shared" si="254"/>
        <v>10.407829274484348</v>
      </c>
      <c r="CI20" s="11">
        <f t="shared" si="255"/>
        <v>537.46248028360117</v>
      </c>
      <c r="CJ20" s="11">
        <f t="shared" si="256"/>
        <v>349.70785832897798</v>
      </c>
      <c r="CK20" s="15">
        <f t="shared" si="257"/>
        <v>0.63452649997626109</v>
      </c>
      <c r="CL20" s="15">
        <f t="shared" si="258"/>
        <v>0.41286398865013213</v>
      </c>
      <c r="CM20" s="11">
        <f t="shared" si="259"/>
        <v>57.810938440205661</v>
      </c>
      <c r="CO20" s="7" t="str">
        <f t="shared" si="26"/>
        <v>2050_3</v>
      </c>
      <c r="CP20" s="30">
        <f>CP19</f>
        <v>2050</v>
      </c>
      <c r="CQ20" s="5" t="s">
        <v>23</v>
      </c>
      <c r="CR20" s="16">
        <f>CR18+CR19</f>
        <v>13.714434248326357</v>
      </c>
      <c r="CS20" s="16">
        <f t="shared" ref="CS20:DL20" si="277">CS18+CS19</f>
        <v>18.027883291885281</v>
      </c>
      <c r="CT20" s="16">
        <f t="shared" si="277"/>
        <v>23.660774154758439</v>
      </c>
      <c r="CU20" s="16">
        <f t="shared" si="277"/>
        <v>23.280098952129503</v>
      </c>
      <c r="CV20" s="16">
        <f t="shared" si="277"/>
        <v>15.665559816067516</v>
      </c>
      <c r="CW20" s="16">
        <f t="shared" si="277"/>
        <v>17.898425672282332</v>
      </c>
      <c r="CX20" s="16">
        <f t="shared" si="277"/>
        <v>18.543214069227837</v>
      </c>
      <c r="CY20" s="16">
        <f t="shared" si="277"/>
        <v>21.804417519836274</v>
      </c>
      <c r="CZ20" s="16">
        <f t="shared" si="277"/>
        <v>26.086364312025722</v>
      </c>
      <c r="DA20" s="16">
        <f t="shared" si="277"/>
        <v>30.572632131038567</v>
      </c>
      <c r="DB20" s="16">
        <f t="shared" si="277"/>
        <v>38.303028810733664</v>
      </c>
      <c r="DC20" s="16">
        <f t="shared" si="277"/>
        <v>46.770870204284151</v>
      </c>
      <c r="DD20" s="16">
        <f t="shared" si="277"/>
        <v>68.428894069054962</v>
      </c>
      <c r="DE20" s="16">
        <f t="shared" si="277"/>
        <v>90.934201267557199</v>
      </c>
      <c r="DF20" s="16">
        <f t="shared" si="277"/>
        <v>97.90455686100421</v>
      </c>
      <c r="DG20" s="16">
        <f t="shared" si="277"/>
        <v>103.32792640299542</v>
      </c>
      <c r="DH20" s="16">
        <f t="shared" si="277"/>
        <v>75.451005634092084</v>
      </c>
      <c r="DI20" s="16">
        <f t="shared" si="277"/>
        <v>84.661512338491889</v>
      </c>
      <c r="DJ20" s="16">
        <f t="shared" si="277"/>
        <v>53.926923477890021</v>
      </c>
      <c r="DK20" s="16">
        <f t="shared" si="277"/>
        <v>31.806149944457182</v>
      </c>
      <c r="DL20" s="16">
        <f t="shared" si="277"/>
        <v>0.53434053105141854</v>
      </c>
      <c r="DM20" s="11">
        <f t="shared" si="260"/>
        <v>901.30321370919012</v>
      </c>
      <c r="DN20" s="11">
        <f t="shared" si="261"/>
        <v>25.013194467986231</v>
      </c>
      <c r="DO20" s="11">
        <f t="shared" si="262"/>
        <v>14.120329452329276</v>
      </c>
      <c r="DP20" s="11">
        <f t="shared" si="263"/>
        <v>538.54661645753936</v>
      </c>
      <c r="DQ20" s="11">
        <f t="shared" si="264"/>
        <v>349.70785832897798</v>
      </c>
      <c r="DR20" s="15">
        <f t="shared" si="265"/>
        <v>0.59751991146378414</v>
      </c>
      <c r="DS20" s="15">
        <f t="shared" si="266"/>
        <v>0.38800245356920798</v>
      </c>
      <c r="DT20" s="11">
        <f t="shared" si="267"/>
        <v>73.911617077413965</v>
      </c>
      <c r="DX20" s="28">
        <f>DX3</f>
        <v>2025</v>
      </c>
      <c r="DY20" s="3" t="s">
        <v>21</v>
      </c>
      <c r="DZ20" s="9">
        <f t="shared" ref="DZ20:ET20" si="278">ROUND(DZ3,0)</f>
        <v>19</v>
      </c>
      <c r="EA20" s="9">
        <f t="shared" si="278"/>
        <v>26</v>
      </c>
      <c r="EB20" s="9">
        <f t="shared" si="278"/>
        <v>31</v>
      </c>
      <c r="EC20" s="9">
        <f t="shared" si="278"/>
        <v>28</v>
      </c>
      <c r="ED20" s="9">
        <f t="shared" si="278"/>
        <v>19</v>
      </c>
      <c r="EE20" s="9">
        <f t="shared" si="278"/>
        <v>52</v>
      </c>
      <c r="EF20" s="9">
        <f t="shared" si="278"/>
        <v>56</v>
      </c>
      <c r="EG20" s="9">
        <f t="shared" si="278"/>
        <v>62</v>
      </c>
      <c r="EH20" s="9">
        <f t="shared" si="278"/>
        <v>52</v>
      </c>
      <c r="EI20" s="9">
        <f t="shared" si="278"/>
        <v>56</v>
      </c>
      <c r="EJ20" s="9">
        <f t="shared" si="278"/>
        <v>59</v>
      </c>
      <c r="EK20" s="9">
        <f t="shared" si="278"/>
        <v>48</v>
      </c>
      <c r="EL20" s="9">
        <f t="shared" si="278"/>
        <v>77</v>
      </c>
      <c r="EM20" s="9">
        <f t="shared" si="278"/>
        <v>112</v>
      </c>
      <c r="EN20" s="9">
        <f t="shared" si="278"/>
        <v>129</v>
      </c>
      <c r="EO20" s="9">
        <f t="shared" si="278"/>
        <v>103</v>
      </c>
      <c r="EP20" s="9">
        <f t="shared" si="278"/>
        <v>63</v>
      </c>
      <c r="EQ20" s="9">
        <f t="shared" si="278"/>
        <v>47</v>
      </c>
      <c r="ER20" s="9">
        <f t="shared" si="278"/>
        <v>25</v>
      </c>
      <c r="ES20" s="9">
        <f t="shared" si="278"/>
        <v>8</v>
      </c>
      <c r="ET20" s="9">
        <f t="shared" si="278"/>
        <v>0</v>
      </c>
      <c r="EU20" s="9">
        <f t="shared" ref="EU20:EU21" si="279">SUM(DZ20:ET20)</f>
        <v>1072</v>
      </c>
      <c r="EV20" s="9">
        <f>EA20*3/5+EB20*3/5</f>
        <v>34.200000000000003</v>
      </c>
      <c r="EW20" s="9">
        <f>EB20*2/5+EC20*1/5</f>
        <v>18</v>
      </c>
      <c r="EX20" s="9">
        <f t="shared" ref="EX20:EX31" si="280">SUM(EM20:ET20)</f>
        <v>487</v>
      </c>
      <c r="EY20" s="9">
        <f>SUM(EO20:ET20)</f>
        <v>246</v>
      </c>
      <c r="EZ20" s="13">
        <f>EX20/EU20</f>
        <v>0.45429104477611942</v>
      </c>
      <c r="FA20" s="13">
        <f>EY20/EU20</f>
        <v>0.2294776119402985</v>
      </c>
      <c r="FB20" s="9">
        <f>SUM(ED20:EG20)</f>
        <v>189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14</v>
      </c>
      <c r="EA21" s="10">
        <f t="shared" si="281"/>
        <v>22</v>
      </c>
      <c r="EB21" s="10">
        <f t="shared" si="281"/>
        <v>33</v>
      </c>
      <c r="EC21" s="10">
        <f t="shared" si="281"/>
        <v>34</v>
      </c>
      <c r="ED21" s="10">
        <f t="shared" si="281"/>
        <v>25</v>
      </c>
      <c r="EE21" s="10">
        <f t="shared" si="281"/>
        <v>48</v>
      </c>
      <c r="EF21" s="10">
        <f t="shared" si="281"/>
        <v>50</v>
      </c>
      <c r="EG21" s="10">
        <f t="shared" si="281"/>
        <v>62</v>
      </c>
      <c r="EH21" s="10">
        <f t="shared" si="281"/>
        <v>39</v>
      </c>
      <c r="EI21" s="10">
        <f t="shared" si="281"/>
        <v>49</v>
      </c>
      <c r="EJ21" s="10">
        <f t="shared" si="281"/>
        <v>66</v>
      </c>
      <c r="EK21" s="10">
        <f t="shared" si="281"/>
        <v>61</v>
      </c>
      <c r="EL21" s="10">
        <f t="shared" si="281"/>
        <v>91</v>
      </c>
      <c r="EM21" s="10">
        <f t="shared" si="281"/>
        <v>106</v>
      </c>
      <c r="EN21" s="10">
        <f t="shared" si="281"/>
        <v>134</v>
      </c>
      <c r="EO21" s="10">
        <f t="shared" si="281"/>
        <v>110</v>
      </c>
      <c r="EP21" s="10">
        <f t="shared" si="281"/>
        <v>82</v>
      </c>
      <c r="EQ21" s="10">
        <f t="shared" si="281"/>
        <v>86</v>
      </c>
      <c r="ER21" s="10">
        <f t="shared" si="281"/>
        <v>57</v>
      </c>
      <c r="ES21" s="10">
        <f t="shared" si="281"/>
        <v>28</v>
      </c>
      <c r="ET21" s="10">
        <f t="shared" si="281"/>
        <v>0</v>
      </c>
      <c r="EU21" s="10">
        <f t="shared" si="279"/>
        <v>1197</v>
      </c>
      <c r="EV21" s="10">
        <f t="shared" ref="EV21:EV31" si="282">EA21*3/5+EB21*3/5</f>
        <v>33</v>
      </c>
      <c r="EW21" s="10">
        <f t="shared" ref="EW21:EW31" si="283">EB21*2/5+EC21*1/5</f>
        <v>20</v>
      </c>
      <c r="EX21" s="10">
        <f t="shared" si="280"/>
        <v>603</v>
      </c>
      <c r="EY21" s="10">
        <f t="shared" ref="EY21:EY31" si="284">SUM(EO21:ET21)</f>
        <v>363</v>
      </c>
      <c r="EZ21" s="14">
        <f t="shared" ref="EZ21:EZ31" si="285">EX21/EU21</f>
        <v>0.50375939849624063</v>
      </c>
      <c r="FA21" s="14">
        <f t="shared" ref="FA21:FA31" si="286">EY21/EU21</f>
        <v>0.3032581453634085</v>
      </c>
      <c r="FB21" s="10">
        <f>SUM(ED21:EG21)</f>
        <v>185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33</v>
      </c>
      <c r="EA22" s="16">
        <f t="shared" ref="EA22:ET22" si="287">EA20+EA21</f>
        <v>48</v>
      </c>
      <c r="EB22" s="16">
        <f t="shared" si="287"/>
        <v>64</v>
      </c>
      <c r="EC22" s="16">
        <f t="shared" si="287"/>
        <v>62</v>
      </c>
      <c r="ED22" s="16">
        <f t="shared" si="287"/>
        <v>44</v>
      </c>
      <c r="EE22" s="16">
        <f t="shared" si="287"/>
        <v>100</v>
      </c>
      <c r="EF22" s="16">
        <f t="shared" si="287"/>
        <v>106</v>
      </c>
      <c r="EG22" s="16">
        <f t="shared" si="287"/>
        <v>124</v>
      </c>
      <c r="EH22" s="16">
        <f t="shared" si="287"/>
        <v>91</v>
      </c>
      <c r="EI22" s="16">
        <f t="shared" si="287"/>
        <v>105</v>
      </c>
      <c r="EJ22" s="16">
        <f t="shared" si="287"/>
        <v>125</v>
      </c>
      <c r="EK22" s="16">
        <f t="shared" si="287"/>
        <v>109</v>
      </c>
      <c r="EL22" s="16">
        <f t="shared" si="287"/>
        <v>168</v>
      </c>
      <c r="EM22" s="16">
        <f t="shared" si="287"/>
        <v>218</v>
      </c>
      <c r="EN22" s="16">
        <f t="shared" si="287"/>
        <v>263</v>
      </c>
      <c r="EO22" s="16">
        <f t="shared" si="287"/>
        <v>213</v>
      </c>
      <c r="EP22" s="16">
        <f t="shared" si="287"/>
        <v>145</v>
      </c>
      <c r="EQ22" s="16">
        <f t="shared" si="287"/>
        <v>133</v>
      </c>
      <c r="ER22" s="16">
        <f t="shared" si="287"/>
        <v>82</v>
      </c>
      <c r="ES22" s="16">
        <f t="shared" si="287"/>
        <v>36</v>
      </c>
      <c r="ET22" s="16">
        <f t="shared" si="287"/>
        <v>0</v>
      </c>
      <c r="EU22" s="11">
        <f>SUM(DZ22:ET22)</f>
        <v>2269</v>
      </c>
      <c r="EV22" s="11">
        <f t="shared" si="282"/>
        <v>67.2</v>
      </c>
      <c r="EW22" s="11">
        <f t="shared" si="283"/>
        <v>38</v>
      </c>
      <c r="EX22" s="11">
        <f t="shared" si="280"/>
        <v>1090</v>
      </c>
      <c r="EY22" s="11">
        <f t="shared" si="284"/>
        <v>609</v>
      </c>
      <c r="EZ22" s="15">
        <f t="shared" si="285"/>
        <v>0.48038783605112384</v>
      </c>
      <c r="FA22" s="15">
        <f t="shared" si="286"/>
        <v>0.26840017628911417</v>
      </c>
      <c r="FB22" s="11">
        <f>SUM(ED22:EG22)</f>
        <v>374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43</v>
      </c>
      <c r="EA23" s="9">
        <f t="shared" si="288"/>
        <v>20</v>
      </c>
      <c r="EB23" s="9">
        <f t="shared" si="288"/>
        <v>25</v>
      </c>
      <c r="EC23" s="9">
        <f t="shared" si="288"/>
        <v>26</v>
      </c>
      <c r="ED23" s="9">
        <f t="shared" si="288"/>
        <v>16</v>
      </c>
      <c r="EE23" s="9">
        <f t="shared" si="288"/>
        <v>45</v>
      </c>
      <c r="EF23" s="9">
        <f t="shared" si="288"/>
        <v>79</v>
      </c>
      <c r="EG23" s="9">
        <f t="shared" si="288"/>
        <v>81</v>
      </c>
      <c r="EH23" s="9">
        <f t="shared" si="288"/>
        <v>68</v>
      </c>
      <c r="EI23" s="9">
        <f t="shared" si="288"/>
        <v>50</v>
      </c>
      <c r="EJ23" s="9">
        <f t="shared" si="288"/>
        <v>54</v>
      </c>
      <c r="EK23" s="9">
        <f t="shared" si="288"/>
        <v>59</v>
      </c>
      <c r="EL23" s="9">
        <f t="shared" si="288"/>
        <v>48</v>
      </c>
      <c r="EM23" s="9">
        <f t="shared" si="288"/>
        <v>76</v>
      </c>
      <c r="EN23" s="9">
        <f t="shared" si="288"/>
        <v>100</v>
      </c>
      <c r="EO23" s="9">
        <f t="shared" si="288"/>
        <v>102</v>
      </c>
      <c r="EP23" s="9">
        <f t="shared" si="288"/>
        <v>86</v>
      </c>
      <c r="EQ23" s="9">
        <f t="shared" si="288"/>
        <v>42</v>
      </c>
      <c r="ER23" s="9">
        <f t="shared" si="288"/>
        <v>19</v>
      </c>
      <c r="ES23" s="9">
        <f t="shared" si="288"/>
        <v>8</v>
      </c>
      <c r="ET23" s="9">
        <f t="shared" si="288"/>
        <v>0</v>
      </c>
      <c r="EU23" s="9">
        <f t="shared" ref="EU23:EU31" si="289">SUM(DZ23:ET23)</f>
        <v>1047</v>
      </c>
      <c r="EV23" s="9">
        <f t="shared" si="282"/>
        <v>27</v>
      </c>
      <c r="EW23" s="9">
        <f t="shared" si="283"/>
        <v>15.2</v>
      </c>
      <c r="EX23" s="9">
        <f t="shared" si="280"/>
        <v>433</v>
      </c>
      <c r="EY23" s="9">
        <f t="shared" si="284"/>
        <v>257</v>
      </c>
      <c r="EZ23" s="13">
        <f t="shared" si="285"/>
        <v>0.41356255969436484</v>
      </c>
      <c r="FA23" s="13">
        <f t="shared" si="286"/>
        <v>0.24546322827125119</v>
      </c>
      <c r="FB23" s="9">
        <f t="shared" ref="FB23:FB31" si="290">SUM(ED23:EG23)</f>
        <v>221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31</v>
      </c>
      <c r="EA24" s="10">
        <f t="shared" si="291"/>
        <v>16</v>
      </c>
      <c r="EB24" s="10">
        <f t="shared" si="291"/>
        <v>23</v>
      </c>
      <c r="EC24" s="10">
        <f t="shared" si="291"/>
        <v>28</v>
      </c>
      <c r="ED24" s="10">
        <f t="shared" si="291"/>
        <v>20</v>
      </c>
      <c r="EE24" s="10">
        <f t="shared" si="291"/>
        <v>46</v>
      </c>
      <c r="EF24" s="10">
        <f t="shared" si="291"/>
        <v>69</v>
      </c>
      <c r="EG24" s="10">
        <f t="shared" si="291"/>
        <v>79</v>
      </c>
      <c r="EH24" s="10">
        <f t="shared" si="291"/>
        <v>63</v>
      </c>
      <c r="EI24" s="10">
        <f t="shared" si="291"/>
        <v>40</v>
      </c>
      <c r="EJ24" s="10">
        <f t="shared" si="291"/>
        <v>50</v>
      </c>
      <c r="EK24" s="10">
        <f t="shared" si="291"/>
        <v>68</v>
      </c>
      <c r="EL24" s="10">
        <f t="shared" si="291"/>
        <v>61</v>
      </c>
      <c r="EM24" s="10">
        <f t="shared" si="291"/>
        <v>92</v>
      </c>
      <c r="EN24" s="10">
        <f t="shared" si="291"/>
        <v>102</v>
      </c>
      <c r="EO24" s="10">
        <f t="shared" si="291"/>
        <v>127</v>
      </c>
      <c r="EP24" s="10">
        <f t="shared" si="291"/>
        <v>93</v>
      </c>
      <c r="EQ24" s="10">
        <f t="shared" si="291"/>
        <v>64</v>
      </c>
      <c r="ER24" s="10">
        <f t="shared" si="291"/>
        <v>49</v>
      </c>
      <c r="ES24" s="10">
        <f t="shared" si="291"/>
        <v>29</v>
      </c>
      <c r="ET24" s="10">
        <f t="shared" si="291"/>
        <v>1</v>
      </c>
      <c r="EU24" s="10">
        <f t="shared" si="289"/>
        <v>1151</v>
      </c>
      <c r="EV24" s="10">
        <f t="shared" si="282"/>
        <v>23.4</v>
      </c>
      <c r="EW24" s="10">
        <f t="shared" si="283"/>
        <v>14.799999999999999</v>
      </c>
      <c r="EX24" s="10">
        <f t="shared" si="280"/>
        <v>557</v>
      </c>
      <c r="EY24" s="10">
        <f t="shared" si="284"/>
        <v>363</v>
      </c>
      <c r="EZ24" s="14">
        <f t="shared" si="285"/>
        <v>0.48392701998262383</v>
      </c>
      <c r="FA24" s="14">
        <f t="shared" si="286"/>
        <v>0.315377932232841</v>
      </c>
      <c r="FB24" s="10">
        <f t="shared" si="290"/>
        <v>214</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74</v>
      </c>
      <c r="EA25" s="16">
        <f t="shared" ref="EA25:ET25" si="292">EA23+EA24</f>
        <v>36</v>
      </c>
      <c r="EB25" s="16">
        <f t="shared" si="292"/>
        <v>48</v>
      </c>
      <c r="EC25" s="16">
        <f t="shared" si="292"/>
        <v>54</v>
      </c>
      <c r="ED25" s="16">
        <f t="shared" si="292"/>
        <v>36</v>
      </c>
      <c r="EE25" s="16">
        <f t="shared" si="292"/>
        <v>91</v>
      </c>
      <c r="EF25" s="16">
        <f t="shared" si="292"/>
        <v>148</v>
      </c>
      <c r="EG25" s="16">
        <f t="shared" si="292"/>
        <v>160</v>
      </c>
      <c r="EH25" s="16">
        <f t="shared" si="292"/>
        <v>131</v>
      </c>
      <c r="EI25" s="16">
        <f t="shared" si="292"/>
        <v>90</v>
      </c>
      <c r="EJ25" s="16">
        <f t="shared" si="292"/>
        <v>104</v>
      </c>
      <c r="EK25" s="16">
        <f t="shared" si="292"/>
        <v>127</v>
      </c>
      <c r="EL25" s="16">
        <f t="shared" si="292"/>
        <v>109</v>
      </c>
      <c r="EM25" s="16">
        <f t="shared" si="292"/>
        <v>168</v>
      </c>
      <c r="EN25" s="16">
        <f t="shared" si="292"/>
        <v>202</v>
      </c>
      <c r="EO25" s="16">
        <f t="shared" si="292"/>
        <v>229</v>
      </c>
      <c r="EP25" s="16">
        <f t="shared" si="292"/>
        <v>179</v>
      </c>
      <c r="EQ25" s="16">
        <f t="shared" si="292"/>
        <v>106</v>
      </c>
      <c r="ER25" s="16">
        <f t="shared" si="292"/>
        <v>68</v>
      </c>
      <c r="ES25" s="16">
        <f t="shared" si="292"/>
        <v>37</v>
      </c>
      <c r="ET25" s="16">
        <f t="shared" si="292"/>
        <v>1</v>
      </c>
      <c r="EU25" s="11">
        <f t="shared" si="289"/>
        <v>2198</v>
      </c>
      <c r="EV25" s="11">
        <f t="shared" si="282"/>
        <v>50.400000000000006</v>
      </c>
      <c r="EW25" s="11">
        <f t="shared" si="283"/>
        <v>30</v>
      </c>
      <c r="EX25" s="11">
        <f t="shared" si="280"/>
        <v>990</v>
      </c>
      <c r="EY25" s="11">
        <f t="shared" si="284"/>
        <v>620</v>
      </c>
      <c r="EZ25" s="15">
        <f t="shared" si="285"/>
        <v>0.45040946314831665</v>
      </c>
      <c r="FA25" s="15">
        <f t="shared" si="286"/>
        <v>0.28207461328480438</v>
      </c>
      <c r="FB25" s="11">
        <f t="shared" si="290"/>
        <v>435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45</v>
      </c>
      <c r="EA26" s="9">
        <f t="shared" si="293"/>
        <v>45</v>
      </c>
      <c r="EB26" s="9">
        <f t="shared" si="293"/>
        <v>19</v>
      </c>
      <c r="EC26" s="9">
        <f t="shared" si="293"/>
        <v>20</v>
      </c>
      <c r="ED26" s="9">
        <f t="shared" si="293"/>
        <v>15</v>
      </c>
      <c r="EE26" s="9">
        <f t="shared" si="293"/>
        <v>42</v>
      </c>
      <c r="EF26" s="9">
        <f t="shared" si="293"/>
        <v>72</v>
      </c>
      <c r="EG26" s="9">
        <f t="shared" si="293"/>
        <v>101</v>
      </c>
      <c r="EH26" s="9">
        <f t="shared" si="293"/>
        <v>89</v>
      </c>
      <c r="EI26" s="9">
        <f t="shared" si="293"/>
        <v>66</v>
      </c>
      <c r="EJ26" s="9">
        <f t="shared" si="293"/>
        <v>48</v>
      </c>
      <c r="EK26" s="9">
        <f t="shared" si="293"/>
        <v>54</v>
      </c>
      <c r="EL26" s="9">
        <f t="shared" si="293"/>
        <v>59</v>
      </c>
      <c r="EM26" s="9">
        <f t="shared" si="293"/>
        <v>48</v>
      </c>
      <c r="EN26" s="9">
        <f t="shared" si="293"/>
        <v>68</v>
      </c>
      <c r="EO26" s="9">
        <f t="shared" si="293"/>
        <v>79</v>
      </c>
      <c r="EP26" s="9">
        <f t="shared" si="293"/>
        <v>86</v>
      </c>
      <c r="EQ26" s="9">
        <f t="shared" si="293"/>
        <v>57</v>
      </c>
      <c r="ER26" s="9">
        <f t="shared" si="293"/>
        <v>17</v>
      </c>
      <c r="ES26" s="9">
        <f t="shared" si="293"/>
        <v>6</v>
      </c>
      <c r="ET26" s="9">
        <f t="shared" si="293"/>
        <v>0</v>
      </c>
      <c r="EU26" s="9">
        <f t="shared" si="289"/>
        <v>1036</v>
      </c>
      <c r="EV26" s="9">
        <f t="shared" si="282"/>
        <v>38.4</v>
      </c>
      <c r="EW26" s="9">
        <f t="shared" si="283"/>
        <v>11.6</v>
      </c>
      <c r="EX26" s="9">
        <f t="shared" si="280"/>
        <v>361</v>
      </c>
      <c r="EY26" s="9">
        <f t="shared" si="284"/>
        <v>245</v>
      </c>
      <c r="EZ26" s="13">
        <f t="shared" si="285"/>
        <v>0.34845559845559848</v>
      </c>
      <c r="FA26" s="13">
        <f t="shared" si="286"/>
        <v>0.23648648648648649</v>
      </c>
      <c r="FB26" s="9">
        <f t="shared" si="290"/>
        <v>230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32</v>
      </c>
      <c r="EA27" s="10">
        <f t="shared" si="294"/>
        <v>37</v>
      </c>
      <c r="EB27" s="10">
        <f t="shared" si="294"/>
        <v>18</v>
      </c>
      <c r="EC27" s="10">
        <f t="shared" si="294"/>
        <v>19</v>
      </c>
      <c r="ED27" s="10">
        <f t="shared" si="294"/>
        <v>16</v>
      </c>
      <c r="EE27" s="10">
        <f t="shared" si="294"/>
        <v>43</v>
      </c>
      <c r="EF27" s="10">
        <f t="shared" si="294"/>
        <v>67</v>
      </c>
      <c r="EG27" s="10">
        <f t="shared" si="294"/>
        <v>96</v>
      </c>
      <c r="EH27" s="10">
        <f t="shared" si="294"/>
        <v>80</v>
      </c>
      <c r="EI27" s="10">
        <f t="shared" si="294"/>
        <v>65</v>
      </c>
      <c r="EJ27" s="10">
        <f t="shared" si="294"/>
        <v>40</v>
      </c>
      <c r="EK27" s="10">
        <f t="shared" si="294"/>
        <v>52</v>
      </c>
      <c r="EL27" s="10">
        <f t="shared" si="294"/>
        <v>68</v>
      </c>
      <c r="EM27" s="10">
        <f t="shared" si="294"/>
        <v>62</v>
      </c>
      <c r="EN27" s="10">
        <f t="shared" si="294"/>
        <v>88</v>
      </c>
      <c r="EO27" s="10">
        <f t="shared" si="294"/>
        <v>96</v>
      </c>
      <c r="EP27" s="10">
        <f t="shared" si="294"/>
        <v>107</v>
      </c>
      <c r="EQ27" s="10">
        <f t="shared" si="294"/>
        <v>73</v>
      </c>
      <c r="ER27" s="10">
        <f t="shared" si="294"/>
        <v>36</v>
      </c>
      <c r="ES27" s="10">
        <f t="shared" si="294"/>
        <v>25</v>
      </c>
      <c r="ET27" s="10">
        <f t="shared" si="294"/>
        <v>1</v>
      </c>
      <c r="EU27" s="10">
        <f t="shared" si="289"/>
        <v>1121</v>
      </c>
      <c r="EV27" s="10">
        <f t="shared" si="282"/>
        <v>33</v>
      </c>
      <c r="EW27" s="10">
        <f t="shared" si="283"/>
        <v>11</v>
      </c>
      <c r="EX27" s="10">
        <f t="shared" si="280"/>
        <v>488</v>
      </c>
      <c r="EY27" s="10">
        <f t="shared" si="284"/>
        <v>338</v>
      </c>
      <c r="EZ27" s="14">
        <f t="shared" si="285"/>
        <v>0.43532560214094557</v>
      </c>
      <c r="FA27" s="14">
        <f t="shared" si="286"/>
        <v>0.30151650312221229</v>
      </c>
      <c r="FB27" s="10">
        <f t="shared" si="290"/>
        <v>222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77</v>
      </c>
      <c r="EA28" s="16">
        <f t="shared" ref="EA28:ET28" si="295">EA26+EA27</f>
        <v>82</v>
      </c>
      <c r="EB28" s="16">
        <f t="shared" si="295"/>
        <v>37</v>
      </c>
      <c r="EC28" s="16">
        <f t="shared" si="295"/>
        <v>39</v>
      </c>
      <c r="ED28" s="16">
        <f t="shared" si="295"/>
        <v>31</v>
      </c>
      <c r="EE28" s="16">
        <f t="shared" si="295"/>
        <v>85</v>
      </c>
      <c r="EF28" s="16">
        <f t="shared" si="295"/>
        <v>139</v>
      </c>
      <c r="EG28" s="16">
        <f t="shared" si="295"/>
        <v>197</v>
      </c>
      <c r="EH28" s="16">
        <f t="shared" si="295"/>
        <v>169</v>
      </c>
      <c r="EI28" s="16">
        <f t="shared" si="295"/>
        <v>131</v>
      </c>
      <c r="EJ28" s="16">
        <f t="shared" si="295"/>
        <v>88</v>
      </c>
      <c r="EK28" s="16">
        <f t="shared" si="295"/>
        <v>106</v>
      </c>
      <c r="EL28" s="16">
        <f t="shared" si="295"/>
        <v>127</v>
      </c>
      <c r="EM28" s="16">
        <f t="shared" si="295"/>
        <v>110</v>
      </c>
      <c r="EN28" s="16">
        <f t="shared" si="295"/>
        <v>156</v>
      </c>
      <c r="EO28" s="16">
        <f t="shared" si="295"/>
        <v>175</v>
      </c>
      <c r="EP28" s="16">
        <f t="shared" si="295"/>
        <v>193</v>
      </c>
      <c r="EQ28" s="16">
        <f t="shared" si="295"/>
        <v>130</v>
      </c>
      <c r="ER28" s="16">
        <f t="shared" si="295"/>
        <v>53</v>
      </c>
      <c r="ES28" s="16">
        <f t="shared" si="295"/>
        <v>31</v>
      </c>
      <c r="ET28" s="16">
        <f t="shared" si="295"/>
        <v>1</v>
      </c>
      <c r="EU28" s="11">
        <f t="shared" si="289"/>
        <v>2157</v>
      </c>
      <c r="EV28" s="11">
        <f t="shared" si="282"/>
        <v>71.400000000000006</v>
      </c>
      <c r="EW28" s="11">
        <f t="shared" si="283"/>
        <v>22.6</v>
      </c>
      <c r="EX28" s="11">
        <f t="shared" si="280"/>
        <v>849</v>
      </c>
      <c r="EY28" s="11">
        <f t="shared" si="284"/>
        <v>583</v>
      </c>
      <c r="EZ28" s="15">
        <f t="shared" si="285"/>
        <v>0.39360222531293465</v>
      </c>
      <c r="FA28" s="15">
        <f t="shared" si="286"/>
        <v>0.27028280018544276</v>
      </c>
      <c r="FB28" s="11">
        <f t="shared" si="290"/>
        <v>452</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43</v>
      </c>
      <c r="EA29" s="9">
        <f t="shared" si="296"/>
        <v>47</v>
      </c>
      <c r="EB29" s="9">
        <f t="shared" si="296"/>
        <v>42</v>
      </c>
      <c r="EC29" s="9">
        <f t="shared" si="296"/>
        <v>16</v>
      </c>
      <c r="ED29" s="9">
        <f t="shared" si="296"/>
        <v>12</v>
      </c>
      <c r="EE29" s="9">
        <f t="shared" si="296"/>
        <v>42</v>
      </c>
      <c r="EF29" s="9">
        <f t="shared" si="296"/>
        <v>70</v>
      </c>
      <c r="EG29" s="9">
        <f t="shared" si="296"/>
        <v>95</v>
      </c>
      <c r="EH29" s="9">
        <f t="shared" si="296"/>
        <v>111</v>
      </c>
      <c r="EI29" s="9">
        <f t="shared" si="296"/>
        <v>86</v>
      </c>
      <c r="EJ29" s="9">
        <f t="shared" si="296"/>
        <v>63</v>
      </c>
      <c r="EK29" s="9">
        <f t="shared" si="296"/>
        <v>48</v>
      </c>
      <c r="EL29" s="9">
        <f t="shared" si="296"/>
        <v>54</v>
      </c>
      <c r="EM29" s="9">
        <f t="shared" si="296"/>
        <v>58</v>
      </c>
      <c r="EN29" s="9">
        <f t="shared" si="296"/>
        <v>43</v>
      </c>
      <c r="EO29" s="9">
        <f t="shared" si="296"/>
        <v>54</v>
      </c>
      <c r="EP29" s="9">
        <f t="shared" si="296"/>
        <v>67</v>
      </c>
      <c r="EQ29" s="9">
        <f t="shared" si="296"/>
        <v>57</v>
      </c>
      <c r="ER29" s="9">
        <f t="shared" si="296"/>
        <v>23</v>
      </c>
      <c r="ES29" s="9">
        <f t="shared" si="296"/>
        <v>6</v>
      </c>
      <c r="ET29" s="9">
        <f t="shared" si="296"/>
        <v>0</v>
      </c>
      <c r="EU29" s="9">
        <f t="shared" si="289"/>
        <v>1037</v>
      </c>
      <c r="EV29" s="9">
        <f t="shared" si="282"/>
        <v>53.4</v>
      </c>
      <c r="EW29" s="9">
        <f t="shared" si="283"/>
        <v>20</v>
      </c>
      <c r="EX29" s="9">
        <f t="shared" si="280"/>
        <v>308</v>
      </c>
      <c r="EY29" s="9">
        <f t="shared" si="284"/>
        <v>207</v>
      </c>
      <c r="EZ29" s="13">
        <f t="shared" si="285"/>
        <v>0.29701060752169722</v>
      </c>
      <c r="FA29" s="13">
        <f t="shared" si="286"/>
        <v>0.19961427193828352</v>
      </c>
      <c r="FB29" s="9">
        <f t="shared" si="290"/>
        <v>219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31</v>
      </c>
      <c r="EA30" s="10">
        <f t="shared" si="297"/>
        <v>39</v>
      </c>
      <c r="EB30" s="10">
        <f t="shared" si="297"/>
        <v>40</v>
      </c>
      <c r="EC30" s="10">
        <f t="shared" si="297"/>
        <v>15</v>
      </c>
      <c r="ED30" s="10">
        <f t="shared" si="297"/>
        <v>11</v>
      </c>
      <c r="EE30" s="10">
        <f t="shared" si="297"/>
        <v>40</v>
      </c>
      <c r="EF30" s="10">
        <f t="shared" si="297"/>
        <v>65</v>
      </c>
      <c r="EG30" s="10">
        <f t="shared" si="297"/>
        <v>95</v>
      </c>
      <c r="EH30" s="10">
        <f t="shared" si="297"/>
        <v>98</v>
      </c>
      <c r="EI30" s="10">
        <f t="shared" si="297"/>
        <v>82</v>
      </c>
      <c r="EJ30" s="10">
        <f t="shared" si="297"/>
        <v>65</v>
      </c>
      <c r="EK30" s="10">
        <f t="shared" si="297"/>
        <v>42</v>
      </c>
      <c r="EL30" s="10">
        <f t="shared" si="297"/>
        <v>52</v>
      </c>
      <c r="EM30" s="10">
        <f t="shared" si="297"/>
        <v>69</v>
      </c>
      <c r="EN30" s="10">
        <f t="shared" si="297"/>
        <v>59</v>
      </c>
      <c r="EO30" s="10">
        <f t="shared" si="297"/>
        <v>83</v>
      </c>
      <c r="EP30" s="10">
        <f t="shared" si="297"/>
        <v>81</v>
      </c>
      <c r="EQ30" s="10">
        <f t="shared" si="297"/>
        <v>84</v>
      </c>
      <c r="ER30" s="10">
        <f t="shared" si="297"/>
        <v>41</v>
      </c>
      <c r="ES30" s="10">
        <f t="shared" si="297"/>
        <v>18</v>
      </c>
      <c r="ET30" s="10">
        <f t="shared" si="297"/>
        <v>0</v>
      </c>
      <c r="EU30" s="10">
        <f t="shared" si="289"/>
        <v>1110</v>
      </c>
      <c r="EV30" s="10">
        <f t="shared" si="282"/>
        <v>47.4</v>
      </c>
      <c r="EW30" s="10">
        <f t="shared" si="283"/>
        <v>19</v>
      </c>
      <c r="EX30" s="10">
        <f t="shared" si="280"/>
        <v>435</v>
      </c>
      <c r="EY30" s="10">
        <f t="shared" si="284"/>
        <v>307</v>
      </c>
      <c r="EZ30" s="14">
        <f t="shared" si="285"/>
        <v>0.39189189189189189</v>
      </c>
      <c r="FA30" s="14">
        <f t="shared" si="286"/>
        <v>0.27657657657657658</v>
      </c>
      <c r="FB30" s="10">
        <f t="shared" si="290"/>
        <v>211</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74</v>
      </c>
      <c r="EA31" s="16">
        <f t="shared" ref="EA31:ET31" si="298">EA29+EA30</f>
        <v>86</v>
      </c>
      <c r="EB31" s="16">
        <f t="shared" si="298"/>
        <v>82</v>
      </c>
      <c r="EC31" s="16">
        <f t="shared" si="298"/>
        <v>31</v>
      </c>
      <c r="ED31" s="16">
        <f t="shared" si="298"/>
        <v>23</v>
      </c>
      <c r="EE31" s="16">
        <f t="shared" si="298"/>
        <v>82</v>
      </c>
      <c r="EF31" s="16">
        <f t="shared" si="298"/>
        <v>135</v>
      </c>
      <c r="EG31" s="16">
        <f t="shared" si="298"/>
        <v>190</v>
      </c>
      <c r="EH31" s="16">
        <f t="shared" si="298"/>
        <v>209</v>
      </c>
      <c r="EI31" s="16">
        <f t="shared" si="298"/>
        <v>168</v>
      </c>
      <c r="EJ31" s="16">
        <f t="shared" si="298"/>
        <v>128</v>
      </c>
      <c r="EK31" s="16">
        <f t="shared" si="298"/>
        <v>90</v>
      </c>
      <c r="EL31" s="16">
        <f t="shared" si="298"/>
        <v>106</v>
      </c>
      <c r="EM31" s="16">
        <f t="shared" si="298"/>
        <v>127</v>
      </c>
      <c r="EN31" s="16">
        <f t="shared" si="298"/>
        <v>102</v>
      </c>
      <c r="EO31" s="16">
        <f t="shared" si="298"/>
        <v>137</v>
      </c>
      <c r="EP31" s="16">
        <f t="shared" si="298"/>
        <v>148</v>
      </c>
      <c r="EQ31" s="16">
        <f t="shared" si="298"/>
        <v>141</v>
      </c>
      <c r="ER31" s="16">
        <f t="shared" si="298"/>
        <v>64</v>
      </c>
      <c r="ES31" s="16">
        <f t="shared" si="298"/>
        <v>24</v>
      </c>
      <c r="ET31" s="16">
        <f t="shared" si="298"/>
        <v>0</v>
      </c>
      <c r="EU31" s="11">
        <f t="shared" si="289"/>
        <v>2147</v>
      </c>
      <c r="EV31" s="11">
        <f t="shared" si="282"/>
        <v>100.80000000000001</v>
      </c>
      <c r="EW31" s="11">
        <f t="shared" si="283"/>
        <v>39</v>
      </c>
      <c r="EX31" s="11">
        <f t="shared" si="280"/>
        <v>743</v>
      </c>
      <c r="EY31" s="11">
        <f t="shared" si="284"/>
        <v>514</v>
      </c>
      <c r="EZ31" s="15">
        <f t="shared" si="285"/>
        <v>0.34606427573358173</v>
      </c>
      <c r="FA31" s="15">
        <f t="shared" si="286"/>
        <v>0.23940381928272009</v>
      </c>
      <c r="FB31" s="11">
        <f t="shared" si="290"/>
        <v>430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activeCell="B1" sqref="B1:B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1404</v>
      </c>
      <c r="D4" s="17">
        <f>SUM(C41:C61)</f>
        <v>1584</v>
      </c>
      <c r="E4" s="17">
        <f>C4+D4</f>
        <v>2988</v>
      </c>
      <c r="F4" s="85"/>
      <c r="G4" s="1" t="s">
        <v>58</v>
      </c>
      <c r="H4" s="1">
        <f>B4</f>
        <v>2010</v>
      </c>
      <c r="I4" s="17">
        <f>C4</f>
        <v>1404</v>
      </c>
      <c r="J4" s="17">
        <f>D4</f>
        <v>1584</v>
      </c>
      <c r="K4" s="17">
        <f>I4+J4</f>
        <v>2988</v>
      </c>
      <c r="N4" s="1" t="s">
        <v>58</v>
      </c>
      <c r="O4" s="1">
        <f>H4</f>
        <v>2010</v>
      </c>
      <c r="P4" s="17">
        <f>I4</f>
        <v>1404</v>
      </c>
      <c r="Q4" s="17">
        <f t="shared" ref="Q4:R4" si="0">J4</f>
        <v>1584</v>
      </c>
      <c r="R4" s="17">
        <f t="shared" si="0"/>
        <v>2988</v>
      </c>
      <c r="S4" s="1"/>
      <c r="T4" s="1"/>
      <c r="U4" s="1"/>
    </row>
    <row r="5" spans="1:21" x14ac:dyDescent="0.15">
      <c r="A5" s="1" t="s">
        <v>61</v>
      </c>
      <c r="B5" s="1">
        <f>管理者入力シート!B6</f>
        <v>2015</v>
      </c>
      <c r="C5" s="17">
        <f>SUM(B65:B85)</f>
        <v>1240</v>
      </c>
      <c r="D5" s="17">
        <f>SUM(C65:C85)</f>
        <v>1443</v>
      </c>
      <c r="E5" s="17">
        <f t="shared" ref="E5" si="1">C5+D5</f>
        <v>2683</v>
      </c>
      <c r="F5" s="85"/>
      <c r="G5" s="1" t="s">
        <v>57</v>
      </c>
      <c r="H5" s="1">
        <f t="shared" ref="H5:H6" si="2">B5</f>
        <v>2015</v>
      </c>
      <c r="I5" s="17">
        <f t="shared" ref="I5" si="3">C5</f>
        <v>1240</v>
      </c>
      <c r="J5" s="17">
        <f>D5</f>
        <v>1443</v>
      </c>
      <c r="K5" s="17">
        <f t="shared" ref="K5:K10" si="4">I5+J5</f>
        <v>2683</v>
      </c>
      <c r="N5" s="1" t="s">
        <v>57</v>
      </c>
      <c r="O5" s="1">
        <f t="shared" ref="O5:O10" si="5">H5</f>
        <v>2015</v>
      </c>
      <c r="P5" s="17">
        <f t="shared" ref="P5:P10" si="6">I5</f>
        <v>1240</v>
      </c>
      <c r="Q5" s="17">
        <f t="shared" ref="Q5:Q10" si="7">J5</f>
        <v>1443</v>
      </c>
      <c r="R5" s="17">
        <f t="shared" ref="R5:R10" si="8">K5</f>
        <v>2683</v>
      </c>
      <c r="S5" s="1"/>
      <c r="T5" s="1"/>
      <c r="U5" s="1"/>
    </row>
    <row r="6" spans="1:21" x14ac:dyDescent="0.15">
      <c r="A6" s="1" t="s">
        <v>62</v>
      </c>
      <c r="B6" s="1">
        <f>管理者入力シート!B5</f>
        <v>2020</v>
      </c>
      <c r="C6" s="17">
        <f>SUM(B89:B109)</f>
        <v>1131</v>
      </c>
      <c r="D6" s="17">
        <f>SUM(C89:C109)</f>
        <v>1268</v>
      </c>
      <c r="E6" s="17">
        <f>C6+D6</f>
        <v>2399</v>
      </c>
      <c r="F6" s="85"/>
      <c r="G6" s="1" t="s">
        <v>62</v>
      </c>
      <c r="H6" s="1">
        <f t="shared" si="2"/>
        <v>2020</v>
      </c>
      <c r="I6" s="17">
        <f>C6</f>
        <v>1131</v>
      </c>
      <c r="J6" s="17">
        <f>D6</f>
        <v>1268</v>
      </c>
      <c r="K6" s="17">
        <f t="shared" si="4"/>
        <v>2399</v>
      </c>
      <c r="N6" s="1" t="s">
        <v>62</v>
      </c>
      <c r="O6" s="1">
        <f t="shared" si="5"/>
        <v>2020</v>
      </c>
      <c r="P6" s="17">
        <f t="shared" si="6"/>
        <v>1131</v>
      </c>
      <c r="Q6" s="17">
        <f t="shared" si="7"/>
        <v>1268</v>
      </c>
      <c r="R6" s="17">
        <f t="shared" si="8"/>
        <v>2399</v>
      </c>
      <c r="S6" s="1"/>
      <c r="T6" s="1"/>
      <c r="U6" s="1"/>
    </row>
    <row r="7" spans="1:21" x14ac:dyDescent="0.15">
      <c r="G7" s="1" t="s">
        <v>106</v>
      </c>
      <c r="H7" s="1">
        <f>管理者入力シート!B8</f>
        <v>2025</v>
      </c>
      <c r="I7" s="17">
        <f>SUM(H69:H89)</f>
        <v>982</v>
      </c>
      <c r="J7" s="17">
        <f>SUM(I69:I89)</f>
        <v>1107</v>
      </c>
      <c r="K7" s="17">
        <f t="shared" si="4"/>
        <v>2089</v>
      </c>
      <c r="N7" s="1" t="s">
        <v>106</v>
      </c>
      <c r="O7" s="1">
        <f t="shared" si="5"/>
        <v>2025</v>
      </c>
      <c r="P7" s="17">
        <f t="shared" si="6"/>
        <v>982</v>
      </c>
      <c r="Q7" s="17">
        <f t="shared" si="7"/>
        <v>1107</v>
      </c>
      <c r="R7" s="17">
        <f t="shared" si="8"/>
        <v>2089</v>
      </c>
      <c r="S7" s="236">
        <f>SUM(O69:O89)</f>
        <v>986</v>
      </c>
      <c r="T7" s="236">
        <f>SUM(P69:P89)</f>
        <v>1112</v>
      </c>
      <c r="U7" s="236">
        <f>S7+T7</f>
        <v>2098</v>
      </c>
    </row>
    <row r="8" spans="1:21" x14ac:dyDescent="0.15">
      <c r="A8" s="69" t="s">
        <v>71</v>
      </c>
      <c r="G8" s="1" t="s">
        <v>107</v>
      </c>
      <c r="H8" s="1">
        <f>管理者入力シート!B9</f>
        <v>2030</v>
      </c>
      <c r="I8" s="17">
        <f>SUM(H93:H113)</f>
        <v>840</v>
      </c>
      <c r="J8" s="17">
        <f>SUM(I93:I113)</f>
        <v>955</v>
      </c>
      <c r="K8" s="17">
        <f t="shared" si="4"/>
        <v>1795</v>
      </c>
      <c r="N8" s="1" t="s">
        <v>107</v>
      </c>
      <c r="O8" s="1">
        <f t="shared" si="5"/>
        <v>2030</v>
      </c>
      <c r="P8" s="17">
        <f t="shared" si="6"/>
        <v>840</v>
      </c>
      <c r="Q8" s="17">
        <f t="shared" si="7"/>
        <v>955</v>
      </c>
      <c r="R8" s="17">
        <f t="shared" si="8"/>
        <v>1795</v>
      </c>
      <c r="S8" s="236">
        <f>SUM(O93:O113)</f>
        <v>849</v>
      </c>
      <c r="T8" s="236">
        <f>SUM(P93:P113)</f>
        <v>967</v>
      </c>
      <c r="U8" s="236">
        <f t="shared" ref="U8:U10" si="9">S8+T8</f>
        <v>1816</v>
      </c>
    </row>
    <row r="9" spans="1:21" x14ac:dyDescent="0.15">
      <c r="A9" s="2" t="s">
        <v>72</v>
      </c>
      <c r="G9" s="1" t="s">
        <v>108</v>
      </c>
      <c r="H9" s="1">
        <f>管理者入力シート!B10</f>
        <v>2035</v>
      </c>
      <c r="I9" s="17">
        <f>SUM(H117:H137)</f>
        <v>707</v>
      </c>
      <c r="J9" s="17">
        <f>SUM(I117:I137)</f>
        <v>814</v>
      </c>
      <c r="K9" s="17">
        <f t="shared" si="4"/>
        <v>1521</v>
      </c>
      <c r="N9" s="1" t="s">
        <v>108</v>
      </c>
      <c r="O9" s="1">
        <f t="shared" si="5"/>
        <v>2035</v>
      </c>
      <c r="P9" s="17">
        <f t="shared" si="6"/>
        <v>707</v>
      </c>
      <c r="Q9" s="17">
        <f t="shared" si="7"/>
        <v>814</v>
      </c>
      <c r="R9" s="17">
        <f t="shared" si="8"/>
        <v>1521</v>
      </c>
      <c r="S9" s="236">
        <f>SUM(O117:O137)</f>
        <v>719</v>
      </c>
      <c r="T9" s="236">
        <f>SUM(P117:P137)</f>
        <v>829</v>
      </c>
      <c r="U9" s="236">
        <f t="shared" si="9"/>
        <v>1548</v>
      </c>
    </row>
    <row r="10" spans="1:21" x14ac:dyDescent="0.15">
      <c r="A10" s="1" t="s">
        <v>58</v>
      </c>
      <c r="B10" s="1">
        <f>B4</f>
        <v>2010</v>
      </c>
      <c r="C10" s="17">
        <f>ROUND(VLOOKUP(B10&amp;"_3",管理者用人口入力シート!A:AA,26,FALSE),0)</f>
        <v>119</v>
      </c>
      <c r="D10" s="12"/>
      <c r="E10" s="12"/>
      <c r="G10" s="1" t="s">
        <v>109</v>
      </c>
      <c r="H10" s="1">
        <f>管理者入力シート!B11</f>
        <v>2040</v>
      </c>
      <c r="I10" s="17">
        <f>SUM(H141:H161)</f>
        <v>589</v>
      </c>
      <c r="J10" s="17">
        <f>SUM(I141:I161)</f>
        <v>685</v>
      </c>
      <c r="K10" s="17">
        <f t="shared" si="4"/>
        <v>1274</v>
      </c>
      <c r="N10" s="1" t="s">
        <v>109</v>
      </c>
      <c r="O10" s="1">
        <f t="shared" si="5"/>
        <v>2040</v>
      </c>
      <c r="P10" s="17">
        <f t="shared" si="6"/>
        <v>589</v>
      </c>
      <c r="Q10" s="17">
        <f t="shared" si="7"/>
        <v>685</v>
      </c>
      <c r="R10" s="17">
        <f t="shared" si="8"/>
        <v>1274</v>
      </c>
      <c r="S10" s="236">
        <f>SUM(O141:O161)</f>
        <v>603</v>
      </c>
      <c r="T10" s="236">
        <f>SUM(P141:P161)</f>
        <v>708</v>
      </c>
      <c r="U10" s="236">
        <f t="shared" si="9"/>
        <v>1311</v>
      </c>
    </row>
    <row r="11" spans="1:21" x14ac:dyDescent="0.15">
      <c r="A11" s="1" t="s">
        <v>61</v>
      </c>
      <c r="B11" s="1">
        <f t="shared" ref="B11:B12" si="10">B5</f>
        <v>2015</v>
      </c>
      <c r="C11" s="17">
        <f>ROUND(VLOOKUP(B11&amp;"_3",管理者用人口入力シート!A:AA,26,FALSE),0)</f>
        <v>97</v>
      </c>
      <c r="D11" s="12"/>
      <c r="E11" s="12"/>
      <c r="I11" s="12"/>
      <c r="J11" s="12"/>
      <c r="K11" s="12"/>
      <c r="P11" s="12"/>
    </row>
    <row r="12" spans="1:21" x14ac:dyDescent="0.15">
      <c r="A12" s="1" t="s">
        <v>62</v>
      </c>
      <c r="B12" s="1">
        <f t="shared" si="10"/>
        <v>2020</v>
      </c>
      <c r="C12" s="17">
        <f>ROUND(VLOOKUP(B12&amp;"_3",管理者用人口入力シート!A:AA,26,FALSE),0)</f>
        <v>83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76</v>
      </c>
      <c r="D14" s="12"/>
      <c r="E14" s="12"/>
      <c r="G14" s="1" t="s">
        <v>58</v>
      </c>
      <c r="H14" s="1">
        <f>H4</f>
        <v>2010</v>
      </c>
      <c r="I14" s="17">
        <f>C10</f>
        <v>119</v>
      </c>
      <c r="J14" s="12"/>
      <c r="K14" s="12"/>
      <c r="N14" s="1" t="s">
        <v>58</v>
      </c>
      <c r="O14" s="1">
        <f>O4</f>
        <v>2010</v>
      </c>
      <c r="P14" s="17">
        <f>I14</f>
        <v>119</v>
      </c>
      <c r="Q14" s="17"/>
    </row>
    <row r="15" spans="1:21" x14ac:dyDescent="0.15">
      <c r="A15" s="1" t="s">
        <v>61</v>
      </c>
      <c r="B15" s="1">
        <f t="shared" ref="B15:B16" si="11">B5</f>
        <v>2015</v>
      </c>
      <c r="C15" s="17">
        <f>ROUND(VLOOKUP(B15&amp;"_3",管理者用人口入力シート!A:AA,27,FALSE),0)</f>
        <v>52</v>
      </c>
      <c r="D15" s="12"/>
      <c r="E15" s="12"/>
      <c r="G15" s="1" t="s">
        <v>57</v>
      </c>
      <c r="H15" s="1">
        <f t="shared" ref="H15:H20" si="12">H5</f>
        <v>2015</v>
      </c>
      <c r="I15" s="17">
        <f>C11</f>
        <v>97</v>
      </c>
      <c r="J15" s="12"/>
      <c r="K15" s="12"/>
      <c r="N15" s="1" t="s">
        <v>57</v>
      </c>
      <c r="O15" s="1">
        <f t="shared" ref="O15:O20" si="13">O5</f>
        <v>2015</v>
      </c>
      <c r="P15" s="17">
        <f t="shared" ref="P15:P20" si="14">I15</f>
        <v>97</v>
      </c>
      <c r="Q15" s="17"/>
    </row>
    <row r="16" spans="1:21" x14ac:dyDescent="0.15">
      <c r="A16" s="1" t="s">
        <v>62</v>
      </c>
      <c r="B16" s="1">
        <f t="shared" si="11"/>
        <v>2020</v>
      </c>
      <c r="C16" s="17">
        <f>ROUND(VLOOKUP(B16&amp;"_3",管理者用人口入力シート!A:AA,27,FALSE),0)</f>
        <v>45</v>
      </c>
      <c r="D16" s="12"/>
      <c r="E16" s="12"/>
      <c r="G16" s="1" t="s">
        <v>62</v>
      </c>
      <c r="H16" s="1">
        <f t="shared" si="12"/>
        <v>2020</v>
      </c>
      <c r="I16" s="17">
        <f>C12</f>
        <v>83</v>
      </c>
      <c r="J16" s="12"/>
      <c r="K16" s="12"/>
      <c r="N16" s="1" t="s">
        <v>62</v>
      </c>
      <c r="O16" s="1">
        <f t="shared" si="13"/>
        <v>2020</v>
      </c>
      <c r="P16" s="17">
        <f t="shared" si="14"/>
        <v>83</v>
      </c>
      <c r="Q16" s="17"/>
    </row>
    <row r="17" spans="1:17" x14ac:dyDescent="0.15">
      <c r="G17" s="1" t="s">
        <v>106</v>
      </c>
      <c r="H17" s="1">
        <f t="shared" si="12"/>
        <v>2025</v>
      </c>
      <c r="I17" s="17">
        <f>ROUND(VLOOKUP(H17&amp;"_3",管理者用人口入力シート!BH:CM,26,FALSE),0)</f>
        <v>67</v>
      </c>
      <c r="J17" s="12"/>
      <c r="K17" s="12"/>
      <c r="N17" s="1" t="s">
        <v>106</v>
      </c>
      <c r="O17" s="1">
        <f t="shared" si="13"/>
        <v>2025</v>
      </c>
      <c r="P17" s="17">
        <f t="shared" si="14"/>
        <v>67</v>
      </c>
      <c r="Q17" s="17">
        <f>ROUND(VLOOKUP(H17&amp;"_3",管理者用人口入力シート!CO:DT,26,FALSE),0)</f>
        <v>69</v>
      </c>
    </row>
    <row r="18" spans="1:17" x14ac:dyDescent="0.15">
      <c r="A18" s="69" t="s">
        <v>110</v>
      </c>
      <c r="G18" s="1" t="s">
        <v>107</v>
      </c>
      <c r="H18" s="1">
        <f t="shared" si="12"/>
        <v>2030</v>
      </c>
      <c r="I18" s="17">
        <f>ROUND(VLOOKUP(H18&amp;"_3",管理者用人口入力シート!BH:CM,26,FALSE),0)</f>
        <v>51</v>
      </c>
      <c r="J18" s="12"/>
      <c r="K18" s="12"/>
      <c r="N18" s="1" t="s">
        <v>107</v>
      </c>
      <c r="O18" s="1">
        <f t="shared" si="13"/>
        <v>2030</v>
      </c>
      <c r="P18" s="17">
        <f t="shared" si="14"/>
        <v>51</v>
      </c>
      <c r="Q18" s="17">
        <f>ROUND(VLOOKUP(H18&amp;"_3",管理者用人口入力シート!CO:DT,26,FALSE),0)</f>
        <v>53</v>
      </c>
    </row>
    <row r="19" spans="1:17" x14ac:dyDescent="0.15">
      <c r="A19" s="2" t="s">
        <v>84</v>
      </c>
      <c r="G19" s="1" t="s">
        <v>108</v>
      </c>
      <c r="H19" s="1">
        <f t="shared" si="12"/>
        <v>2035</v>
      </c>
      <c r="I19" s="17">
        <f>ROUND(VLOOKUP(H19&amp;"_3",管理者用人口入力シート!BH:CM,26,FALSE),0)</f>
        <v>38</v>
      </c>
      <c r="J19" s="12"/>
      <c r="K19" s="12"/>
      <c r="N19" s="1" t="s">
        <v>108</v>
      </c>
      <c r="O19" s="1">
        <f t="shared" si="13"/>
        <v>2035</v>
      </c>
      <c r="P19" s="17">
        <f t="shared" si="14"/>
        <v>38</v>
      </c>
      <c r="Q19" s="17">
        <f>ROUND(VLOOKUP(H19&amp;"_3",管理者用人口入力シート!CO:DT,26,FALSE),0)</f>
        <v>43</v>
      </c>
    </row>
    <row r="20" spans="1:17" x14ac:dyDescent="0.15">
      <c r="A20" s="1" t="s">
        <v>58</v>
      </c>
      <c r="B20" s="1">
        <f>B4</f>
        <v>2010</v>
      </c>
      <c r="C20" s="17">
        <f>SUM(B54:C61)</f>
        <v>1094</v>
      </c>
      <c r="D20" s="12"/>
      <c r="E20" s="12"/>
      <c r="G20" s="1" t="s">
        <v>109</v>
      </c>
      <c r="H20" s="1">
        <f t="shared" si="12"/>
        <v>2040</v>
      </c>
      <c r="I20" s="17">
        <f>ROUND(VLOOKUP(H20&amp;"_3",管理者用人口入力シート!BH:CM,26,FALSE),0)</f>
        <v>29</v>
      </c>
      <c r="J20" s="12"/>
      <c r="K20" s="12"/>
      <c r="N20" s="1" t="s">
        <v>109</v>
      </c>
      <c r="O20" s="1">
        <f t="shared" si="13"/>
        <v>2040</v>
      </c>
      <c r="P20" s="17">
        <f t="shared" si="14"/>
        <v>29</v>
      </c>
      <c r="Q20" s="17">
        <f>ROUND(VLOOKUP(H20&amp;"_3",管理者用人口入力シート!CO:DT,26,FALSE),0)</f>
        <v>35</v>
      </c>
    </row>
    <row r="21" spans="1:17" x14ac:dyDescent="0.15">
      <c r="A21" s="1" t="s">
        <v>61</v>
      </c>
      <c r="B21" s="1">
        <f t="shared" ref="B21:B22" si="15">B5</f>
        <v>2015</v>
      </c>
      <c r="C21" s="17">
        <f>SUM(B78:C85)</f>
        <v>1126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1156</v>
      </c>
      <c r="D22" s="12"/>
      <c r="E22" s="12"/>
      <c r="G22" s="1" t="s">
        <v>58</v>
      </c>
      <c r="H22" s="1">
        <f>H4</f>
        <v>2010</v>
      </c>
      <c r="I22" s="17">
        <f>C14</f>
        <v>76</v>
      </c>
      <c r="J22" s="12"/>
      <c r="K22" s="12"/>
      <c r="N22" s="1" t="s">
        <v>58</v>
      </c>
      <c r="O22" s="1">
        <f>O4</f>
        <v>2010</v>
      </c>
      <c r="P22" s="17">
        <f>I22</f>
        <v>76</v>
      </c>
      <c r="Q22" s="17"/>
    </row>
    <row r="23" spans="1:17" x14ac:dyDescent="0.15">
      <c r="A23" s="2" t="s">
        <v>86</v>
      </c>
      <c r="G23" s="1" t="s">
        <v>57</v>
      </c>
      <c r="H23" s="1">
        <f t="shared" ref="H23:H28" si="16">H5</f>
        <v>2015</v>
      </c>
      <c r="I23" s="17">
        <f t="shared" ref="I23:I24" si="17">C15</f>
        <v>52</v>
      </c>
      <c r="J23" s="12"/>
      <c r="K23" s="12"/>
      <c r="N23" s="1" t="s">
        <v>57</v>
      </c>
      <c r="O23" s="1">
        <f t="shared" ref="O23:O28" si="18">O5</f>
        <v>2015</v>
      </c>
      <c r="P23" s="17">
        <f t="shared" ref="P23:P28" si="19">I23</f>
        <v>52</v>
      </c>
      <c r="Q23" s="17"/>
    </row>
    <row r="24" spans="1:17" x14ac:dyDescent="0.15">
      <c r="A24" s="1" t="s">
        <v>58</v>
      </c>
      <c r="B24" s="1">
        <f>B4</f>
        <v>2010</v>
      </c>
      <c r="C24" s="17">
        <f>SUM(B56:C61)</f>
        <v>635</v>
      </c>
      <c r="D24" s="12"/>
      <c r="E24" s="12"/>
      <c r="G24" s="1" t="s">
        <v>62</v>
      </c>
      <c r="H24" s="1">
        <f t="shared" si="16"/>
        <v>2020</v>
      </c>
      <c r="I24" s="17">
        <f t="shared" si="17"/>
        <v>45</v>
      </c>
      <c r="J24" s="12"/>
      <c r="K24" s="12"/>
      <c r="N24" s="1" t="s">
        <v>62</v>
      </c>
      <c r="O24" s="1">
        <f t="shared" si="18"/>
        <v>2020</v>
      </c>
      <c r="P24" s="17">
        <f t="shared" si="19"/>
        <v>45</v>
      </c>
      <c r="Q24" s="17"/>
    </row>
    <row r="25" spans="1:17" x14ac:dyDescent="0.15">
      <c r="A25" s="1" t="s">
        <v>61</v>
      </c>
      <c r="B25" s="1">
        <f t="shared" ref="B25:B26" si="20">B5</f>
        <v>2015</v>
      </c>
      <c r="C25" s="17">
        <f>SUM(B80:C85)</f>
        <v>655</v>
      </c>
      <c r="D25" s="12"/>
      <c r="E25" s="12"/>
      <c r="G25" s="1" t="s">
        <v>106</v>
      </c>
      <c r="H25" s="1">
        <f t="shared" si="16"/>
        <v>2025</v>
      </c>
      <c r="I25" s="17">
        <f>ROUND(VLOOKUP(H25&amp;"_3",管理者用人口入力シート!BH:CM,27,FALSE),0)</f>
        <v>38</v>
      </c>
      <c r="J25" s="12"/>
      <c r="K25" s="12"/>
      <c r="N25" s="1" t="s">
        <v>106</v>
      </c>
      <c r="O25" s="1">
        <f t="shared" si="18"/>
        <v>2025</v>
      </c>
      <c r="P25" s="17">
        <f t="shared" si="19"/>
        <v>38</v>
      </c>
      <c r="Q25" s="17">
        <f>ROUND(VLOOKUP(H17&amp;"_3",管理者用人口入力シート!CO:DT,27,FALSE),0)</f>
        <v>39</v>
      </c>
    </row>
    <row r="26" spans="1:17" x14ac:dyDescent="0.15">
      <c r="A26" s="1" t="s">
        <v>62</v>
      </c>
      <c r="B26" s="1">
        <f t="shared" si="20"/>
        <v>2020</v>
      </c>
      <c r="C26" s="17">
        <f>SUM(B104:C109)</f>
        <v>624</v>
      </c>
      <c r="D26" s="12"/>
      <c r="E26" s="12"/>
      <c r="G26" s="1" t="s">
        <v>107</v>
      </c>
      <c r="H26" s="1">
        <f t="shared" si="16"/>
        <v>2030</v>
      </c>
      <c r="I26" s="17">
        <f>ROUND(VLOOKUP(H26&amp;"_3",管理者用人口入力シート!BH:CM,27,FALSE),0)</f>
        <v>30</v>
      </c>
      <c r="J26" s="12"/>
      <c r="K26" s="12"/>
      <c r="N26" s="1" t="s">
        <v>107</v>
      </c>
      <c r="O26" s="1">
        <f t="shared" si="18"/>
        <v>2030</v>
      </c>
      <c r="P26" s="17">
        <f t="shared" si="19"/>
        <v>30</v>
      </c>
      <c r="Q26" s="17">
        <f>ROUND(VLOOKUP(H18&amp;"_3",管理者用人口入力シート!CO:DT,27,FALSE),0)</f>
        <v>31</v>
      </c>
    </row>
    <row r="27" spans="1:17" x14ac:dyDescent="0.15">
      <c r="G27" s="1" t="s">
        <v>108</v>
      </c>
      <c r="H27" s="1">
        <f t="shared" si="16"/>
        <v>2035</v>
      </c>
      <c r="I27" s="17">
        <f>ROUND(VLOOKUP(H27&amp;"_3",管理者用人口入力シート!BH:CM,27,FALSE),0)</f>
        <v>23</v>
      </c>
      <c r="J27" s="12"/>
      <c r="K27" s="12"/>
      <c r="N27" s="1" t="s">
        <v>108</v>
      </c>
      <c r="O27" s="1">
        <f t="shared" si="18"/>
        <v>2035</v>
      </c>
      <c r="P27" s="17">
        <f t="shared" si="19"/>
        <v>23</v>
      </c>
      <c r="Q27" s="17">
        <f>ROUND(VLOOKUP(H19&amp;"_3",管理者用人口入力シート!CO:DT,27,FALSE),0)</f>
        <v>25</v>
      </c>
    </row>
    <row r="28" spans="1:17" x14ac:dyDescent="0.15">
      <c r="A28" s="69" t="s">
        <v>85</v>
      </c>
      <c r="G28" s="1" t="s">
        <v>109</v>
      </c>
      <c r="H28" s="1">
        <f t="shared" si="16"/>
        <v>2040</v>
      </c>
      <c r="I28" s="17">
        <f>ROUND(VLOOKUP(H28&amp;"_3",管理者用人口入力シート!BH:CM,27,FALSE),0)</f>
        <v>17</v>
      </c>
      <c r="J28" s="12"/>
      <c r="K28" s="12"/>
      <c r="N28" s="1" t="s">
        <v>109</v>
      </c>
      <c r="O28" s="1">
        <f t="shared" si="18"/>
        <v>2040</v>
      </c>
      <c r="P28" s="17">
        <f t="shared" si="19"/>
        <v>17</v>
      </c>
      <c r="Q28" s="17">
        <f>ROUND(VLOOKUP(H20&amp;"_3",管理者用人口入力シート!CO:DT,27,FALSE),0)</f>
        <v>20</v>
      </c>
    </row>
    <row r="29" spans="1:17" x14ac:dyDescent="0.15">
      <c r="A29" s="2" t="s">
        <v>84</v>
      </c>
    </row>
    <row r="30" spans="1:17" x14ac:dyDescent="0.15">
      <c r="A30" s="1" t="s">
        <v>58</v>
      </c>
      <c r="B30" s="1">
        <f>B4</f>
        <v>2010</v>
      </c>
      <c r="C30" s="38">
        <f>ROUND((SUM(B54:C61)/SUM(B41:C61)),2)</f>
        <v>0.37</v>
      </c>
      <c r="D30" s="205"/>
      <c r="E30" s="205"/>
      <c r="G30" s="69" t="s">
        <v>110</v>
      </c>
      <c r="N30" s="69" t="s">
        <v>110</v>
      </c>
    </row>
    <row r="31" spans="1:17" x14ac:dyDescent="0.15">
      <c r="A31" s="1" t="s">
        <v>61</v>
      </c>
      <c r="B31" s="1">
        <f t="shared" ref="B31:B32" si="21">B5</f>
        <v>2015</v>
      </c>
      <c r="C31" s="38">
        <f>ROUND((SUM(B78:C85)/SUM(B65:C85)),2)</f>
        <v>0.42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0.48</v>
      </c>
      <c r="D32" s="205"/>
      <c r="E32" s="205"/>
      <c r="G32" s="1" t="s">
        <v>58</v>
      </c>
      <c r="H32" s="1">
        <f>H4</f>
        <v>2010</v>
      </c>
      <c r="I32" s="17">
        <f>C20</f>
        <v>1094</v>
      </c>
      <c r="J32" s="12"/>
      <c r="K32" s="12"/>
      <c r="N32" s="1" t="s">
        <v>58</v>
      </c>
      <c r="O32" s="1">
        <f>O4</f>
        <v>2010</v>
      </c>
      <c r="P32" s="17">
        <f>I32</f>
        <v>1094</v>
      </c>
      <c r="Q32" s="17"/>
    </row>
    <row r="33" spans="1:17" x14ac:dyDescent="0.15">
      <c r="A33" s="2" t="s">
        <v>86</v>
      </c>
      <c r="G33" s="1" t="s">
        <v>57</v>
      </c>
      <c r="H33" s="1">
        <f t="shared" ref="H33:H38" si="22">H5</f>
        <v>2015</v>
      </c>
      <c r="I33" s="17">
        <f>C21</f>
        <v>1126</v>
      </c>
      <c r="J33" s="12"/>
      <c r="K33" s="12"/>
      <c r="N33" s="1" t="s">
        <v>57</v>
      </c>
      <c r="O33" s="1">
        <f t="shared" ref="O33:O38" si="23">O5</f>
        <v>2015</v>
      </c>
      <c r="P33" s="17">
        <f t="shared" ref="P33:P38" si="24">I33</f>
        <v>1126</v>
      </c>
      <c r="Q33" s="17"/>
    </row>
    <row r="34" spans="1:17" x14ac:dyDescent="0.15">
      <c r="A34" s="1" t="s">
        <v>58</v>
      </c>
      <c r="B34" s="1">
        <f>B4</f>
        <v>2010</v>
      </c>
      <c r="C34" s="38">
        <f>ROUND((SUM(B56:C61)/SUM(B41:C61)),2)</f>
        <v>0.21</v>
      </c>
      <c r="D34" s="205"/>
      <c r="E34" s="205"/>
      <c r="G34" s="1" t="s">
        <v>62</v>
      </c>
      <c r="H34" s="1">
        <f t="shared" si="22"/>
        <v>2020</v>
      </c>
      <c r="I34" s="17">
        <f>C22</f>
        <v>1156</v>
      </c>
      <c r="J34" s="12"/>
      <c r="K34" s="12"/>
      <c r="N34" s="1" t="s">
        <v>62</v>
      </c>
      <c r="O34" s="1">
        <f t="shared" si="23"/>
        <v>2020</v>
      </c>
      <c r="P34" s="17">
        <f t="shared" si="24"/>
        <v>1156</v>
      </c>
      <c r="Q34" s="17"/>
    </row>
    <row r="35" spans="1:17" x14ac:dyDescent="0.15">
      <c r="A35" s="1" t="s">
        <v>61</v>
      </c>
      <c r="B35" s="1">
        <f t="shared" ref="B35:B36" si="25">B5</f>
        <v>2015</v>
      </c>
      <c r="C35" s="38">
        <f>ROUND((SUM(B80:C85)/SUM(B65:C85)),2)</f>
        <v>0.24</v>
      </c>
      <c r="D35" s="205"/>
      <c r="E35" s="205"/>
      <c r="G35" s="1" t="s">
        <v>106</v>
      </c>
      <c r="H35" s="1">
        <f t="shared" si="22"/>
        <v>2025</v>
      </c>
      <c r="I35" s="17">
        <f>SUM(H82:I89)</f>
        <v>1090</v>
      </c>
      <c r="J35" s="12"/>
      <c r="K35" s="12"/>
      <c r="N35" s="1" t="s">
        <v>106</v>
      </c>
      <c r="O35" s="1">
        <f t="shared" si="23"/>
        <v>2025</v>
      </c>
      <c r="P35" s="17">
        <f t="shared" si="24"/>
        <v>1090</v>
      </c>
      <c r="Q35" s="17">
        <f>SUM(O82:P89)</f>
        <v>1090</v>
      </c>
    </row>
    <row r="36" spans="1:17" x14ac:dyDescent="0.15">
      <c r="A36" s="1" t="s">
        <v>62</v>
      </c>
      <c r="B36" s="1">
        <f t="shared" si="25"/>
        <v>2020</v>
      </c>
      <c r="C36" s="38">
        <f>ROUND((SUM(B104:C109)/SUM(B89:C109)),2)</f>
        <v>0.26</v>
      </c>
      <c r="D36" s="205"/>
      <c r="E36" s="205"/>
      <c r="G36" s="1" t="s">
        <v>107</v>
      </c>
      <c r="H36" s="1">
        <f t="shared" si="22"/>
        <v>2030</v>
      </c>
      <c r="I36" s="17">
        <f>SUM(H106:I113)</f>
        <v>990</v>
      </c>
      <c r="J36" s="12"/>
      <c r="K36" s="12"/>
      <c r="N36" s="1" t="s">
        <v>107</v>
      </c>
      <c r="O36" s="1">
        <f t="shared" si="23"/>
        <v>2030</v>
      </c>
      <c r="P36" s="17">
        <f t="shared" si="24"/>
        <v>990</v>
      </c>
      <c r="Q36" s="17">
        <f>SUM(O106:P113)</f>
        <v>990</v>
      </c>
    </row>
    <row r="37" spans="1:17" x14ac:dyDescent="0.15">
      <c r="G37" s="1" t="s">
        <v>108</v>
      </c>
      <c r="H37" s="1">
        <f t="shared" si="22"/>
        <v>2035</v>
      </c>
      <c r="I37" s="17">
        <f>SUM(H130:I137)</f>
        <v>849</v>
      </c>
      <c r="J37" s="12"/>
      <c r="K37" s="12"/>
      <c r="N37" s="1" t="s">
        <v>108</v>
      </c>
      <c r="O37" s="1">
        <f t="shared" si="23"/>
        <v>2035</v>
      </c>
      <c r="P37" s="17">
        <f t="shared" si="24"/>
        <v>849</v>
      </c>
      <c r="Q37" s="17">
        <f>SUM(O130:P137)</f>
        <v>849</v>
      </c>
    </row>
    <row r="38" spans="1:17" x14ac:dyDescent="0.15">
      <c r="A38" s="69" t="s">
        <v>113</v>
      </c>
      <c r="G38" s="1" t="s">
        <v>109</v>
      </c>
      <c r="H38" s="1">
        <f t="shared" si="22"/>
        <v>2040</v>
      </c>
      <c r="I38" s="17">
        <f>SUM(H154:I161)</f>
        <v>743</v>
      </c>
      <c r="J38" s="12"/>
      <c r="K38" s="12"/>
      <c r="N38" s="1" t="s">
        <v>109</v>
      </c>
      <c r="O38" s="1">
        <f t="shared" si="23"/>
        <v>2040</v>
      </c>
      <c r="P38" s="17">
        <f t="shared" si="24"/>
        <v>743</v>
      </c>
      <c r="Q38" s="17">
        <f>SUM(O154:P161)</f>
        <v>743</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635</v>
      </c>
      <c r="J40" s="12"/>
      <c r="K40" s="12"/>
      <c r="N40" s="1" t="s">
        <v>58</v>
      </c>
      <c r="O40" s="1">
        <f>O4</f>
        <v>2010</v>
      </c>
      <c r="P40" s="17">
        <f>I40</f>
        <v>635</v>
      </c>
      <c r="Q40" s="17"/>
    </row>
    <row r="41" spans="1:17" x14ac:dyDescent="0.15">
      <c r="A41" s="2" t="s">
        <v>0</v>
      </c>
      <c r="B41" s="17">
        <f>ROUND(VLOOKUP(B$39&amp;"_1",管理者用人口入力シート!A:X,D41,FALSE),0)</f>
        <v>41</v>
      </c>
      <c r="C41" s="17">
        <f>ROUND(VLOOKUP(B$39&amp;"_2",管理者用人口入力シート!A:X,D41,FALSE),0)</f>
        <v>31</v>
      </c>
      <c r="D41" s="2">
        <v>4</v>
      </c>
      <c r="G41" s="1" t="s">
        <v>57</v>
      </c>
      <c r="H41" s="1">
        <f t="shared" ref="H41:H46" si="26">H5</f>
        <v>2015</v>
      </c>
      <c r="I41" s="17">
        <f>C25</f>
        <v>655</v>
      </c>
      <c r="J41" s="12"/>
      <c r="K41" s="12"/>
      <c r="N41" s="1" t="s">
        <v>57</v>
      </c>
      <c r="O41" s="1">
        <f t="shared" ref="O41:O46" si="27">O5</f>
        <v>2015</v>
      </c>
      <c r="P41" s="17">
        <f t="shared" ref="P41:P46" si="28">I41</f>
        <v>655</v>
      </c>
      <c r="Q41" s="17"/>
    </row>
    <row r="42" spans="1:17" x14ac:dyDescent="0.15">
      <c r="A42" s="2" t="s">
        <v>1</v>
      </c>
      <c r="B42" s="17">
        <f>ROUND(VLOOKUP(B$39&amp;"_1",管理者用人口入力シート!A:X,D42,FALSE),0)</f>
        <v>40</v>
      </c>
      <c r="C42" s="17">
        <f>ROUND(VLOOKUP(B$39&amp;"_2",管理者用人口入力シート!A:X,D42,FALSE),0)</f>
        <v>41</v>
      </c>
      <c r="D42" s="2">
        <v>5</v>
      </c>
      <c r="G42" s="1" t="s">
        <v>62</v>
      </c>
      <c r="H42" s="1">
        <f t="shared" si="26"/>
        <v>2020</v>
      </c>
      <c r="I42" s="17">
        <f>C26</f>
        <v>624</v>
      </c>
      <c r="J42" s="12"/>
      <c r="K42" s="12"/>
      <c r="N42" s="1" t="s">
        <v>62</v>
      </c>
      <c r="O42" s="1">
        <f t="shared" si="27"/>
        <v>2020</v>
      </c>
      <c r="P42" s="17">
        <f t="shared" si="28"/>
        <v>624</v>
      </c>
      <c r="Q42" s="17"/>
    </row>
    <row r="43" spans="1:17" x14ac:dyDescent="0.15">
      <c r="A43" s="2" t="s">
        <v>2</v>
      </c>
      <c r="B43" s="17">
        <f>ROUND(VLOOKUP(B$39&amp;"_1",管理者用人口入力シート!A:X,D43,FALSE),0)</f>
        <v>49</v>
      </c>
      <c r="C43" s="17">
        <f>ROUND(VLOOKUP(B$39&amp;"_2",管理者用人口入力シート!A:X,D43,FALSE),0)</f>
        <v>68</v>
      </c>
      <c r="D43" s="2">
        <v>6</v>
      </c>
      <c r="G43" s="1" t="s">
        <v>106</v>
      </c>
      <c r="H43" s="1">
        <f t="shared" si="26"/>
        <v>2025</v>
      </c>
      <c r="I43" s="17">
        <f>SUM(H84:I89)</f>
        <v>609</v>
      </c>
      <c r="J43" s="12"/>
      <c r="K43" s="12"/>
      <c r="N43" s="1" t="s">
        <v>106</v>
      </c>
      <c r="O43" s="1">
        <f t="shared" si="27"/>
        <v>2025</v>
      </c>
      <c r="P43" s="17">
        <f t="shared" si="28"/>
        <v>609</v>
      </c>
      <c r="Q43" s="17">
        <f>SUM(O84:P89)</f>
        <v>609</v>
      </c>
    </row>
    <row r="44" spans="1:17" x14ac:dyDescent="0.15">
      <c r="A44" s="2" t="s">
        <v>3</v>
      </c>
      <c r="B44" s="17">
        <f>ROUND(VLOOKUP(B$39&amp;"_1",管理者用人口入力シート!A:X,D44,FALSE),0)</f>
        <v>69</v>
      </c>
      <c r="C44" s="17">
        <f>ROUND(VLOOKUP(B$39&amp;"_2",管理者用人口入力シート!A:X,D44,FALSE),0)</f>
        <v>76</v>
      </c>
      <c r="D44" s="2">
        <v>7</v>
      </c>
      <c r="G44" s="1" t="s">
        <v>107</v>
      </c>
      <c r="H44" s="1">
        <f t="shared" si="26"/>
        <v>2030</v>
      </c>
      <c r="I44" s="17">
        <f>SUM(H108:I113)</f>
        <v>620</v>
      </c>
      <c r="J44" s="12"/>
      <c r="K44" s="12"/>
      <c r="N44" s="1" t="s">
        <v>107</v>
      </c>
      <c r="O44" s="1">
        <f t="shared" si="27"/>
        <v>2030</v>
      </c>
      <c r="P44" s="17">
        <f t="shared" si="28"/>
        <v>620</v>
      </c>
      <c r="Q44" s="17">
        <f>SUM(O108:P113)</f>
        <v>620</v>
      </c>
    </row>
    <row r="45" spans="1:17" x14ac:dyDescent="0.15">
      <c r="A45" s="2" t="s">
        <v>4</v>
      </c>
      <c r="B45" s="17">
        <f>ROUND(VLOOKUP(B$39&amp;"_1",管理者用人口入力シート!A:X,D45,FALSE),0)</f>
        <v>52</v>
      </c>
      <c r="C45" s="17">
        <f>ROUND(VLOOKUP(B$39&amp;"_2",管理者用人口入力シート!A:X,D45,FALSE),0)</f>
        <v>57</v>
      </c>
      <c r="D45" s="2">
        <v>8</v>
      </c>
      <c r="G45" s="1" t="s">
        <v>108</v>
      </c>
      <c r="H45" s="1">
        <f t="shared" si="26"/>
        <v>2035</v>
      </c>
      <c r="I45" s="17">
        <f>SUM(H132:I137)</f>
        <v>583</v>
      </c>
      <c r="J45" s="12"/>
      <c r="K45" s="12"/>
      <c r="N45" s="1" t="s">
        <v>108</v>
      </c>
      <c r="O45" s="1">
        <f t="shared" si="27"/>
        <v>2035</v>
      </c>
      <c r="P45" s="17">
        <f t="shared" si="28"/>
        <v>583</v>
      </c>
      <c r="Q45" s="17">
        <f>SUM(O132:P137)</f>
        <v>583</v>
      </c>
    </row>
    <row r="46" spans="1:17" x14ac:dyDescent="0.15">
      <c r="A46" s="2" t="s">
        <v>5</v>
      </c>
      <c r="B46" s="17">
        <f>ROUND(VLOOKUP(B$39&amp;"_1",管理者用人口入力シート!A:X,D46,FALSE),0)</f>
        <v>55</v>
      </c>
      <c r="C46" s="17">
        <f>ROUND(VLOOKUP(B$39&amp;"_2",管理者用人口入力シート!A:X,D46,FALSE),0)</f>
        <v>42</v>
      </c>
      <c r="D46" s="2">
        <v>9</v>
      </c>
      <c r="G46" s="1" t="s">
        <v>109</v>
      </c>
      <c r="H46" s="1">
        <f t="shared" si="26"/>
        <v>2040</v>
      </c>
      <c r="I46" s="17">
        <f>SUM(H156:I161)</f>
        <v>514</v>
      </c>
      <c r="J46" s="12"/>
      <c r="K46" s="12"/>
      <c r="N46" s="1" t="s">
        <v>109</v>
      </c>
      <c r="O46" s="1">
        <f t="shared" si="27"/>
        <v>2040</v>
      </c>
      <c r="P46" s="17">
        <f t="shared" si="28"/>
        <v>514</v>
      </c>
      <c r="Q46" s="17">
        <f>SUM(O156:P161)</f>
        <v>514</v>
      </c>
    </row>
    <row r="47" spans="1:17" x14ac:dyDescent="0.15">
      <c r="A47" s="2" t="s">
        <v>6</v>
      </c>
      <c r="B47" s="17">
        <f>ROUND(VLOOKUP(B$39&amp;"_1",管理者用人口入力シート!A:X,D47,FALSE),0)</f>
        <v>59</v>
      </c>
      <c r="C47" s="17">
        <f>ROUND(VLOOKUP(B$39&amp;"_2",管理者用人口入力シート!A:X,D47,FALSE),0)</f>
        <v>58</v>
      </c>
      <c r="D47" s="2">
        <v>10</v>
      </c>
    </row>
    <row r="48" spans="1:17" x14ac:dyDescent="0.15">
      <c r="A48" s="2" t="s">
        <v>7</v>
      </c>
      <c r="B48" s="17">
        <f>ROUND(VLOOKUP(B$39&amp;"_1",管理者用人口入力シート!A:X,D48,FALSE),0)</f>
        <v>53</v>
      </c>
      <c r="C48" s="17">
        <f>ROUND(VLOOKUP(B$39&amp;"_2",管理者用人口入力シート!A:X,D48,FALSE),0)</f>
        <v>58</v>
      </c>
      <c r="D48" s="2">
        <v>11</v>
      </c>
      <c r="G48" s="69" t="s">
        <v>85</v>
      </c>
      <c r="N48" s="69" t="s">
        <v>85</v>
      </c>
    </row>
    <row r="49" spans="1:17" x14ac:dyDescent="0.15">
      <c r="A49" s="2" t="s">
        <v>8</v>
      </c>
      <c r="B49" s="17">
        <f>ROUND(VLOOKUP(B$39&amp;"_1",管理者用人口入力シート!A:X,D49,FALSE),0)</f>
        <v>62</v>
      </c>
      <c r="C49" s="17">
        <f>ROUND(VLOOKUP(B$39&amp;"_2",管理者用人口入力シート!A:X,D49,FALSE),0)</f>
        <v>52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76</v>
      </c>
      <c r="C50" s="17">
        <f>ROUND(VLOOKUP(B$39&amp;"_2",管理者用人口入力シート!A:X,D50,FALSE),0)</f>
        <v>97</v>
      </c>
      <c r="D50" s="2">
        <v>13</v>
      </c>
      <c r="G50" s="1" t="s">
        <v>58</v>
      </c>
      <c r="H50" s="1">
        <f>H4</f>
        <v>2010</v>
      </c>
      <c r="I50" s="38">
        <f>C30</f>
        <v>0.37</v>
      </c>
      <c r="J50" s="205"/>
      <c r="K50" s="205"/>
      <c r="N50" s="1" t="s">
        <v>58</v>
      </c>
      <c r="O50" s="1">
        <f>O4</f>
        <v>2010</v>
      </c>
      <c r="P50" s="38">
        <f t="shared" ref="P50:P56" si="29">I50</f>
        <v>0.37</v>
      </c>
      <c r="Q50" s="1"/>
    </row>
    <row r="51" spans="1:17" x14ac:dyDescent="0.15">
      <c r="A51" s="2" t="s">
        <v>10</v>
      </c>
      <c r="B51" s="17">
        <f>ROUND(VLOOKUP(B$39&amp;"_1",管理者用人口入力シート!A:X,D51,FALSE),0)</f>
        <v>116</v>
      </c>
      <c r="C51" s="17">
        <f>ROUND(VLOOKUP(B$39&amp;"_2",管理者用人口入力シート!A:X,D51,FALSE),0)</f>
        <v>100</v>
      </c>
      <c r="D51" s="2">
        <v>14</v>
      </c>
      <c r="G51" s="1" t="s">
        <v>57</v>
      </c>
      <c r="H51" s="1">
        <f t="shared" ref="H51:H56" si="30">H5</f>
        <v>2015</v>
      </c>
      <c r="I51" s="38">
        <f t="shared" ref="I51:I52" si="31">C31</f>
        <v>0.42</v>
      </c>
      <c r="J51" s="205"/>
      <c r="K51" s="205"/>
      <c r="N51" s="1" t="s">
        <v>57</v>
      </c>
      <c r="O51" s="1">
        <f t="shared" ref="O51:O56" si="32">O5</f>
        <v>2015</v>
      </c>
      <c r="P51" s="38">
        <f t="shared" si="29"/>
        <v>0.42</v>
      </c>
      <c r="Q51" s="1"/>
    </row>
    <row r="52" spans="1:17" x14ac:dyDescent="0.15">
      <c r="A52" s="2" t="s">
        <v>11</v>
      </c>
      <c r="B52" s="17">
        <f>ROUND(VLOOKUP(B$39&amp;"_1",管理者用人口入力シート!A:X,D52,FALSE),0)</f>
        <v>135</v>
      </c>
      <c r="C52" s="17">
        <f>ROUND(VLOOKUP(B$39&amp;"_2",管理者用人口入力シート!A:X,D52,FALSE),0)</f>
        <v>134</v>
      </c>
      <c r="D52" s="2">
        <v>15</v>
      </c>
      <c r="G52" s="1" t="s">
        <v>62</v>
      </c>
      <c r="H52" s="1">
        <f t="shared" si="30"/>
        <v>2020</v>
      </c>
      <c r="I52" s="38">
        <f t="shared" si="31"/>
        <v>0.48</v>
      </c>
      <c r="J52" s="205"/>
      <c r="K52" s="205"/>
      <c r="N52" s="1" t="s">
        <v>62</v>
      </c>
      <c r="O52" s="1">
        <f t="shared" si="32"/>
        <v>2020</v>
      </c>
      <c r="P52" s="38">
        <f t="shared" si="29"/>
        <v>0.48</v>
      </c>
      <c r="Q52" s="1"/>
    </row>
    <row r="53" spans="1:17" x14ac:dyDescent="0.15">
      <c r="A53" s="2" t="s">
        <v>12</v>
      </c>
      <c r="B53" s="17">
        <f>ROUND(VLOOKUP(B$39&amp;"_1",管理者用人口入力シート!A:X,D53,FALSE),0)</f>
        <v>149</v>
      </c>
      <c r="C53" s="17">
        <f>ROUND(VLOOKUP(B$39&amp;"_2",管理者用人口入力シート!A:X,D53,FALSE),0)</f>
        <v>124</v>
      </c>
      <c r="D53" s="2">
        <v>16</v>
      </c>
      <c r="G53" s="1" t="s">
        <v>106</v>
      </c>
      <c r="H53" s="1">
        <f t="shared" si="30"/>
        <v>2025</v>
      </c>
      <c r="I53" s="38">
        <f>ROUND((SUM(H82:I89)/SUM(H69:I89)),2)</f>
        <v>0.52</v>
      </c>
      <c r="J53" s="205"/>
      <c r="K53" s="205"/>
      <c r="L53" s="70"/>
      <c r="M53" s="70"/>
      <c r="N53" s="1" t="s">
        <v>106</v>
      </c>
      <c r="O53" s="1">
        <f t="shared" si="32"/>
        <v>2025</v>
      </c>
      <c r="P53" s="38">
        <f t="shared" si="29"/>
        <v>0.52</v>
      </c>
      <c r="Q53" s="38">
        <f>ROUND((SUM(O82:P89)/SUM(O69:P89)),2)</f>
        <v>0.52</v>
      </c>
    </row>
    <row r="54" spans="1:17" x14ac:dyDescent="0.15">
      <c r="A54" s="2" t="s">
        <v>13</v>
      </c>
      <c r="B54" s="17">
        <f>ROUND(VLOOKUP(B$39&amp;"_1",管理者用人口入力シート!A:X,D54,FALSE),0)</f>
        <v>108</v>
      </c>
      <c r="C54" s="17">
        <f>ROUND(VLOOKUP(B$39&amp;"_2",管理者用人口入力シート!A:X,D54,FALSE),0)</f>
        <v>116</v>
      </c>
      <c r="D54" s="2">
        <v>17</v>
      </c>
      <c r="G54" s="1" t="s">
        <v>107</v>
      </c>
      <c r="H54" s="1">
        <f t="shared" si="30"/>
        <v>2030</v>
      </c>
      <c r="I54" s="38">
        <f>ROUND((SUM(H106:I113)/SUM(H93:I113)),2)</f>
        <v>0.55000000000000004</v>
      </c>
      <c r="J54" s="205"/>
      <c r="K54" s="205"/>
      <c r="N54" s="1" t="s">
        <v>107</v>
      </c>
      <c r="O54" s="1">
        <f t="shared" si="32"/>
        <v>2030</v>
      </c>
      <c r="P54" s="38">
        <f t="shared" si="29"/>
        <v>0.55000000000000004</v>
      </c>
      <c r="Q54" s="38">
        <f>ROUND((SUM(O106:P113)/SUM(O93:P113)),2)</f>
        <v>0.55000000000000004</v>
      </c>
    </row>
    <row r="55" spans="1:17" x14ac:dyDescent="0.15">
      <c r="A55" s="2" t="s">
        <v>14</v>
      </c>
      <c r="B55" s="17">
        <f>ROUND(VLOOKUP(B$39&amp;"_1",管理者用人口入力シート!A:X,D55,FALSE),0)</f>
        <v>105</v>
      </c>
      <c r="C55" s="17">
        <f>ROUND(VLOOKUP(B$39&amp;"_2",管理者用人口入力シート!A:X,D55,FALSE),0)</f>
        <v>130</v>
      </c>
      <c r="D55" s="2">
        <v>18</v>
      </c>
      <c r="G55" s="1" t="s">
        <v>108</v>
      </c>
      <c r="H55" s="1">
        <f t="shared" si="30"/>
        <v>2035</v>
      </c>
      <c r="I55" s="38">
        <f>ROUND((SUM(H130:I137)/SUM(H117:I137)),2)</f>
        <v>0.56000000000000005</v>
      </c>
      <c r="J55" s="205"/>
      <c r="K55" s="205"/>
      <c r="N55" s="1" t="s">
        <v>108</v>
      </c>
      <c r="O55" s="1">
        <f t="shared" si="32"/>
        <v>2035</v>
      </c>
      <c r="P55" s="38">
        <f t="shared" si="29"/>
        <v>0.56000000000000005</v>
      </c>
      <c r="Q55" s="38">
        <f>ROUND((SUM(O130:P137)/SUM(O117:P137)),2)</f>
        <v>0.55000000000000004</v>
      </c>
    </row>
    <row r="56" spans="1:17" x14ac:dyDescent="0.15">
      <c r="A56" s="2" t="s">
        <v>15</v>
      </c>
      <c r="B56" s="17">
        <f>ROUND(VLOOKUP(B$39&amp;"_1",管理者用人口入力シート!A:X,D56,FALSE),0)</f>
        <v>107</v>
      </c>
      <c r="C56" s="17">
        <f>ROUND(VLOOKUP(B$39&amp;"_2",管理者用人口入力シート!A:X,D56,FALSE),0)</f>
        <v>147</v>
      </c>
      <c r="D56" s="2">
        <v>19</v>
      </c>
      <c r="G56" s="1" t="s">
        <v>109</v>
      </c>
      <c r="H56" s="1">
        <f t="shared" si="30"/>
        <v>2040</v>
      </c>
      <c r="I56" s="38">
        <f>ROUND((SUM(H154:I161)/SUM(H141:I161)),2)</f>
        <v>0.57999999999999996</v>
      </c>
      <c r="J56" s="205"/>
      <c r="K56" s="205"/>
      <c r="N56" s="1" t="s">
        <v>109</v>
      </c>
      <c r="O56" s="1">
        <f t="shared" si="32"/>
        <v>2040</v>
      </c>
      <c r="P56" s="38">
        <f t="shared" si="29"/>
        <v>0.57999999999999996</v>
      </c>
      <c r="Q56" s="38">
        <f>ROUND((SUM(O154:P161)/SUM(O141:P161)),2)</f>
        <v>0.56999999999999995</v>
      </c>
    </row>
    <row r="57" spans="1:17" x14ac:dyDescent="0.15">
      <c r="A57" s="2" t="s">
        <v>16</v>
      </c>
      <c r="B57" s="17">
        <f>ROUND(VLOOKUP(B$39&amp;"_1",管理者用人口入力シート!A:X,D57,FALSE),0)</f>
        <v>82</v>
      </c>
      <c r="C57" s="17">
        <f>ROUND(VLOOKUP(B$39&amp;"_2",管理者用人口入力シート!A:X,D57,FALSE),0)</f>
        <v>131</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24</v>
      </c>
      <c r="C58" s="17">
        <f>ROUND(VLOOKUP(B$39&amp;"_2",管理者用人口入力シート!A:X,D58,FALSE),0)</f>
        <v>76</v>
      </c>
      <c r="D58" s="2">
        <v>21</v>
      </c>
      <c r="G58" s="1" t="s">
        <v>58</v>
      </c>
      <c r="H58" s="1">
        <f>H4</f>
        <v>2010</v>
      </c>
      <c r="I58" s="38">
        <f>C34</f>
        <v>0.21</v>
      </c>
      <c r="J58" s="205"/>
      <c r="K58" s="205"/>
      <c r="N58" s="1" t="s">
        <v>58</v>
      </c>
      <c r="O58" s="1">
        <f>O4</f>
        <v>2010</v>
      </c>
      <c r="P58" s="38">
        <f t="shared" ref="P58:P64" si="33">I58</f>
        <v>0.21</v>
      </c>
      <c r="Q58" s="1"/>
    </row>
    <row r="59" spans="1:17" x14ac:dyDescent="0.15">
      <c r="A59" s="2" t="s">
        <v>18</v>
      </c>
      <c r="B59" s="17">
        <f>ROUND(VLOOKUP(B$39&amp;"_1",管理者用人口入力シート!A:X,D59,FALSE),0)</f>
        <v>18</v>
      </c>
      <c r="C59" s="17">
        <f>ROUND(VLOOKUP(B$39&amp;"_2",管理者用人口入力シート!A:X,D59,FALSE),0)</f>
        <v>32</v>
      </c>
      <c r="D59" s="2">
        <v>22</v>
      </c>
      <c r="G59" s="1" t="s">
        <v>57</v>
      </c>
      <c r="H59" s="1">
        <f t="shared" ref="H59:H64" si="34">H5</f>
        <v>2015</v>
      </c>
      <c r="I59" s="38">
        <f t="shared" ref="I59:I60" si="35">C35</f>
        <v>0.24</v>
      </c>
      <c r="J59" s="205"/>
      <c r="K59" s="205"/>
      <c r="N59" s="1" t="s">
        <v>57</v>
      </c>
      <c r="O59" s="1">
        <f t="shared" ref="O59:O64" si="36">O5</f>
        <v>2015</v>
      </c>
      <c r="P59" s="38">
        <f t="shared" si="33"/>
        <v>0.24</v>
      </c>
      <c r="Q59" s="1"/>
    </row>
    <row r="60" spans="1:17" x14ac:dyDescent="0.15">
      <c r="A60" s="2" t="s">
        <v>19</v>
      </c>
      <c r="B60" s="17">
        <f>ROUND(VLOOKUP(B$39&amp;"_1",管理者用人口入力シート!A:X,D60,FALSE),0)</f>
        <v>4</v>
      </c>
      <c r="C60" s="17">
        <f>ROUND(VLOOKUP(B$39&amp;"_2",管理者用人口入力シート!A:X,D60,FALSE),0)</f>
        <v>13</v>
      </c>
      <c r="D60" s="2">
        <v>23</v>
      </c>
      <c r="G60" s="1" t="s">
        <v>62</v>
      </c>
      <c r="H60" s="1">
        <f t="shared" si="34"/>
        <v>2020</v>
      </c>
      <c r="I60" s="38">
        <f t="shared" si="35"/>
        <v>0.26</v>
      </c>
      <c r="J60" s="205"/>
      <c r="K60" s="205"/>
      <c r="N60" s="1" t="s">
        <v>62</v>
      </c>
      <c r="O60" s="1">
        <f t="shared" si="36"/>
        <v>2020</v>
      </c>
      <c r="P60" s="38">
        <f t="shared" si="33"/>
        <v>0.26</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0.28999999999999998</v>
      </c>
      <c r="J61" s="205"/>
      <c r="K61" s="205"/>
      <c r="N61" s="1" t="s">
        <v>106</v>
      </c>
      <c r="O61" s="1">
        <f t="shared" si="36"/>
        <v>2025</v>
      </c>
      <c r="P61" s="38">
        <f t="shared" si="33"/>
        <v>0.28999999999999998</v>
      </c>
      <c r="Q61" s="38">
        <f>ROUND((SUM(O84:P89)/SUM(O69:P89)),2)</f>
        <v>0.28999999999999998</v>
      </c>
    </row>
    <row r="62" spans="1:17" x14ac:dyDescent="0.15">
      <c r="G62" s="1" t="s">
        <v>107</v>
      </c>
      <c r="H62" s="1">
        <f t="shared" si="34"/>
        <v>2030</v>
      </c>
      <c r="I62" s="38">
        <f>ROUND((SUM(H108:I113)/SUM(H93:I113)),2)</f>
        <v>0.35</v>
      </c>
      <c r="J62" s="205"/>
      <c r="K62" s="205"/>
      <c r="N62" s="1" t="s">
        <v>107</v>
      </c>
      <c r="O62" s="1">
        <f t="shared" si="36"/>
        <v>2030</v>
      </c>
      <c r="P62" s="38">
        <f t="shared" si="33"/>
        <v>0.35</v>
      </c>
      <c r="Q62" s="38">
        <f>ROUND((SUM(O108:P113)/SUM(O93:P113)),2)</f>
        <v>0.34</v>
      </c>
    </row>
    <row r="63" spans="1:17" x14ac:dyDescent="0.15">
      <c r="A63" s="2" t="s">
        <v>384</v>
      </c>
      <c r="B63" s="315">
        <f>管理者入力シート!B6</f>
        <v>2015</v>
      </c>
      <c r="C63" s="316"/>
      <c r="D63" s="2" t="s">
        <v>114</v>
      </c>
      <c r="G63" s="1" t="s">
        <v>108</v>
      </c>
      <c r="H63" s="1">
        <f t="shared" si="34"/>
        <v>2035</v>
      </c>
      <c r="I63" s="38">
        <f>ROUND((SUM(H132:I137)/SUM(H117:I137)),2)</f>
        <v>0.38</v>
      </c>
      <c r="J63" s="205"/>
      <c r="K63" s="205"/>
      <c r="N63" s="1" t="s">
        <v>108</v>
      </c>
      <c r="O63" s="1">
        <f t="shared" si="36"/>
        <v>2035</v>
      </c>
      <c r="P63" s="38">
        <f t="shared" si="33"/>
        <v>0.38</v>
      </c>
      <c r="Q63" s="38">
        <f>ROUND((SUM(O132:P137)/SUM(O117:P137)),2)</f>
        <v>0.38</v>
      </c>
    </row>
    <row r="64" spans="1:17" x14ac:dyDescent="0.15">
      <c r="A64" s="2" t="s">
        <v>115</v>
      </c>
      <c r="B64" s="18" t="s">
        <v>21</v>
      </c>
      <c r="C64" s="18" t="s">
        <v>22</v>
      </c>
      <c r="G64" s="1" t="s">
        <v>109</v>
      </c>
      <c r="H64" s="1">
        <f t="shared" si="34"/>
        <v>2040</v>
      </c>
      <c r="I64" s="38">
        <f>ROUND((SUM(H156:I161)/SUM(H141:I161)),2)</f>
        <v>0.4</v>
      </c>
      <c r="J64" s="205"/>
      <c r="K64" s="205"/>
      <c r="N64" s="1" t="s">
        <v>109</v>
      </c>
      <c r="O64" s="1">
        <f t="shared" si="36"/>
        <v>2040</v>
      </c>
      <c r="P64" s="38">
        <f t="shared" si="33"/>
        <v>0.4</v>
      </c>
      <c r="Q64" s="38">
        <f>ROUND((SUM(O156:P161)/SUM(O141:P161)),2)</f>
        <v>0.39</v>
      </c>
    </row>
    <row r="65" spans="1:21" x14ac:dyDescent="0.15">
      <c r="A65" s="2" t="s">
        <v>0</v>
      </c>
      <c r="B65" s="17">
        <f>ROUND(VLOOKUP(B$63&amp;"_1",管理者用人口入力シート!A:X,D65,FALSE),0)</f>
        <v>28</v>
      </c>
      <c r="C65" s="17">
        <f>ROUND(VLOOKUP(B$63&amp;"_2",管理者用人口入力シート!A:X,D65,FALSE),0)</f>
        <v>27</v>
      </c>
      <c r="D65" s="2">
        <v>4</v>
      </c>
    </row>
    <row r="66" spans="1:21" x14ac:dyDescent="0.15">
      <c r="A66" s="2" t="s">
        <v>1</v>
      </c>
      <c r="B66" s="17">
        <f>ROUND(VLOOKUP(B$63&amp;"_1",管理者用人口入力シート!A:X,D66,FALSE),0)</f>
        <v>37</v>
      </c>
      <c r="C66" s="17">
        <f>ROUND(VLOOKUP(B$63&amp;"_2",管理者用人口入力シート!A:X,D66,FALSE),0)</f>
        <v>39</v>
      </c>
      <c r="D66" s="2">
        <v>5</v>
      </c>
      <c r="G66" s="69" t="s">
        <v>113</v>
      </c>
      <c r="N66" s="69" t="s">
        <v>113</v>
      </c>
    </row>
    <row r="67" spans="1:21" x14ac:dyDescent="0.15">
      <c r="A67" s="2" t="s">
        <v>2</v>
      </c>
      <c r="B67" s="17">
        <f>ROUND(VLOOKUP(B$63&amp;"_1",管理者用人口入力シート!A:X,D67,FALSE),0)</f>
        <v>40</v>
      </c>
      <c r="C67" s="17">
        <f>ROUND(VLOOKUP(B$63&amp;"_2",管理者用人口入力シート!A:X,D67,FALSE),0)</f>
        <v>45</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41</v>
      </c>
      <c r="C68" s="17">
        <f>ROUND(VLOOKUP(B$63&amp;"_2",管理者用人口入力シート!A:X,D68,FALSE),0)</f>
        <v>51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32</v>
      </c>
      <c r="C69" s="17">
        <f>ROUND(VLOOKUP(B$63&amp;"_2",管理者用人口入力シート!A:X,D69,FALSE),0)</f>
        <v>48</v>
      </c>
      <c r="D69" s="2">
        <v>8</v>
      </c>
      <c r="G69" s="2" t="s">
        <v>0</v>
      </c>
      <c r="H69" s="17">
        <f>ROUND(VLOOKUP(H$67&amp;"_1",管理者用人口入力シート!BH:CE,J69,FALSE),0)</f>
        <v>19</v>
      </c>
      <c r="I69" s="17">
        <f>ROUND(VLOOKUP(H$67&amp;"_2",管理者用人口入力シート!BH:CE,J69,FALSE),0)</f>
        <v>14</v>
      </c>
      <c r="J69" s="2">
        <v>4</v>
      </c>
      <c r="K69" s="12"/>
      <c r="N69" s="2" t="s">
        <v>0</v>
      </c>
      <c r="O69" s="17">
        <f>ROUND(VLOOKUP(O$67&amp;"_1",管理者用人口入力シート!CO:DL,Q69,FALSE),0)</f>
        <v>20</v>
      </c>
      <c r="P69" s="17">
        <f>ROUND(VLOOKUP(O$67&amp;"_2",管理者用人口入力シート!CO:DL,Q69,FALSE),0)</f>
        <v>15</v>
      </c>
      <c r="Q69" s="2">
        <v>4</v>
      </c>
      <c r="U69" s="85"/>
    </row>
    <row r="70" spans="1:21" x14ac:dyDescent="0.15">
      <c r="A70" s="2" t="s">
        <v>5</v>
      </c>
      <c r="B70" s="17">
        <f>ROUND(VLOOKUP(B$63&amp;"_1",管理者用人口入力シート!A:X,D70,FALSE),0)</f>
        <v>37</v>
      </c>
      <c r="C70" s="17">
        <f>ROUND(VLOOKUP(B$63&amp;"_2",管理者用人口入力シート!A:X,D70,FALSE),0)</f>
        <v>43</v>
      </c>
      <c r="D70" s="2">
        <v>9</v>
      </c>
      <c r="G70" s="2" t="s">
        <v>1</v>
      </c>
      <c r="H70" s="17">
        <f>ROUND(VLOOKUP(H$67&amp;"_1",管理者用人口入力シート!BH:CE,J70,FALSE),0)</f>
        <v>26</v>
      </c>
      <c r="I70" s="17">
        <f>ROUND(VLOOKUP(H$67&amp;"_2",管理者用人口入力シート!BH:CE,J70,FALSE),0)</f>
        <v>22</v>
      </c>
      <c r="J70" s="2">
        <v>5</v>
      </c>
      <c r="K70" s="12"/>
      <c r="N70" s="2" t="s">
        <v>1</v>
      </c>
      <c r="O70" s="17">
        <f>ROUND(VLOOKUP(O$67&amp;"_1",管理者用人口入力シート!CO:DL,Q70,FALSE),0)</f>
        <v>26</v>
      </c>
      <c r="P70" s="17">
        <f>ROUND(VLOOKUP(O$67&amp;"_2",管理者用人口入力シート!CO:DL,Q70,FALSE),0)</f>
        <v>22</v>
      </c>
      <c r="Q70" s="2">
        <v>5</v>
      </c>
      <c r="U70" s="85"/>
    </row>
    <row r="71" spans="1:21" x14ac:dyDescent="0.15">
      <c r="A71" s="2" t="s">
        <v>6</v>
      </c>
      <c r="B71" s="17">
        <f>ROUND(VLOOKUP(B$63&amp;"_1",管理者用人口入力シート!A:X,D71,FALSE),0)</f>
        <v>51</v>
      </c>
      <c r="C71" s="17">
        <f>ROUND(VLOOKUP(B$63&amp;"_2",管理者用人口入力シート!A:X,D71,FALSE),0)</f>
        <v>36</v>
      </c>
      <c r="D71" s="2">
        <v>10</v>
      </c>
      <c r="G71" s="2" t="s">
        <v>2</v>
      </c>
      <c r="H71" s="17">
        <f>ROUND(VLOOKUP(H$67&amp;"_1",管理者用人口入力シート!BH:CE,J71,FALSE),0)</f>
        <v>31</v>
      </c>
      <c r="I71" s="17">
        <f>ROUND(VLOOKUP(H$67&amp;"_2",管理者用人口入力シート!BH:CE,J71,FALSE),0)</f>
        <v>33</v>
      </c>
      <c r="J71" s="2">
        <v>6</v>
      </c>
      <c r="K71" s="12"/>
      <c r="N71" s="2" t="s">
        <v>2</v>
      </c>
      <c r="O71" s="17">
        <f>ROUND(VLOOKUP(O$67&amp;"_1",管理者用人口入力シート!CO:DL,Q71,FALSE),0)</f>
        <v>32</v>
      </c>
      <c r="P71" s="17">
        <f>ROUND(VLOOKUP(O$67&amp;"_2",管理者用人口入力シート!CO:DL,Q71,FALSE),0)</f>
        <v>34</v>
      </c>
      <c r="Q71" s="2">
        <v>6</v>
      </c>
      <c r="U71" s="85"/>
    </row>
    <row r="72" spans="1:21" x14ac:dyDescent="0.15">
      <c r="A72" s="2" t="s">
        <v>7</v>
      </c>
      <c r="B72" s="17">
        <f>ROUND(VLOOKUP(B$63&amp;"_1",管理者用人口入力シート!A:X,D72,FALSE),0)</f>
        <v>52</v>
      </c>
      <c r="C72" s="17">
        <f>ROUND(VLOOKUP(B$63&amp;"_2",管理者用人口入力シート!A:X,D72,FALSE),0)</f>
        <v>51</v>
      </c>
      <c r="D72" s="2">
        <v>11</v>
      </c>
      <c r="G72" s="2" t="s">
        <v>3</v>
      </c>
      <c r="H72" s="17">
        <f>ROUND(VLOOKUP(H$67&amp;"_1",管理者用人口入力シート!BH:CE,J72,FALSE),0)</f>
        <v>28</v>
      </c>
      <c r="I72" s="17">
        <f>ROUND(VLOOKUP(H$67&amp;"_2",管理者用人口入力シート!BH:CE,J72,FALSE),0)</f>
        <v>34</v>
      </c>
      <c r="J72" s="2">
        <v>7</v>
      </c>
      <c r="K72" s="12"/>
      <c r="N72" s="2" t="s">
        <v>3</v>
      </c>
      <c r="O72" s="17">
        <f>ROUND(VLOOKUP(O$67&amp;"_1",管理者用人口入力シート!CO:DL,Q72,FALSE),0)</f>
        <v>28</v>
      </c>
      <c r="P72" s="17">
        <f>ROUND(VLOOKUP(O$67&amp;"_2",管理者用人口入力シート!CO:DL,Q72,FALSE),0)</f>
        <v>34</v>
      </c>
      <c r="Q72" s="2">
        <v>7</v>
      </c>
      <c r="U72" s="85"/>
    </row>
    <row r="73" spans="1:21" x14ac:dyDescent="0.15">
      <c r="A73" s="2" t="s">
        <v>8</v>
      </c>
      <c r="B73" s="17">
        <f>ROUND(VLOOKUP(B$63&amp;"_1",管理者用人口入力シート!A:X,D73,FALSE),0)</f>
        <v>57</v>
      </c>
      <c r="C73" s="17">
        <f>ROUND(VLOOKUP(B$63&amp;"_2",管理者用人口入力シート!A:X,D73,FALSE),0)</f>
        <v>64</v>
      </c>
      <c r="D73" s="2">
        <v>12</v>
      </c>
      <c r="G73" s="2" t="s">
        <v>4</v>
      </c>
      <c r="H73" s="17">
        <f>ROUND(VLOOKUP(H$67&amp;"_1",管理者用人口入力シート!BH:CE,J73,FALSE),0)</f>
        <v>19</v>
      </c>
      <c r="I73" s="17">
        <f>ROUND(VLOOKUP(H$67&amp;"_2",管理者用人口入力シート!BH:CE,J73,FALSE),0)</f>
        <v>25</v>
      </c>
      <c r="J73" s="2">
        <v>8</v>
      </c>
      <c r="K73" s="12"/>
      <c r="N73" s="2" t="s">
        <v>4</v>
      </c>
      <c r="O73" s="17">
        <f>ROUND(VLOOKUP(O$67&amp;"_1",管理者用人口入力シート!CO:DL,Q73,FALSE),0)</f>
        <v>19</v>
      </c>
      <c r="P73" s="17">
        <f>ROUND(VLOOKUP(O$67&amp;"_2",管理者用人口入力シート!CO:DL,Q73,FALSE),0)</f>
        <v>25</v>
      </c>
      <c r="Q73" s="2">
        <v>8</v>
      </c>
      <c r="U73" s="85"/>
    </row>
    <row r="74" spans="1:21" x14ac:dyDescent="0.15">
      <c r="A74" s="2" t="s">
        <v>9</v>
      </c>
      <c r="B74" s="17">
        <f>ROUND(VLOOKUP(B$63&amp;"_1",管理者用人口入力シート!A:X,D74,FALSE),0)</f>
        <v>54</v>
      </c>
      <c r="C74" s="17">
        <f>ROUND(VLOOKUP(B$63&amp;"_2",管理者用人口入力シート!A:X,D74,FALSE),0)</f>
        <v>54</v>
      </c>
      <c r="D74" s="2">
        <v>13</v>
      </c>
      <c r="G74" s="2" t="s">
        <v>5</v>
      </c>
      <c r="H74" s="17">
        <f>ROUND(VLOOKUP(H$67&amp;"_1",管理者用人口入力シート!BH:CE,J74,FALSE),0)</f>
        <v>22</v>
      </c>
      <c r="I74" s="17">
        <f>ROUND(VLOOKUP(H$67&amp;"_2",管理者用人口入力シート!BH:CE,J74,FALSE),0)</f>
        <v>18</v>
      </c>
      <c r="J74" s="2">
        <v>9</v>
      </c>
      <c r="K74" s="12"/>
      <c r="N74" s="2" t="s">
        <v>5</v>
      </c>
      <c r="O74" s="17">
        <f>ROUND(VLOOKUP(O$67&amp;"_1",管理者用人口入力シート!CO:DL,Q74,FALSE),0)</f>
        <v>24</v>
      </c>
      <c r="P74" s="17">
        <f>ROUND(VLOOKUP(O$67&amp;"_2",管理者用人口入力シート!CO:DL,Q74,FALSE),0)</f>
        <v>20</v>
      </c>
      <c r="Q74" s="2">
        <v>9</v>
      </c>
      <c r="U74" s="85"/>
    </row>
    <row r="75" spans="1:21" x14ac:dyDescent="0.15">
      <c r="A75" s="2" t="s">
        <v>10</v>
      </c>
      <c r="B75" s="17">
        <f>ROUND(VLOOKUP(B$63&amp;"_1",管理者用人口入力シート!A:X,D75,FALSE),0)</f>
        <v>79</v>
      </c>
      <c r="C75" s="17">
        <f>ROUND(VLOOKUP(B$63&amp;"_2",管理者用人口入力シート!A:X,D75,FALSE),0)</f>
        <v>90</v>
      </c>
      <c r="D75" s="2">
        <v>14</v>
      </c>
      <c r="G75" s="2" t="s">
        <v>6</v>
      </c>
      <c r="H75" s="17">
        <f>ROUND(VLOOKUP(H$67&amp;"_1",管理者用人口入力シート!BH:CE,J75,FALSE),0)</f>
        <v>26</v>
      </c>
      <c r="I75" s="17">
        <f>ROUND(VLOOKUP(H$67&amp;"_2",管理者用人口入力シート!BH:CE,J75,FALSE),0)</f>
        <v>20</v>
      </c>
      <c r="J75" s="2">
        <v>10</v>
      </c>
      <c r="K75" s="12"/>
      <c r="N75" s="2" t="s">
        <v>6</v>
      </c>
      <c r="O75" s="17">
        <f>ROUND(VLOOKUP(O$67&amp;"_1",管理者用人口入力シート!CO:DL,Q75,FALSE),0)</f>
        <v>26</v>
      </c>
      <c r="P75" s="17">
        <f>ROUND(VLOOKUP(O$67&amp;"_2",管理者用人口入力シート!CO:DL,Q75,FALSE),0)</f>
        <v>20</v>
      </c>
      <c r="Q75" s="2">
        <v>10</v>
      </c>
      <c r="U75" s="85"/>
    </row>
    <row r="76" spans="1:21" x14ac:dyDescent="0.15">
      <c r="A76" s="2" t="s">
        <v>11</v>
      </c>
      <c r="B76" s="17">
        <f>ROUND(VLOOKUP(B$63&amp;"_1",管理者用人口入力シート!A:X,D76,FALSE),0)</f>
        <v>118</v>
      </c>
      <c r="C76" s="17">
        <f>ROUND(VLOOKUP(B$63&amp;"_2",管理者用人口入力シート!A:X,D76,FALSE),0)</f>
        <v>106</v>
      </c>
      <c r="D76" s="2">
        <v>15</v>
      </c>
      <c r="G76" s="2" t="s">
        <v>7</v>
      </c>
      <c r="H76" s="17">
        <f>ROUND(VLOOKUP(H$67&amp;"_1",管理者用人口入力シート!BH:CE,J76,FALSE),0)</f>
        <v>32</v>
      </c>
      <c r="I76" s="17">
        <f>ROUND(VLOOKUP(H$67&amp;"_2",管理者用人口入力シート!BH:CE,J76,FALSE),0)</f>
        <v>32</v>
      </c>
      <c r="J76" s="2">
        <v>11</v>
      </c>
      <c r="K76" s="12"/>
      <c r="N76" s="2" t="s">
        <v>7</v>
      </c>
      <c r="O76" s="17">
        <f>ROUND(VLOOKUP(O$67&amp;"_1",管理者用人口入力シート!CO:DL,Q76,FALSE),0)</f>
        <v>32</v>
      </c>
      <c r="P76" s="17">
        <f>ROUND(VLOOKUP(O$67&amp;"_2",管理者用人口入力シート!CO:DL,Q76,FALSE),0)</f>
        <v>32</v>
      </c>
      <c r="Q76" s="2">
        <v>11</v>
      </c>
      <c r="U76" s="85"/>
    </row>
    <row r="77" spans="1:21" x14ac:dyDescent="0.15">
      <c r="A77" s="2" t="s">
        <v>12</v>
      </c>
      <c r="B77" s="17">
        <f>ROUND(VLOOKUP(B$63&amp;"_1",管理者用人口入力シート!A:X,D77,FALSE),0)</f>
        <v>142</v>
      </c>
      <c r="C77" s="17">
        <f>ROUND(VLOOKUP(B$63&amp;"_2",管理者用人口入力シート!A:X,D77,FALSE),0)</f>
        <v>135</v>
      </c>
      <c r="D77" s="2">
        <v>16</v>
      </c>
      <c r="G77" s="2" t="s">
        <v>8</v>
      </c>
      <c r="H77" s="17">
        <f>ROUND(VLOOKUP(H$67&amp;"_1",管理者用人口入力シート!BH:CE,J77,FALSE),0)</f>
        <v>52</v>
      </c>
      <c r="I77" s="17">
        <f>ROUND(VLOOKUP(H$67&amp;"_2",管理者用人口入力シート!BH:CE,J77,FALSE),0)</f>
        <v>39</v>
      </c>
      <c r="J77" s="2">
        <v>12</v>
      </c>
      <c r="K77" s="12"/>
      <c r="N77" s="2" t="s">
        <v>8</v>
      </c>
      <c r="O77" s="17">
        <f>ROUND(VLOOKUP(O$67&amp;"_1",管理者用人口入力シート!CO:DL,Q77,FALSE),0)</f>
        <v>52</v>
      </c>
      <c r="P77" s="17">
        <f>ROUND(VLOOKUP(O$67&amp;"_2",管理者用人口入力シート!CO:DL,Q77,FALSE),0)</f>
        <v>40</v>
      </c>
      <c r="Q77" s="2">
        <v>12</v>
      </c>
      <c r="U77" s="85"/>
    </row>
    <row r="78" spans="1:21" x14ac:dyDescent="0.15">
      <c r="A78" s="2" t="s">
        <v>13</v>
      </c>
      <c r="B78" s="17">
        <f>ROUND(VLOOKUP(B$63&amp;"_1",管理者用人口入力シート!A:X,D78,FALSE),0)</f>
        <v>143</v>
      </c>
      <c r="C78" s="17">
        <f>ROUND(VLOOKUP(B$63&amp;"_2",管理者用人口入力シート!A:X,D78,FALSE),0)</f>
        <v>122</v>
      </c>
      <c r="D78" s="2">
        <v>17</v>
      </c>
      <c r="G78" s="2" t="s">
        <v>9</v>
      </c>
      <c r="H78" s="17">
        <f>ROUND(VLOOKUP(H$67&amp;"_1",管理者用人口入力シート!BH:CE,J78,FALSE),0)</f>
        <v>56</v>
      </c>
      <c r="I78" s="17">
        <f>ROUND(VLOOKUP(H$67&amp;"_2",管理者用人口入力シート!BH:CE,J78,FALSE),0)</f>
        <v>49</v>
      </c>
      <c r="J78" s="2">
        <v>13</v>
      </c>
      <c r="K78" s="12"/>
      <c r="N78" s="2" t="s">
        <v>9</v>
      </c>
      <c r="O78" s="17">
        <f>ROUND(VLOOKUP(O$67&amp;"_1",管理者用人口入力シート!CO:DL,Q78,FALSE),0)</f>
        <v>56</v>
      </c>
      <c r="P78" s="17">
        <f>ROUND(VLOOKUP(O$67&amp;"_2",管理者用人口入力シート!CO:DL,Q78,FALSE),0)</f>
        <v>49</v>
      </c>
      <c r="Q78" s="2">
        <v>13</v>
      </c>
      <c r="U78" s="85"/>
    </row>
    <row r="79" spans="1:21" x14ac:dyDescent="0.15">
      <c r="A79" s="2" t="s">
        <v>14</v>
      </c>
      <c r="B79" s="17">
        <f>ROUND(VLOOKUP(B$63&amp;"_1",管理者用人口入力シート!A:X,D79,FALSE),0)</f>
        <v>95</v>
      </c>
      <c r="C79" s="17">
        <f>ROUND(VLOOKUP(B$63&amp;"_2",管理者用人口入力シート!A:X,D79,FALSE),0)</f>
        <v>111</v>
      </c>
      <c r="D79" s="2">
        <v>18</v>
      </c>
      <c r="G79" s="2" t="s">
        <v>10</v>
      </c>
      <c r="H79" s="17">
        <f>ROUND(VLOOKUP(H$67&amp;"_1",管理者用人口入力シート!BH:CE,J79,FALSE),0)</f>
        <v>59</v>
      </c>
      <c r="I79" s="17">
        <f>ROUND(VLOOKUP(H$67&amp;"_2",管理者用人口入力シート!BH:CE,J79,FALSE),0)</f>
        <v>66</v>
      </c>
      <c r="J79" s="2">
        <v>14</v>
      </c>
      <c r="K79" s="12"/>
      <c r="N79" s="2" t="s">
        <v>10</v>
      </c>
      <c r="O79" s="17">
        <f>ROUND(VLOOKUP(O$67&amp;"_1",管理者用人口入力シート!CO:DL,Q79,FALSE),0)</f>
        <v>59</v>
      </c>
      <c r="P79" s="17">
        <f>ROUND(VLOOKUP(O$67&amp;"_2",管理者用人口入力シート!CO:DL,Q79,FALSE),0)</f>
        <v>66</v>
      </c>
      <c r="Q79" s="2">
        <v>14</v>
      </c>
      <c r="U79" s="85"/>
    </row>
    <row r="80" spans="1:21" x14ac:dyDescent="0.15">
      <c r="A80" s="2" t="s">
        <v>15</v>
      </c>
      <c r="B80" s="17">
        <f>ROUND(VLOOKUP(B$63&amp;"_1",管理者用人口入力シート!A:X,D80,FALSE),0)</f>
        <v>83</v>
      </c>
      <c r="C80" s="17">
        <f>ROUND(VLOOKUP(B$63&amp;"_2",管理者用人口入力シート!A:X,D80,FALSE),0)</f>
        <v>132</v>
      </c>
      <c r="D80" s="2">
        <v>19</v>
      </c>
      <c r="G80" s="2" t="s">
        <v>11</v>
      </c>
      <c r="H80" s="17">
        <f>ROUND(VLOOKUP(H$67&amp;"_1",管理者用人口入力シート!BH:CE,J80,FALSE),0)</f>
        <v>48</v>
      </c>
      <c r="I80" s="17">
        <f>ROUND(VLOOKUP(H$67&amp;"_2",管理者用人口入力シート!BH:CE,J80,FALSE),0)</f>
        <v>61</v>
      </c>
      <c r="J80" s="2">
        <v>15</v>
      </c>
      <c r="K80" s="12"/>
      <c r="N80" s="2" t="s">
        <v>11</v>
      </c>
      <c r="O80" s="17">
        <f>ROUND(VLOOKUP(O$67&amp;"_1",管理者用人口入力シート!CO:DL,Q80,FALSE),0)</f>
        <v>48</v>
      </c>
      <c r="P80" s="17">
        <f>ROUND(VLOOKUP(O$67&amp;"_2",管理者用人口入力シート!CO:DL,Q80,FALSE),0)</f>
        <v>61</v>
      </c>
      <c r="Q80" s="2">
        <v>15</v>
      </c>
      <c r="U80" s="85"/>
    </row>
    <row r="81" spans="1:21" x14ac:dyDescent="0.15">
      <c r="A81" s="2" t="s">
        <v>16</v>
      </c>
      <c r="B81" s="17">
        <f>ROUND(VLOOKUP(B$63&amp;"_1",管理者用人口入力シート!A:X,D81,FALSE),0)</f>
        <v>88</v>
      </c>
      <c r="C81" s="17">
        <f>ROUND(VLOOKUP(B$63&amp;"_2",管理者用人口入力シート!A:X,D81,FALSE),0)</f>
        <v>125</v>
      </c>
      <c r="D81" s="2">
        <v>20</v>
      </c>
      <c r="G81" s="2" t="s">
        <v>12</v>
      </c>
      <c r="H81" s="17">
        <f>ROUND(VLOOKUP(H$67&amp;"_1",管理者用人口入力シート!BH:CE,J81,FALSE),0)</f>
        <v>77</v>
      </c>
      <c r="I81" s="17">
        <f>ROUND(VLOOKUP(H$67&amp;"_2",管理者用人口入力シート!BH:CE,J81,FALSE),0)</f>
        <v>91</v>
      </c>
      <c r="J81" s="2">
        <v>16</v>
      </c>
      <c r="K81" s="12"/>
      <c r="N81" s="2" t="s">
        <v>12</v>
      </c>
      <c r="O81" s="17">
        <f>ROUND(VLOOKUP(O$67&amp;"_1",管理者用人口入力シート!CO:DL,Q81,FALSE),0)</f>
        <v>77</v>
      </c>
      <c r="P81" s="17">
        <f>ROUND(VLOOKUP(O$67&amp;"_2",管理者用人口入力シート!CO:DL,Q81,FALSE),0)</f>
        <v>91</v>
      </c>
      <c r="Q81" s="2">
        <v>16</v>
      </c>
      <c r="U81" s="85"/>
    </row>
    <row r="82" spans="1:21" x14ac:dyDescent="0.15">
      <c r="A82" s="2" t="s">
        <v>17</v>
      </c>
      <c r="B82" s="17">
        <f>ROUND(VLOOKUP(B$63&amp;"_1",管理者用人口入力シート!A:X,D82,FALSE),0)</f>
        <v>51</v>
      </c>
      <c r="C82" s="17">
        <f>ROUND(VLOOKUP(B$63&amp;"_2",管理者用人口入力シート!A:X,D82,FALSE),0)</f>
        <v>100</v>
      </c>
      <c r="D82" s="2">
        <v>21</v>
      </c>
      <c r="G82" s="2" t="s">
        <v>13</v>
      </c>
      <c r="H82" s="17">
        <f>ROUND(VLOOKUP(H$67&amp;"_1",管理者用人口入力シート!BH:CE,J82,FALSE),0)</f>
        <v>112</v>
      </c>
      <c r="I82" s="17">
        <f>ROUND(VLOOKUP(H$67&amp;"_2",管理者用人口入力シート!BH:CE,J82,FALSE),0)</f>
        <v>106</v>
      </c>
      <c r="J82" s="2">
        <v>17</v>
      </c>
      <c r="K82" s="12"/>
      <c r="N82" s="2" t="s">
        <v>13</v>
      </c>
      <c r="O82" s="17">
        <f>ROUND(VLOOKUP(O$67&amp;"_1",管理者用人口入力シート!CO:DL,Q82,FALSE),0)</f>
        <v>112</v>
      </c>
      <c r="P82" s="17">
        <f>ROUND(VLOOKUP(O$67&amp;"_2",管理者用人口入力シート!CO:DL,Q82,FALSE),0)</f>
        <v>106</v>
      </c>
      <c r="Q82" s="2">
        <v>17</v>
      </c>
      <c r="U82" s="85"/>
    </row>
    <row r="83" spans="1:21" x14ac:dyDescent="0.15">
      <c r="A83" s="2" t="s">
        <v>18</v>
      </c>
      <c r="B83" s="17">
        <f>ROUND(VLOOKUP(B$63&amp;"_1",管理者用人口入力シート!A:X,D83,FALSE),0)</f>
        <v>8</v>
      </c>
      <c r="C83" s="17">
        <f>ROUND(VLOOKUP(B$63&amp;"_2",管理者用人口入力シート!A:X,D83,FALSE),0)</f>
        <v>44</v>
      </c>
      <c r="D83" s="2">
        <v>22</v>
      </c>
      <c r="G83" s="2" t="s">
        <v>14</v>
      </c>
      <c r="H83" s="17">
        <f>ROUND(VLOOKUP(H$67&amp;"_1",管理者用人口入力シート!BH:CE,J83,FALSE),0)</f>
        <v>129</v>
      </c>
      <c r="I83" s="17">
        <f>ROUND(VLOOKUP(H$67&amp;"_2",管理者用人口入力シート!BH:CE,J83,FALSE),0)</f>
        <v>134</v>
      </c>
      <c r="J83" s="2">
        <v>18</v>
      </c>
      <c r="K83" s="12"/>
      <c r="N83" s="2" t="s">
        <v>14</v>
      </c>
      <c r="O83" s="17">
        <f>ROUND(VLOOKUP(O$67&amp;"_1",管理者用人口入力シート!CO:DL,Q83,FALSE),0)</f>
        <v>129</v>
      </c>
      <c r="P83" s="17">
        <f>ROUND(VLOOKUP(O$67&amp;"_2",管理者用人口入力シート!CO:DL,Q83,FALSE),0)</f>
        <v>134</v>
      </c>
      <c r="Q83" s="2">
        <v>18</v>
      </c>
      <c r="U83" s="85"/>
    </row>
    <row r="84" spans="1:21" x14ac:dyDescent="0.15">
      <c r="A84" s="2" t="s">
        <v>19</v>
      </c>
      <c r="B84" s="17">
        <f>ROUND(VLOOKUP(B$63&amp;"_1",管理者用人口入力シート!A:X,D84,FALSE),0)</f>
        <v>4</v>
      </c>
      <c r="C84" s="17">
        <f>ROUND(VLOOKUP(B$63&amp;"_2",管理者用人口入力シート!A:X,D84,FALSE),0)</f>
        <v>15</v>
      </c>
      <c r="D84" s="2">
        <v>23</v>
      </c>
      <c r="G84" s="2" t="s">
        <v>15</v>
      </c>
      <c r="H84" s="17">
        <f>ROUND(VLOOKUP(H$67&amp;"_1",管理者用人口入力シート!BH:CE,J84,FALSE),0)</f>
        <v>103</v>
      </c>
      <c r="I84" s="17">
        <f>ROUND(VLOOKUP(H$67&amp;"_2",管理者用人口入力シート!BH:CE,J84,FALSE),0)</f>
        <v>110</v>
      </c>
      <c r="J84" s="2">
        <v>19</v>
      </c>
      <c r="K84" s="12"/>
      <c r="N84" s="2" t="s">
        <v>15</v>
      </c>
      <c r="O84" s="17">
        <f>ROUND(VLOOKUP(O$67&amp;"_1",管理者用人口入力シート!CO:DL,Q84,FALSE),0)</f>
        <v>103</v>
      </c>
      <c r="P84" s="17">
        <f>ROUND(VLOOKUP(O$67&amp;"_2",管理者用人口入力シート!CO:DL,Q84,FALSE),0)</f>
        <v>110</v>
      </c>
      <c r="Q84" s="2">
        <v>19</v>
      </c>
      <c r="U84" s="85"/>
    </row>
    <row r="85" spans="1:21" x14ac:dyDescent="0.15">
      <c r="A85" s="2" t="s">
        <v>20</v>
      </c>
      <c r="B85" s="17">
        <f>ROUND(VLOOKUP(B$63&amp;"_1",管理者用人口入力シート!A:X,D85,FALSE),0)</f>
        <v>0</v>
      </c>
      <c r="C85" s="17">
        <f>ROUND(VLOOKUP(B$63&amp;"_2",管理者用人口入力シート!A:X,D85,FALSE),0)</f>
        <v>5</v>
      </c>
      <c r="D85" s="2">
        <v>24</v>
      </c>
      <c r="G85" s="2" t="s">
        <v>16</v>
      </c>
      <c r="H85" s="17">
        <f>ROUND(VLOOKUP(H$67&amp;"_1",管理者用人口入力シート!BH:CE,J85,FALSE),0)</f>
        <v>63</v>
      </c>
      <c r="I85" s="17">
        <f>ROUND(VLOOKUP(H$67&amp;"_2",管理者用人口入力シート!BH:CE,J85,FALSE),0)</f>
        <v>82</v>
      </c>
      <c r="J85" s="2">
        <v>20</v>
      </c>
      <c r="K85" s="12"/>
      <c r="N85" s="2" t="s">
        <v>16</v>
      </c>
      <c r="O85" s="17">
        <f>ROUND(VLOOKUP(O$67&amp;"_1",管理者用人口入力シート!CO:DL,Q85,FALSE),0)</f>
        <v>63</v>
      </c>
      <c r="P85" s="17">
        <f>ROUND(VLOOKUP(O$67&amp;"_2",管理者用人口入力シート!CO:DL,Q85,FALSE),0)</f>
        <v>82</v>
      </c>
      <c r="Q85" s="2">
        <v>20</v>
      </c>
      <c r="U85" s="85"/>
    </row>
    <row r="86" spans="1:21" x14ac:dyDescent="0.15">
      <c r="G86" s="2" t="s">
        <v>17</v>
      </c>
      <c r="H86" s="17">
        <f>ROUND(VLOOKUP(H$67&amp;"_1",管理者用人口入力シート!BH:CE,J86,FALSE),0)</f>
        <v>47</v>
      </c>
      <c r="I86" s="17">
        <f>ROUND(VLOOKUP(H$67&amp;"_2",管理者用人口入力シート!BH:CE,J86,FALSE),0)</f>
        <v>86</v>
      </c>
      <c r="J86" s="2">
        <v>21</v>
      </c>
      <c r="K86" s="12"/>
      <c r="N86" s="2" t="s">
        <v>17</v>
      </c>
      <c r="O86" s="17">
        <f>ROUND(VLOOKUP(O$67&amp;"_1",管理者用人口入力シート!CO:DL,Q86,FALSE),0)</f>
        <v>47</v>
      </c>
      <c r="P86" s="17">
        <f>ROUND(VLOOKUP(O$67&amp;"_2",管理者用人口入力シート!CO:DL,Q86,FALSE),0)</f>
        <v>86</v>
      </c>
      <c r="Q86" s="2">
        <v>21</v>
      </c>
      <c r="U86" s="85"/>
    </row>
    <row r="87" spans="1:21" x14ac:dyDescent="0.15">
      <c r="A87" s="2" t="s">
        <v>62</v>
      </c>
      <c r="B87" s="315">
        <f>管理者入力シート!B5</f>
        <v>2020</v>
      </c>
      <c r="C87" s="316"/>
      <c r="D87" s="2" t="s">
        <v>114</v>
      </c>
      <c r="G87" s="2" t="s">
        <v>18</v>
      </c>
      <c r="H87" s="17">
        <f>ROUND(VLOOKUP(H$67&amp;"_1",管理者用人口入力シート!BH:CE,J87,FALSE),0)</f>
        <v>25</v>
      </c>
      <c r="I87" s="17">
        <f>ROUND(VLOOKUP(H$67&amp;"_2",管理者用人口入力シート!BH:CE,J87,FALSE),0)</f>
        <v>57</v>
      </c>
      <c r="J87" s="2">
        <v>22</v>
      </c>
      <c r="K87" s="12"/>
      <c r="N87" s="2" t="s">
        <v>18</v>
      </c>
      <c r="O87" s="17">
        <f>ROUND(VLOOKUP(O$67&amp;"_1",管理者用人口入力シート!CO:DL,Q87,FALSE),0)</f>
        <v>25</v>
      </c>
      <c r="P87" s="17">
        <f>ROUND(VLOOKUP(O$67&amp;"_2",管理者用人口入力シート!CO:DL,Q87,FALSE),0)</f>
        <v>57</v>
      </c>
      <c r="Q87" s="2">
        <v>22</v>
      </c>
      <c r="U87" s="85"/>
    </row>
    <row r="88" spans="1:21" x14ac:dyDescent="0.15">
      <c r="A88" s="2" t="s">
        <v>115</v>
      </c>
      <c r="B88" s="18" t="s">
        <v>21</v>
      </c>
      <c r="C88" s="18" t="s">
        <v>22</v>
      </c>
      <c r="G88" s="2" t="s">
        <v>19</v>
      </c>
      <c r="H88" s="17">
        <f>ROUND(VLOOKUP(H$67&amp;"_1",管理者用人口入力シート!BH:CE,J88,FALSE),0)</f>
        <v>8</v>
      </c>
      <c r="I88" s="17">
        <f>ROUND(VLOOKUP(H$67&amp;"_2",管理者用人口入力シート!BH:CE,J88,FALSE),0)</f>
        <v>28</v>
      </c>
      <c r="J88" s="2">
        <v>23</v>
      </c>
      <c r="K88" s="12"/>
      <c r="N88" s="2" t="s">
        <v>19</v>
      </c>
      <c r="O88" s="17">
        <f>ROUND(VLOOKUP(O$67&amp;"_1",管理者用人口入力シート!CO:DL,Q88,FALSE),0)</f>
        <v>8</v>
      </c>
      <c r="P88" s="17">
        <f>ROUND(VLOOKUP(O$67&amp;"_2",管理者用人口入力シート!CO:DL,Q88,FALSE),0)</f>
        <v>28</v>
      </c>
      <c r="Q88" s="2">
        <v>23</v>
      </c>
      <c r="U88" s="85"/>
    </row>
    <row r="89" spans="1:21" x14ac:dyDescent="0.15">
      <c r="A89" s="2" t="s">
        <v>0</v>
      </c>
      <c r="B89" s="17">
        <f>ROUND(VLOOKUP(B$87&amp;"_1",管理者用人口入力シート!A:X,D89,FALSE),0)</f>
        <v>25</v>
      </c>
      <c r="C89" s="17">
        <f>ROUND(VLOOKUP(B$87&amp;"_2",管理者用人口入力シート!A:X,D89,FALSE),0)</f>
        <v>18</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33</v>
      </c>
      <c r="C90" s="17">
        <f>ROUND(VLOOKUP(B$87&amp;"_2",管理者用人口入力シート!A:X,D90,FALSE),0)</f>
        <v>31</v>
      </c>
      <c r="D90" s="2">
        <v>5</v>
      </c>
    </row>
    <row r="91" spans="1:21" x14ac:dyDescent="0.15">
      <c r="A91" s="2" t="s">
        <v>2</v>
      </c>
      <c r="B91" s="17">
        <f>ROUND(VLOOKUP(B$87&amp;"_1",管理者用人口入力シート!A:X,D91,FALSE),0)</f>
        <v>33</v>
      </c>
      <c r="C91" s="17">
        <f>ROUND(VLOOKUP(B$87&amp;"_2",管理者用人口入力シート!A:X,D91,FALSE),0)</f>
        <v>41</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33</v>
      </c>
      <c r="C92" s="17">
        <f>ROUND(VLOOKUP(B$87&amp;"_2",管理者用人口入力シート!A:X,D92,FALSE),0)</f>
        <v>42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28</v>
      </c>
      <c r="C93" s="17">
        <f>ROUND(VLOOKUP(B$87&amp;"_2",管理者用人口入力シート!A:X,D93,FALSE),0)</f>
        <v>28</v>
      </c>
      <c r="D93" s="2">
        <v>8</v>
      </c>
      <c r="G93" s="2" t="s">
        <v>0</v>
      </c>
      <c r="H93" s="17">
        <f>ROUND(VLOOKUP(H$91&amp;"_1",管理者用人口入力シート!BH:CE,J93,FALSE),0)</f>
        <v>14</v>
      </c>
      <c r="I93" s="17">
        <f>ROUND(VLOOKUP(H$91&amp;"_2",管理者用人口入力シート!BH:CE,J93,FALSE),0)</f>
        <v>10</v>
      </c>
      <c r="J93" s="2">
        <v>4</v>
      </c>
      <c r="K93" s="12"/>
      <c r="N93" s="2" t="s">
        <v>0</v>
      </c>
      <c r="O93" s="17">
        <f>ROUND(VLOOKUP(O$91&amp;"_1",管理者用人口入力シート!CO:DL,Q93,FALSE),0)</f>
        <v>16</v>
      </c>
      <c r="P93" s="17">
        <f>ROUND(VLOOKUP(O$91&amp;"_2",管理者用人口入力シート!CO:DL,Q93,FALSE),0)</f>
        <v>12</v>
      </c>
      <c r="Q93" s="2">
        <v>4</v>
      </c>
      <c r="T93" s="85"/>
    </row>
    <row r="94" spans="1:21" x14ac:dyDescent="0.15">
      <c r="A94" s="2" t="s">
        <v>5</v>
      </c>
      <c r="B94" s="17">
        <f>ROUND(VLOOKUP(B$87&amp;"_1",管理者用人口入力シート!A:X,D94,FALSE),0)</f>
        <v>28</v>
      </c>
      <c r="C94" s="17">
        <f>ROUND(VLOOKUP(B$87&amp;"_2",管理者用人口入力シート!A:X,D94,FALSE),0)</f>
        <v>25</v>
      </c>
      <c r="D94" s="2">
        <v>9</v>
      </c>
      <c r="G94" s="2" t="s">
        <v>1</v>
      </c>
      <c r="H94" s="17">
        <f>ROUND(VLOOKUP(H$91&amp;"_1",管理者用人口入力シート!BH:CE,J94,FALSE),0)</f>
        <v>20</v>
      </c>
      <c r="I94" s="17">
        <f>ROUND(VLOOKUP(H$91&amp;"_2",管理者用人口入力シート!BH:CE,J94,FALSE),0)</f>
        <v>16</v>
      </c>
      <c r="J94" s="2">
        <v>5</v>
      </c>
      <c r="K94" s="12"/>
      <c r="N94" s="2" t="s">
        <v>1</v>
      </c>
      <c r="O94" s="17">
        <f>ROUND(VLOOKUP(O$91&amp;"_1",管理者用人口入力シート!CO:DL,Q94,FALSE),0)</f>
        <v>21</v>
      </c>
      <c r="P94" s="17">
        <f>ROUND(VLOOKUP(O$91&amp;"_2",管理者用人口入力シート!CO:DL,Q94,FALSE),0)</f>
        <v>18</v>
      </c>
      <c r="Q94" s="2">
        <v>5</v>
      </c>
      <c r="T94" s="85"/>
    </row>
    <row r="95" spans="1:21" x14ac:dyDescent="0.15">
      <c r="A95" s="2" t="s">
        <v>6</v>
      </c>
      <c r="B95" s="17">
        <f>ROUND(VLOOKUP(B$87&amp;"_1",管理者用人口入力シート!A:X,D95,FALSE),0)</f>
        <v>35</v>
      </c>
      <c r="C95" s="17">
        <f>ROUND(VLOOKUP(B$87&amp;"_2",管理者用人口入力シート!A:X,D95,FALSE),0)</f>
        <v>33</v>
      </c>
      <c r="D95" s="2">
        <v>10</v>
      </c>
      <c r="G95" s="2" t="s">
        <v>2</v>
      </c>
      <c r="H95" s="17">
        <f>ROUND(VLOOKUP(H$91&amp;"_1",管理者用人口入力シート!BH:CE,J95,FALSE),0)</f>
        <v>25</v>
      </c>
      <c r="I95" s="17">
        <f>ROUND(VLOOKUP(H$91&amp;"_2",管理者用人口入力シート!BH:CE,J95,FALSE),0)</f>
        <v>23</v>
      </c>
      <c r="J95" s="2">
        <v>6</v>
      </c>
      <c r="K95" s="12"/>
      <c r="N95" s="2" t="s">
        <v>2</v>
      </c>
      <c r="O95" s="17">
        <f>ROUND(VLOOKUP(O$91&amp;"_1",管理者用人口入力シート!CO:DL,Q95,FALSE),0)</f>
        <v>26</v>
      </c>
      <c r="P95" s="17">
        <f>ROUND(VLOOKUP(O$91&amp;"_2",管理者用人口入力シート!CO:DL,Q95,FALSE),0)</f>
        <v>24</v>
      </c>
      <c r="Q95" s="2">
        <v>6</v>
      </c>
      <c r="T95" s="85"/>
    </row>
    <row r="96" spans="1:21" x14ac:dyDescent="0.15">
      <c r="A96" s="2" t="s">
        <v>7</v>
      </c>
      <c r="B96" s="17">
        <f>ROUND(VLOOKUP(B$87&amp;"_1",管理者用人口入力シート!A:X,D96,FALSE),0)</f>
        <v>47</v>
      </c>
      <c r="C96" s="17">
        <f>ROUND(VLOOKUP(B$87&amp;"_2",管理者用人口入力シート!A:X,D96,FALSE),0)</f>
        <v>38</v>
      </c>
      <c r="D96" s="2">
        <v>11</v>
      </c>
      <c r="G96" s="2" t="s">
        <v>3</v>
      </c>
      <c r="H96" s="17">
        <f>ROUND(VLOOKUP(H$91&amp;"_1",管理者用人口入力シート!BH:CE,J96,FALSE),0)</f>
        <v>26</v>
      </c>
      <c r="I96" s="17">
        <f>ROUND(VLOOKUP(H$91&amp;"_2",管理者用人口入力シート!BH:CE,J96,FALSE),0)</f>
        <v>28</v>
      </c>
      <c r="J96" s="2">
        <v>7</v>
      </c>
      <c r="K96" s="12"/>
      <c r="N96" s="2" t="s">
        <v>3</v>
      </c>
      <c r="O96" s="17">
        <f>ROUND(VLOOKUP(O$91&amp;"_1",管理者用人口入力シート!CO:DL,Q96,FALSE),0)</f>
        <v>27</v>
      </c>
      <c r="P96" s="17">
        <f>ROUND(VLOOKUP(O$91&amp;"_2",管理者用人口入力シート!CO:DL,Q96,FALSE),0)</f>
        <v>29</v>
      </c>
      <c r="Q96" s="2">
        <v>7</v>
      </c>
      <c r="T96" s="85"/>
    </row>
    <row r="97" spans="1:20" x14ac:dyDescent="0.15">
      <c r="A97" s="2" t="s">
        <v>8</v>
      </c>
      <c r="B97" s="17">
        <f>ROUND(VLOOKUP(B$87&amp;"_1",管理者用人口入力シート!A:X,D97,FALSE),0)</f>
        <v>58</v>
      </c>
      <c r="C97" s="17">
        <f>ROUND(VLOOKUP(B$87&amp;"_2",管理者用人口入力シート!A:X,D97,FALSE),0)</f>
        <v>48</v>
      </c>
      <c r="D97" s="2">
        <v>12</v>
      </c>
      <c r="G97" s="2" t="s">
        <v>4</v>
      </c>
      <c r="H97" s="17">
        <f>ROUND(VLOOKUP(H$91&amp;"_1",管理者用人口入力シート!BH:CE,J97,FALSE),0)</f>
        <v>16</v>
      </c>
      <c r="I97" s="17">
        <f>ROUND(VLOOKUP(H$91&amp;"_2",管理者用人口入力シート!BH:CE,J97,FALSE),0)</f>
        <v>20</v>
      </c>
      <c r="J97" s="2">
        <v>8</v>
      </c>
      <c r="K97" s="12"/>
      <c r="N97" s="2" t="s">
        <v>4</v>
      </c>
      <c r="O97" s="17">
        <f>ROUND(VLOOKUP(O$91&amp;"_1",管理者用人口入力シート!CO:DL,Q97,FALSE),0)</f>
        <v>16</v>
      </c>
      <c r="P97" s="17">
        <f>ROUND(VLOOKUP(O$91&amp;"_2",管理者用人口入力シート!CO:DL,Q97,FALSE),0)</f>
        <v>20</v>
      </c>
      <c r="Q97" s="2">
        <v>8</v>
      </c>
      <c r="T97" s="85"/>
    </row>
    <row r="98" spans="1:20" x14ac:dyDescent="0.15">
      <c r="A98" s="2" t="s">
        <v>9</v>
      </c>
      <c r="B98" s="17">
        <f>ROUND(VLOOKUP(B$87&amp;"_1",管理者用人口入力シート!A:X,D98,FALSE),0)</f>
        <v>61</v>
      </c>
      <c r="C98" s="17">
        <f>ROUND(VLOOKUP(B$87&amp;"_2",管理者用人口入力シート!A:X,D98,FALSE),0)</f>
        <v>65</v>
      </c>
      <c r="D98" s="2">
        <v>13</v>
      </c>
      <c r="G98" s="2" t="s">
        <v>5</v>
      </c>
      <c r="H98" s="17">
        <f>ROUND(VLOOKUP(H$91&amp;"_1",管理者用人口入力シート!BH:CE,J98,FALSE),0)</f>
        <v>15</v>
      </c>
      <c r="I98" s="17">
        <f>ROUND(VLOOKUP(H$91&amp;"_2",管理者用人口入力シート!BH:CE,J98,FALSE),0)</f>
        <v>16</v>
      </c>
      <c r="J98" s="2">
        <v>9</v>
      </c>
      <c r="K98" s="12"/>
      <c r="N98" s="2" t="s">
        <v>5</v>
      </c>
      <c r="O98" s="17">
        <f>ROUND(VLOOKUP(O$91&amp;"_1",管理者用人口入力シート!CO:DL,Q98,FALSE),0)</f>
        <v>17</v>
      </c>
      <c r="P98" s="17">
        <f>ROUND(VLOOKUP(O$91&amp;"_2",管理者用人口入力シート!CO:DL,Q98,FALSE),0)</f>
        <v>18</v>
      </c>
      <c r="Q98" s="2">
        <v>9</v>
      </c>
      <c r="T98" s="85"/>
    </row>
    <row r="99" spans="1:20" x14ac:dyDescent="0.15">
      <c r="A99" s="2" t="s">
        <v>10</v>
      </c>
      <c r="B99" s="17">
        <f>ROUND(VLOOKUP(B$87&amp;"_1",管理者用人口入力シート!A:X,D99,FALSE),0)</f>
        <v>48</v>
      </c>
      <c r="C99" s="17">
        <f>ROUND(VLOOKUP(B$87&amp;"_2",管理者用人口入力シート!A:X,D99,FALSE),0)</f>
        <v>59</v>
      </c>
      <c r="D99" s="2">
        <v>14</v>
      </c>
      <c r="G99" s="2" t="s">
        <v>6</v>
      </c>
      <c r="H99" s="17">
        <f>ROUND(VLOOKUP(H$91&amp;"_1",管理者用人口入力シート!BH:CE,J99,FALSE),0)</f>
        <v>21</v>
      </c>
      <c r="I99" s="17">
        <f>ROUND(VLOOKUP(H$91&amp;"_2",管理者用人口入力シート!BH:CE,J99,FALSE),0)</f>
        <v>14</v>
      </c>
      <c r="J99" s="2">
        <v>10</v>
      </c>
      <c r="K99" s="12"/>
      <c r="N99" s="2" t="s">
        <v>6</v>
      </c>
      <c r="O99" s="17">
        <f>ROUND(VLOOKUP(O$91&amp;"_1",管理者用人口入力シート!CO:DL,Q99,FALSE),0)</f>
        <v>23</v>
      </c>
      <c r="P99" s="17">
        <f>ROUND(VLOOKUP(O$91&amp;"_2",管理者用人口入力シート!CO:DL,Q99,FALSE),0)</f>
        <v>16</v>
      </c>
      <c r="Q99" s="2">
        <v>10</v>
      </c>
      <c r="T99" s="85"/>
    </row>
    <row r="100" spans="1:20" x14ac:dyDescent="0.15">
      <c r="A100" s="2" t="s">
        <v>11</v>
      </c>
      <c r="B100" s="17">
        <f>ROUND(VLOOKUP(B$87&amp;"_1",管理者用人口入力シート!A:X,D100,FALSE),0)</f>
        <v>76</v>
      </c>
      <c r="C100" s="17">
        <f>ROUND(VLOOKUP(B$87&amp;"_2",管理者用人口入力シート!A:X,D100,FALSE),0)</f>
        <v>91</v>
      </c>
      <c r="D100" s="2">
        <v>15</v>
      </c>
      <c r="G100" s="2" t="s">
        <v>7</v>
      </c>
      <c r="H100" s="17">
        <f>ROUND(VLOOKUP(H$91&amp;"_1",管理者用人口入力シート!BH:CE,J100,FALSE),0)</f>
        <v>24</v>
      </c>
      <c r="I100" s="17">
        <f>ROUND(VLOOKUP(H$91&amp;"_2",管理者用人口入力シート!BH:CE,J100,FALSE),0)</f>
        <v>20</v>
      </c>
      <c r="J100" s="2">
        <v>11</v>
      </c>
      <c r="K100" s="12"/>
      <c r="N100" s="2" t="s">
        <v>7</v>
      </c>
      <c r="O100" s="17">
        <f>ROUND(VLOOKUP(O$91&amp;"_1",管理者用人口入力シート!CO:DL,Q100,FALSE),0)</f>
        <v>24</v>
      </c>
      <c r="P100" s="17">
        <f>ROUND(VLOOKUP(O$91&amp;"_2",管理者用人口入力シート!CO:DL,Q100,FALSE),0)</f>
        <v>20</v>
      </c>
      <c r="Q100" s="2">
        <v>11</v>
      </c>
      <c r="T100" s="85"/>
    </row>
    <row r="101" spans="1:20" x14ac:dyDescent="0.15">
      <c r="A101" s="2" t="s">
        <v>12</v>
      </c>
      <c r="B101" s="17">
        <f>ROUND(VLOOKUP(B$87&amp;"_1",管理者用人口入力シート!A:X,D101,FALSE),0)</f>
        <v>114</v>
      </c>
      <c r="C101" s="17">
        <f>ROUND(VLOOKUP(B$87&amp;"_2",管理者用人口入力シート!A:X,D101,FALSE),0)</f>
        <v>105</v>
      </c>
      <c r="D101" s="2">
        <v>16</v>
      </c>
      <c r="G101" s="2" t="s">
        <v>8</v>
      </c>
      <c r="H101" s="17">
        <f>ROUND(VLOOKUP(H$91&amp;"_1",管理者用人口入力シート!BH:CE,J101,FALSE),0)</f>
        <v>35</v>
      </c>
      <c r="I101" s="17">
        <f>ROUND(VLOOKUP(H$91&amp;"_2",管理者用人口入力シート!BH:CE,J101,FALSE),0)</f>
        <v>32</v>
      </c>
      <c r="J101" s="2">
        <v>12</v>
      </c>
      <c r="K101" s="12"/>
      <c r="N101" s="2" t="s">
        <v>8</v>
      </c>
      <c r="O101" s="17">
        <f>ROUND(VLOOKUP(O$91&amp;"_1",管理者用人口入力シート!CO:DL,Q101,FALSE),0)</f>
        <v>35</v>
      </c>
      <c r="P101" s="17">
        <f>ROUND(VLOOKUP(O$91&amp;"_2",管理者用人口入力シート!CO:DL,Q101,FALSE),0)</f>
        <v>33</v>
      </c>
      <c r="Q101" s="2">
        <v>12</v>
      </c>
      <c r="T101" s="85"/>
    </row>
    <row r="102" spans="1:20" x14ac:dyDescent="0.15">
      <c r="A102" s="2" t="s">
        <v>13</v>
      </c>
      <c r="B102" s="17">
        <f>ROUND(VLOOKUP(B$87&amp;"_1",管理者用人口入力シート!A:X,D102,FALSE),0)</f>
        <v>145</v>
      </c>
      <c r="C102" s="17">
        <f>ROUND(VLOOKUP(B$87&amp;"_2",管理者用人口入力シート!A:X,D102,FALSE),0)</f>
        <v>140</v>
      </c>
      <c r="D102" s="2">
        <v>17</v>
      </c>
      <c r="G102" s="2" t="s">
        <v>9</v>
      </c>
      <c r="H102" s="17">
        <f>ROUND(VLOOKUP(H$91&amp;"_1",管理者用人口入力シート!BH:CE,J102,FALSE),0)</f>
        <v>50</v>
      </c>
      <c r="I102" s="17">
        <f>ROUND(VLOOKUP(H$91&amp;"_2",管理者用人口入力シート!BH:CE,J102,FALSE),0)</f>
        <v>40</v>
      </c>
      <c r="J102" s="2">
        <v>13</v>
      </c>
      <c r="K102" s="12"/>
      <c r="N102" s="2" t="s">
        <v>9</v>
      </c>
      <c r="O102" s="17">
        <f>ROUND(VLOOKUP(O$91&amp;"_1",管理者用人口入力シート!CO:DL,Q102,FALSE),0)</f>
        <v>50</v>
      </c>
      <c r="P102" s="17">
        <f>ROUND(VLOOKUP(O$91&amp;"_2",管理者用人口入力シート!CO:DL,Q102,FALSE),0)</f>
        <v>41</v>
      </c>
      <c r="Q102" s="2">
        <v>13</v>
      </c>
      <c r="T102" s="85"/>
    </row>
    <row r="103" spans="1:20" x14ac:dyDescent="0.15">
      <c r="A103" s="2" t="s">
        <v>14</v>
      </c>
      <c r="B103" s="17">
        <f>ROUND(VLOOKUP(B$87&amp;"_1",管理者用人口入力シート!A:X,D103,FALSE),0)</f>
        <v>130</v>
      </c>
      <c r="C103" s="17">
        <f>ROUND(VLOOKUP(B$87&amp;"_2",管理者用人口入力シート!A:X,D103,FALSE),0)</f>
        <v>117</v>
      </c>
      <c r="D103" s="2">
        <v>18</v>
      </c>
      <c r="G103" s="2" t="s">
        <v>10</v>
      </c>
      <c r="H103" s="17">
        <f>ROUND(VLOOKUP(H$91&amp;"_1",管理者用人口入力シート!BH:CE,J103,FALSE),0)</f>
        <v>54</v>
      </c>
      <c r="I103" s="17">
        <f>ROUND(VLOOKUP(H$91&amp;"_2",管理者用人口入力シート!BH:CE,J103,FALSE),0)</f>
        <v>50</v>
      </c>
      <c r="J103" s="2">
        <v>14</v>
      </c>
      <c r="K103" s="12"/>
      <c r="N103" s="2" t="s">
        <v>10</v>
      </c>
      <c r="O103" s="17">
        <f>ROUND(VLOOKUP(O$91&amp;"_1",管理者用人口入力シート!CO:DL,Q103,FALSE),0)</f>
        <v>54</v>
      </c>
      <c r="P103" s="17">
        <f>ROUND(VLOOKUP(O$91&amp;"_2",管理者用人口入力シート!CO:DL,Q103,FALSE),0)</f>
        <v>50</v>
      </c>
      <c r="Q103" s="2">
        <v>14</v>
      </c>
      <c r="T103" s="85"/>
    </row>
    <row r="104" spans="1:20" x14ac:dyDescent="0.15">
      <c r="A104" s="2" t="s">
        <v>15</v>
      </c>
      <c r="B104" s="17">
        <f>ROUND(VLOOKUP(B$87&amp;"_1",管理者用人口入力シート!A:X,D104,FALSE),0)</f>
        <v>75</v>
      </c>
      <c r="C104" s="17">
        <f>ROUND(VLOOKUP(B$87&amp;"_2",管理者用人口入力シート!A:X,D104,FALSE),0)</f>
        <v>97</v>
      </c>
      <c r="D104" s="2">
        <v>19</v>
      </c>
      <c r="G104" s="2" t="s">
        <v>11</v>
      </c>
      <c r="H104" s="17">
        <f>ROUND(VLOOKUP(H$91&amp;"_1",管理者用人口入力シート!BH:CE,J104,FALSE),0)</f>
        <v>59</v>
      </c>
      <c r="I104" s="17">
        <f>ROUND(VLOOKUP(H$91&amp;"_2",管理者用人口入力シート!BH:CE,J104,FALSE),0)</f>
        <v>68</v>
      </c>
      <c r="J104" s="2">
        <v>15</v>
      </c>
      <c r="K104" s="12"/>
      <c r="N104" s="2" t="s">
        <v>11</v>
      </c>
      <c r="O104" s="17">
        <f>ROUND(VLOOKUP(O$91&amp;"_1",管理者用人口入力シート!CO:DL,Q104,FALSE),0)</f>
        <v>59</v>
      </c>
      <c r="P104" s="17">
        <f>ROUND(VLOOKUP(O$91&amp;"_2",管理者用人口入力シート!CO:DL,Q104,FALSE),0)</f>
        <v>68</v>
      </c>
      <c r="Q104" s="2">
        <v>15</v>
      </c>
      <c r="T104" s="85"/>
    </row>
    <row r="105" spans="1:20" x14ac:dyDescent="0.15">
      <c r="A105" s="2" t="s">
        <v>16</v>
      </c>
      <c r="B105" s="17">
        <f>ROUND(VLOOKUP(B$87&amp;"_1",管理者用人口入力シート!A:X,D105,FALSE),0)</f>
        <v>71</v>
      </c>
      <c r="C105" s="17">
        <f>ROUND(VLOOKUP(B$87&amp;"_2",管理者用人口入力シート!A:X,D105,FALSE),0)</f>
        <v>110</v>
      </c>
      <c r="D105" s="2">
        <v>20</v>
      </c>
      <c r="G105" s="2" t="s">
        <v>12</v>
      </c>
      <c r="H105" s="17">
        <f>ROUND(VLOOKUP(H$91&amp;"_1",管理者用人口入力シート!BH:CE,J105,FALSE),0)</f>
        <v>48</v>
      </c>
      <c r="I105" s="17">
        <f>ROUND(VLOOKUP(H$91&amp;"_2",管理者用人口入力シート!BH:CE,J105,FALSE),0)</f>
        <v>61</v>
      </c>
      <c r="J105" s="2">
        <v>16</v>
      </c>
      <c r="K105" s="12"/>
      <c r="N105" s="2" t="s">
        <v>12</v>
      </c>
      <c r="O105" s="17">
        <f>ROUND(VLOOKUP(O$91&amp;"_1",管理者用人口入力シート!CO:DL,Q105,FALSE),0)</f>
        <v>48</v>
      </c>
      <c r="P105" s="17">
        <f>ROUND(VLOOKUP(O$91&amp;"_2",管理者用人口入力シート!CO:DL,Q105,FALSE),0)</f>
        <v>61</v>
      </c>
      <c r="Q105" s="2">
        <v>16</v>
      </c>
      <c r="T105" s="85"/>
    </row>
    <row r="106" spans="1:20" x14ac:dyDescent="0.15">
      <c r="A106" s="2" t="s">
        <v>17</v>
      </c>
      <c r="B106" s="17">
        <f>ROUND(VLOOKUP(B$87&amp;"_1",管理者用人口入力シート!A:X,D106,FALSE),0)</f>
        <v>61</v>
      </c>
      <c r="C106" s="17">
        <f>ROUND(VLOOKUP(B$87&amp;"_2",管理者用人口入力シート!A:X,D106,FALSE),0)</f>
        <v>100</v>
      </c>
      <c r="D106" s="2">
        <v>21</v>
      </c>
      <c r="G106" s="2" t="s">
        <v>13</v>
      </c>
      <c r="H106" s="17">
        <f>ROUND(VLOOKUP(H$91&amp;"_1",管理者用人口入力シート!BH:CE,J106,FALSE),0)</f>
        <v>76</v>
      </c>
      <c r="I106" s="17">
        <f>ROUND(VLOOKUP(H$91&amp;"_2",管理者用人口入力シート!BH:CE,J106,FALSE),0)</f>
        <v>92</v>
      </c>
      <c r="J106" s="2">
        <v>17</v>
      </c>
      <c r="K106" s="12"/>
      <c r="N106" s="2" t="s">
        <v>13</v>
      </c>
      <c r="O106" s="17">
        <f>ROUND(VLOOKUP(O$91&amp;"_1",管理者用人口入力シート!CO:DL,Q106,FALSE),0)</f>
        <v>76</v>
      </c>
      <c r="P106" s="17">
        <f>ROUND(VLOOKUP(O$91&amp;"_2",管理者用人口入力シート!CO:DL,Q106,FALSE),0)</f>
        <v>92</v>
      </c>
      <c r="Q106" s="2">
        <v>17</v>
      </c>
      <c r="T106" s="85"/>
    </row>
    <row r="107" spans="1:20" x14ac:dyDescent="0.15">
      <c r="A107" s="2" t="s">
        <v>18</v>
      </c>
      <c r="B107" s="17">
        <f>ROUND(VLOOKUP(B$87&amp;"_1",管理者用人口入力シート!A:X,D107,FALSE),0)</f>
        <v>25</v>
      </c>
      <c r="C107" s="17">
        <f>ROUND(VLOOKUP(B$87&amp;"_2",管理者用人口入力シート!A:X,D107,FALSE),0)</f>
        <v>56</v>
      </c>
      <c r="D107" s="2">
        <v>22</v>
      </c>
      <c r="G107" s="2" t="s">
        <v>14</v>
      </c>
      <c r="H107" s="17">
        <f>ROUND(VLOOKUP(H$91&amp;"_1",管理者用人口入力シート!BH:CE,J107,FALSE),0)</f>
        <v>100</v>
      </c>
      <c r="I107" s="17">
        <f>ROUND(VLOOKUP(H$91&amp;"_2",管理者用人口入力シート!BH:CE,J107,FALSE),0)</f>
        <v>102</v>
      </c>
      <c r="J107" s="2">
        <v>18</v>
      </c>
      <c r="K107" s="12"/>
      <c r="N107" s="2" t="s">
        <v>14</v>
      </c>
      <c r="O107" s="17">
        <f>ROUND(VLOOKUP(O$91&amp;"_1",管理者用人口入力シート!CO:DL,Q107,FALSE),0)</f>
        <v>100</v>
      </c>
      <c r="P107" s="17">
        <f>ROUND(VLOOKUP(O$91&amp;"_2",管理者用人口入力シート!CO:DL,Q107,FALSE),0)</f>
        <v>102</v>
      </c>
      <c r="Q107" s="2">
        <v>18</v>
      </c>
      <c r="T107" s="85"/>
    </row>
    <row r="108" spans="1:20" x14ac:dyDescent="0.15">
      <c r="A108" s="2" t="s">
        <v>19</v>
      </c>
      <c r="B108" s="17">
        <f>ROUND(VLOOKUP(B$87&amp;"_1",管理者用人口入力シート!A:X,D108,FALSE),0)</f>
        <v>4</v>
      </c>
      <c r="C108" s="17">
        <f>ROUND(VLOOKUP(B$87&amp;"_2",管理者用人口入力シート!A:X,D108,FALSE),0)</f>
        <v>24</v>
      </c>
      <c r="D108" s="2">
        <v>23</v>
      </c>
      <c r="G108" s="2" t="s">
        <v>15</v>
      </c>
      <c r="H108" s="17">
        <f>ROUND(VLOOKUP(H$91&amp;"_1",管理者用人口入力シート!BH:CE,J108,FALSE),0)</f>
        <v>102</v>
      </c>
      <c r="I108" s="17">
        <f>ROUND(VLOOKUP(H$91&amp;"_2",管理者用人口入力シート!BH:CE,J108,FALSE),0)</f>
        <v>127</v>
      </c>
      <c r="J108" s="2">
        <v>19</v>
      </c>
      <c r="K108" s="12"/>
      <c r="N108" s="2" t="s">
        <v>15</v>
      </c>
      <c r="O108" s="17">
        <f>ROUND(VLOOKUP(O$91&amp;"_1",管理者用人口入力シート!CO:DL,Q108,FALSE),0)</f>
        <v>102</v>
      </c>
      <c r="P108" s="17">
        <f>ROUND(VLOOKUP(O$91&amp;"_2",管理者用人口入力シート!CO:DL,Q108,FALSE),0)</f>
        <v>127</v>
      </c>
      <c r="Q108" s="2">
        <v>19</v>
      </c>
      <c r="T108" s="85"/>
    </row>
    <row r="109" spans="1:20" x14ac:dyDescent="0.15">
      <c r="A109" s="2" t="s">
        <v>20</v>
      </c>
      <c r="B109" s="17">
        <f>ROUND(VLOOKUP(B$87&amp;"_1",管理者用人口入力シート!A:X,D109,FALSE),0)</f>
        <v>1</v>
      </c>
      <c r="C109" s="17">
        <f>ROUND(VLOOKUP(B$87&amp;"_2",管理者用人口入力シート!A:X,D109,FALSE),0)</f>
        <v>0</v>
      </c>
      <c r="D109" s="2">
        <v>24</v>
      </c>
      <c r="G109" s="2" t="s">
        <v>16</v>
      </c>
      <c r="H109" s="17">
        <f>ROUND(VLOOKUP(H$91&amp;"_1",管理者用人口入力シート!BH:CE,J109,FALSE),0)</f>
        <v>86</v>
      </c>
      <c r="I109" s="17">
        <f>ROUND(VLOOKUP(H$91&amp;"_2",管理者用人口入力シート!BH:CE,J109,FALSE),0)</f>
        <v>93</v>
      </c>
      <c r="J109" s="2">
        <v>20</v>
      </c>
      <c r="K109" s="12"/>
      <c r="N109" s="2" t="s">
        <v>16</v>
      </c>
      <c r="O109" s="17">
        <f>ROUND(VLOOKUP(O$91&amp;"_1",管理者用人口入力シート!CO:DL,Q109,FALSE),0)</f>
        <v>86</v>
      </c>
      <c r="P109" s="17">
        <f>ROUND(VLOOKUP(O$91&amp;"_2",管理者用人口入力シート!CO:DL,Q109,FALSE),0)</f>
        <v>93</v>
      </c>
      <c r="Q109" s="2">
        <v>20</v>
      </c>
      <c r="T109" s="85"/>
    </row>
    <row r="110" spans="1:20" x14ac:dyDescent="0.15">
      <c r="G110" s="2" t="s">
        <v>17</v>
      </c>
      <c r="H110" s="17">
        <f>ROUND(VLOOKUP(H$91&amp;"_1",管理者用人口入力シート!BH:CE,J110,FALSE),0)</f>
        <v>42</v>
      </c>
      <c r="I110" s="17">
        <f>ROUND(VLOOKUP(H$91&amp;"_2",管理者用人口入力シート!BH:CE,J110,FALSE),0)</f>
        <v>64</v>
      </c>
      <c r="J110" s="2">
        <v>21</v>
      </c>
      <c r="K110" s="12"/>
      <c r="N110" s="2" t="s">
        <v>17</v>
      </c>
      <c r="O110" s="17">
        <f>ROUND(VLOOKUP(O$91&amp;"_1",管理者用人口入力シート!CO:DL,Q110,FALSE),0)</f>
        <v>42</v>
      </c>
      <c r="P110" s="17">
        <f>ROUND(VLOOKUP(O$91&amp;"_2",管理者用人口入力シート!CO:DL,Q110,FALSE),0)</f>
        <v>64</v>
      </c>
      <c r="Q110" s="2">
        <v>21</v>
      </c>
      <c r="T110" s="85"/>
    </row>
    <row r="111" spans="1:20" x14ac:dyDescent="0.15">
      <c r="G111" s="2" t="s">
        <v>18</v>
      </c>
      <c r="H111" s="17">
        <f>ROUND(VLOOKUP(H$91&amp;"_1",管理者用人口入力シート!BH:CE,J111,FALSE),0)</f>
        <v>19</v>
      </c>
      <c r="I111" s="17">
        <f>ROUND(VLOOKUP(H$91&amp;"_2",管理者用人口入力シート!BH:CE,J111,FALSE),0)</f>
        <v>49</v>
      </c>
      <c r="J111" s="2">
        <v>22</v>
      </c>
      <c r="K111" s="12"/>
      <c r="N111" s="2" t="s">
        <v>18</v>
      </c>
      <c r="O111" s="17">
        <f>ROUND(VLOOKUP(O$91&amp;"_1",管理者用人口入力シート!CO:DL,Q111,FALSE),0)</f>
        <v>19</v>
      </c>
      <c r="P111" s="17">
        <f>ROUND(VLOOKUP(O$91&amp;"_2",管理者用人口入力シート!CO:DL,Q111,FALSE),0)</f>
        <v>49</v>
      </c>
      <c r="Q111" s="2">
        <v>22</v>
      </c>
      <c r="T111" s="85"/>
    </row>
    <row r="112" spans="1:20" x14ac:dyDescent="0.15">
      <c r="G112" s="2" t="s">
        <v>19</v>
      </c>
      <c r="H112" s="17">
        <f>ROUND(VLOOKUP(H$91&amp;"_1",管理者用人口入力シート!BH:CE,J112,FALSE),0)</f>
        <v>8</v>
      </c>
      <c r="I112" s="17">
        <f>ROUND(VLOOKUP(H$91&amp;"_2",管理者用人口入力シート!BH:CE,J112,FALSE),0)</f>
        <v>29</v>
      </c>
      <c r="J112" s="2">
        <v>23</v>
      </c>
      <c r="K112" s="12"/>
      <c r="N112" s="2" t="s">
        <v>19</v>
      </c>
      <c r="O112" s="17">
        <f>ROUND(VLOOKUP(O$91&amp;"_1",管理者用人口入力シート!CO:DL,Q112,FALSE),0)</f>
        <v>8</v>
      </c>
      <c r="P112" s="17">
        <f>ROUND(VLOOKUP(O$91&amp;"_2",管理者用人口入力シート!CO:DL,Q112,FALSE),0)</f>
        <v>29</v>
      </c>
      <c r="Q112" s="2">
        <v>23</v>
      </c>
      <c r="T112" s="85"/>
    </row>
    <row r="113" spans="7:20" x14ac:dyDescent="0.15">
      <c r="G113" s="2" t="s">
        <v>20</v>
      </c>
      <c r="H113" s="17">
        <f>ROUND(VLOOKUP(H$91&amp;"_1",管理者用人口入力シート!BH:CE,J113,FALSE),0)</f>
        <v>0</v>
      </c>
      <c r="I113" s="17">
        <f>ROUND(VLOOKUP(H$91&amp;"_2",管理者用人口入力シート!BH:CE,J113,FALSE),0)</f>
        <v>1</v>
      </c>
      <c r="J113" s="2">
        <v>24</v>
      </c>
      <c r="K113" s="12"/>
      <c r="N113" s="2" t="s">
        <v>20</v>
      </c>
      <c r="O113" s="17">
        <f>ROUND(VLOOKUP(O$91&amp;"_1",管理者用人口入力シート!CO:DL,Q113,FALSE),0)</f>
        <v>0</v>
      </c>
      <c r="P113" s="17">
        <f>ROUND(VLOOKUP(O$91&amp;"_2",管理者用人口入力シート!CO:DL,Q113,FALSE),0)</f>
        <v>1</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11</v>
      </c>
      <c r="I117" s="17">
        <f>ROUND(VLOOKUP(H$115&amp;"_2",管理者用人口入力シート!BH:CE,J117,FALSE),0)</f>
        <v>8</v>
      </c>
      <c r="J117" s="2">
        <v>4</v>
      </c>
      <c r="N117" s="2" t="s">
        <v>0</v>
      </c>
      <c r="O117" s="17">
        <f>ROUND(VLOOKUP(O$115&amp;"_1",管理者用人口入力シート!CO:DL,Q117,FALSE),0)</f>
        <v>13</v>
      </c>
      <c r="P117" s="17">
        <f>ROUND(VLOOKUP(O$115&amp;"_2",管理者用人口入力シート!CO:DL,Q117,FALSE),0)</f>
        <v>10</v>
      </c>
      <c r="Q117" s="2">
        <v>4</v>
      </c>
      <c r="T117" s="85"/>
    </row>
    <row r="118" spans="7:20" x14ac:dyDescent="0.15">
      <c r="G118" s="2" t="s">
        <v>1</v>
      </c>
      <c r="H118" s="17">
        <f>ROUND(VLOOKUP(H$115&amp;"_1",管理者用人口入力シート!BH:CE,J118,FALSE),0)</f>
        <v>15</v>
      </c>
      <c r="I118" s="17">
        <f>ROUND(VLOOKUP(H$115&amp;"_2",管理者用人口入力シート!BH:CE,J118,FALSE),0)</f>
        <v>12</v>
      </c>
      <c r="J118" s="2">
        <v>5</v>
      </c>
      <c r="N118" s="2" t="s">
        <v>1</v>
      </c>
      <c r="O118" s="17">
        <f>ROUND(VLOOKUP(O$115&amp;"_1",管理者用人口入力シート!CO:DL,Q118,FALSE),0)</f>
        <v>16</v>
      </c>
      <c r="P118" s="17">
        <f>ROUND(VLOOKUP(O$115&amp;"_2",管理者用人口入力シート!CO:DL,Q118,FALSE),0)</f>
        <v>14</v>
      </c>
      <c r="Q118" s="2">
        <v>5</v>
      </c>
      <c r="T118" s="85"/>
    </row>
    <row r="119" spans="7:20" x14ac:dyDescent="0.15">
      <c r="G119" s="2" t="s">
        <v>2</v>
      </c>
      <c r="H119" s="17">
        <f>ROUND(VLOOKUP(H$115&amp;"_1",管理者用人口入力シート!BH:CE,J119,FALSE),0)</f>
        <v>19</v>
      </c>
      <c r="I119" s="17">
        <f>ROUND(VLOOKUP(H$115&amp;"_2",管理者用人口入力シート!BH:CE,J119,FALSE),0)</f>
        <v>18</v>
      </c>
      <c r="J119" s="2">
        <v>6</v>
      </c>
      <c r="N119" s="2" t="s">
        <v>2</v>
      </c>
      <c r="O119" s="17">
        <f>ROUND(VLOOKUP(O$115&amp;"_1",管理者用人口入力シート!CO:DL,Q119,FALSE),0)</f>
        <v>21</v>
      </c>
      <c r="P119" s="17">
        <f>ROUND(VLOOKUP(O$115&amp;"_2",管理者用人口入力シート!CO:DL,Q119,FALSE),0)</f>
        <v>20</v>
      </c>
      <c r="Q119" s="2">
        <v>6</v>
      </c>
      <c r="T119" s="85"/>
    </row>
    <row r="120" spans="7:20" x14ac:dyDescent="0.15">
      <c r="G120" s="2" t="s">
        <v>3</v>
      </c>
      <c r="H120" s="17">
        <f>ROUND(VLOOKUP(H$115&amp;"_1",管理者用人口入力シート!BH:CE,J120,FALSE),0)</f>
        <v>20</v>
      </c>
      <c r="I120" s="17">
        <f>ROUND(VLOOKUP(H$115&amp;"_2",管理者用人口入力シート!BH:CE,J120,FALSE),0)</f>
        <v>19</v>
      </c>
      <c r="J120" s="2">
        <v>7</v>
      </c>
      <c r="N120" s="2" t="s">
        <v>3</v>
      </c>
      <c r="O120" s="17">
        <f>ROUND(VLOOKUP(O$115&amp;"_1",管理者用人口入力シート!CO:DL,Q120,FALSE),0)</f>
        <v>21</v>
      </c>
      <c r="P120" s="17">
        <f>ROUND(VLOOKUP(O$115&amp;"_2",管理者用人口入力シート!CO:DL,Q120,FALSE),0)</f>
        <v>20</v>
      </c>
      <c r="Q120" s="2">
        <v>7</v>
      </c>
      <c r="T120" s="85"/>
    </row>
    <row r="121" spans="7:20" x14ac:dyDescent="0.15">
      <c r="G121" s="2" t="s">
        <v>4</v>
      </c>
      <c r="H121" s="17">
        <f>ROUND(VLOOKUP(H$115&amp;"_1",管理者用人口入力シート!BH:CE,J121,FALSE),0)</f>
        <v>15</v>
      </c>
      <c r="I121" s="17">
        <f>ROUND(VLOOKUP(H$115&amp;"_2",管理者用人口入力シート!BH:CE,J121,FALSE),0)</f>
        <v>16</v>
      </c>
      <c r="J121" s="2">
        <v>8</v>
      </c>
      <c r="N121" s="2" t="s">
        <v>4</v>
      </c>
      <c r="O121" s="17">
        <f>ROUND(VLOOKUP(O$115&amp;"_1",管理者用人口入力シート!CO:DL,Q121,FALSE),0)</f>
        <v>15</v>
      </c>
      <c r="P121" s="17">
        <f>ROUND(VLOOKUP(O$115&amp;"_2",管理者用人口入力シート!CO:DL,Q121,FALSE),0)</f>
        <v>17</v>
      </c>
      <c r="Q121" s="2">
        <v>8</v>
      </c>
      <c r="T121" s="85"/>
    </row>
    <row r="122" spans="7:20" x14ac:dyDescent="0.15">
      <c r="G122" s="2" t="s">
        <v>5</v>
      </c>
      <c r="H122" s="17">
        <f>ROUND(VLOOKUP(H$115&amp;"_1",管理者用人口入力シート!BH:CE,J122,FALSE),0)</f>
        <v>12</v>
      </c>
      <c r="I122" s="17">
        <f>ROUND(VLOOKUP(H$115&amp;"_2",管理者用人口入力シート!BH:CE,J122,FALSE),0)</f>
        <v>13</v>
      </c>
      <c r="J122" s="2">
        <v>9</v>
      </c>
      <c r="N122" s="2" t="s">
        <v>5</v>
      </c>
      <c r="O122" s="17">
        <f>ROUND(VLOOKUP(O$115&amp;"_1",管理者用人口入力シート!CO:DL,Q122,FALSE),0)</f>
        <v>14</v>
      </c>
      <c r="P122" s="17">
        <f>ROUND(VLOOKUP(O$115&amp;"_2",管理者用人口入力シート!CO:DL,Q122,FALSE),0)</f>
        <v>15</v>
      </c>
      <c r="Q122" s="2">
        <v>9</v>
      </c>
      <c r="T122" s="85"/>
    </row>
    <row r="123" spans="7:20" x14ac:dyDescent="0.15">
      <c r="G123" s="2" t="s">
        <v>6</v>
      </c>
      <c r="H123" s="17">
        <f>ROUND(VLOOKUP(H$115&amp;"_1",管理者用人口入力シート!BH:CE,J123,FALSE),0)</f>
        <v>14</v>
      </c>
      <c r="I123" s="17">
        <f>ROUND(VLOOKUP(H$115&amp;"_2",管理者用人口入力シート!BH:CE,J123,FALSE),0)</f>
        <v>13</v>
      </c>
      <c r="J123" s="2">
        <v>10</v>
      </c>
      <c r="N123" s="2" t="s">
        <v>6</v>
      </c>
      <c r="O123" s="17">
        <f>ROUND(VLOOKUP(O$115&amp;"_1",管理者用人口入力シート!CO:DL,Q123,FALSE),0)</f>
        <v>16</v>
      </c>
      <c r="P123" s="17">
        <f>ROUND(VLOOKUP(O$115&amp;"_2",管理者用人口入力シート!CO:DL,Q123,FALSE),0)</f>
        <v>14</v>
      </c>
      <c r="Q123" s="2">
        <v>10</v>
      </c>
      <c r="T123" s="85"/>
    </row>
    <row r="124" spans="7:20" x14ac:dyDescent="0.15">
      <c r="G124" s="2" t="s">
        <v>7</v>
      </c>
      <c r="H124" s="17">
        <f>ROUND(VLOOKUP(H$115&amp;"_1",管理者用人口入力シート!BH:CE,J124,FALSE),0)</f>
        <v>19</v>
      </c>
      <c r="I124" s="17">
        <f>ROUND(VLOOKUP(H$115&amp;"_2",管理者用人口入力シート!BH:CE,J124,FALSE),0)</f>
        <v>14</v>
      </c>
      <c r="J124" s="2">
        <v>11</v>
      </c>
      <c r="N124" s="2" t="s">
        <v>7</v>
      </c>
      <c r="O124" s="17">
        <f>ROUND(VLOOKUP(O$115&amp;"_1",管理者用人口入力シート!CO:DL,Q124,FALSE),0)</f>
        <v>21</v>
      </c>
      <c r="P124" s="17">
        <f>ROUND(VLOOKUP(O$115&amp;"_2",管理者用人口入力シート!CO:DL,Q124,FALSE),0)</f>
        <v>15</v>
      </c>
      <c r="Q124" s="2">
        <v>11</v>
      </c>
      <c r="T124" s="85"/>
    </row>
    <row r="125" spans="7:20" x14ac:dyDescent="0.15">
      <c r="G125" s="2" t="s">
        <v>8</v>
      </c>
      <c r="H125" s="17">
        <f>ROUND(VLOOKUP(H$115&amp;"_1",管理者用人口入力シート!BH:CE,J125,FALSE),0)</f>
        <v>26</v>
      </c>
      <c r="I125" s="17">
        <f>ROUND(VLOOKUP(H$115&amp;"_2",管理者用人口入力シート!BH:CE,J125,FALSE),0)</f>
        <v>20</v>
      </c>
      <c r="J125" s="2">
        <v>12</v>
      </c>
      <c r="N125" s="2" t="s">
        <v>8</v>
      </c>
      <c r="O125" s="17">
        <f>ROUND(VLOOKUP(O$115&amp;"_1",管理者用人口入力シート!CO:DL,Q125,FALSE),0)</f>
        <v>26</v>
      </c>
      <c r="P125" s="17">
        <f>ROUND(VLOOKUP(O$115&amp;"_2",管理者用人口入力シート!CO:DL,Q125,FALSE),0)</f>
        <v>21</v>
      </c>
      <c r="Q125" s="2">
        <v>12</v>
      </c>
      <c r="T125" s="85"/>
    </row>
    <row r="126" spans="7:20" x14ac:dyDescent="0.15">
      <c r="G126" s="2" t="s">
        <v>9</v>
      </c>
      <c r="H126" s="17">
        <f>ROUND(VLOOKUP(H$115&amp;"_1",管理者用人口入力シート!BH:CE,J126,FALSE),0)</f>
        <v>34</v>
      </c>
      <c r="I126" s="17">
        <f>ROUND(VLOOKUP(H$115&amp;"_2",管理者用人口入力シート!BH:CE,J126,FALSE),0)</f>
        <v>33</v>
      </c>
      <c r="J126" s="2">
        <v>13</v>
      </c>
      <c r="N126" s="2" t="s">
        <v>9</v>
      </c>
      <c r="O126" s="17">
        <f>ROUND(VLOOKUP(O$115&amp;"_1",管理者用人口入力シート!CO:DL,Q126,FALSE),0)</f>
        <v>34</v>
      </c>
      <c r="P126" s="17">
        <f>ROUND(VLOOKUP(O$115&amp;"_2",管理者用人口入力シート!CO:DL,Q126,FALSE),0)</f>
        <v>34</v>
      </c>
      <c r="Q126" s="2">
        <v>13</v>
      </c>
      <c r="T126" s="85"/>
    </row>
    <row r="127" spans="7:20" x14ac:dyDescent="0.15">
      <c r="G127" s="2" t="s">
        <v>10</v>
      </c>
      <c r="H127" s="17">
        <f>ROUND(VLOOKUP(H$115&amp;"_1",管理者用人口入力シート!BH:CE,J127,FALSE),0)</f>
        <v>48</v>
      </c>
      <c r="I127" s="17">
        <f>ROUND(VLOOKUP(H$115&amp;"_2",管理者用人口入力シート!BH:CE,J127,FALSE),0)</f>
        <v>40</v>
      </c>
      <c r="J127" s="2">
        <v>14</v>
      </c>
      <c r="N127" s="2" t="s">
        <v>10</v>
      </c>
      <c r="O127" s="17">
        <f>ROUND(VLOOKUP(O$115&amp;"_1",管理者用人口入力シート!CO:DL,Q127,FALSE),0)</f>
        <v>48</v>
      </c>
      <c r="P127" s="17">
        <f>ROUND(VLOOKUP(O$115&amp;"_2",管理者用人口入力シート!CO:DL,Q127,FALSE),0)</f>
        <v>41</v>
      </c>
      <c r="Q127" s="2">
        <v>14</v>
      </c>
      <c r="T127" s="85"/>
    </row>
    <row r="128" spans="7:20" x14ac:dyDescent="0.15">
      <c r="G128" s="2" t="s">
        <v>11</v>
      </c>
      <c r="H128" s="17">
        <f>ROUND(VLOOKUP(H$115&amp;"_1",管理者用人口入力シート!BH:CE,J128,FALSE),0)</f>
        <v>54</v>
      </c>
      <c r="I128" s="17">
        <f>ROUND(VLOOKUP(H$115&amp;"_2",管理者用人口入力シート!BH:CE,J128,FALSE),0)</f>
        <v>52</v>
      </c>
      <c r="J128" s="2">
        <v>15</v>
      </c>
      <c r="N128" s="2" t="s">
        <v>11</v>
      </c>
      <c r="O128" s="17">
        <f>ROUND(VLOOKUP(O$115&amp;"_1",管理者用人口入力シート!CO:DL,Q128,FALSE),0)</f>
        <v>54</v>
      </c>
      <c r="P128" s="17">
        <f>ROUND(VLOOKUP(O$115&amp;"_2",管理者用人口入力シート!CO:DL,Q128,FALSE),0)</f>
        <v>52</v>
      </c>
      <c r="Q128" s="2">
        <v>15</v>
      </c>
      <c r="T128" s="85"/>
    </row>
    <row r="129" spans="7:20" x14ac:dyDescent="0.15">
      <c r="G129" s="2" t="s">
        <v>12</v>
      </c>
      <c r="H129" s="17">
        <f>ROUND(VLOOKUP(H$115&amp;"_1",管理者用人口入力シート!BH:CE,J129,FALSE),0)</f>
        <v>59</v>
      </c>
      <c r="I129" s="17">
        <f>ROUND(VLOOKUP(H$115&amp;"_2",管理者用人口入力シート!BH:CE,J129,FALSE),0)</f>
        <v>68</v>
      </c>
      <c r="J129" s="2">
        <v>16</v>
      </c>
      <c r="N129" s="2" t="s">
        <v>12</v>
      </c>
      <c r="O129" s="17">
        <f>ROUND(VLOOKUP(O$115&amp;"_1",管理者用人口入力シート!CO:DL,Q129,FALSE),0)</f>
        <v>59</v>
      </c>
      <c r="P129" s="17">
        <f>ROUND(VLOOKUP(O$115&amp;"_2",管理者用人口入力シート!CO:DL,Q129,FALSE),0)</f>
        <v>68</v>
      </c>
      <c r="Q129" s="2">
        <v>16</v>
      </c>
      <c r="T129" s="85"/>
    </row>
    <row r="130" spans="7:20" x14ac:dyDescent="0.15">
      <c r="G130" s="2" t="s">
        <v>13</v>
      </c>
      <c r="H130" s="17">
        <f>ROUND(VLOOKUP(H$115&amp;"_1",管理者用人口入力シート!BH:CE,J130,FALSE),0)</f>
        <v>48</v>
      </c>
      <c r="I130" s="17">
        <f>ROUND(VLOOKUP(H$115&amp;"_2",管理者用人口入力シート!BH:CE,J130,FALSE),0)</f>
        <v>62</v>
      </c>
      <c r="J130" s="2">
        <v>17</v>
      </c>
      <c r="N130" s="2" t="s">
        <v>13</v>
      </c>
      <c r="O130" s="17">
        <f>ROUND(VLOOKUP(O$115&amp;"_1",管理者用人口入力シート!CO:DL,Q130,FALSE),0)</f>
        <v>48</v>
      </c>
      <c r="P130" s="17">
        <f>ROUND(VLOOKUP(O$115&amp;"_2",管理者用人口入力シート!CO:DL,Q130,FALSE),0)</f>
        <v>62</v>
      </c>
      <c r="Q130" s="2">
        <v>17</v>
      </c>
      <c r="T130" s="85"/>
    </row>
    <row r="131" spans="7:20" x14ac:dyDescent="0.15">
      <c r="G131" s="2" t="s">
        <v>14</v>
      </c>
      <c r="H131" s="17">
        <f>ROUND(VLOOKUP(H$115&amp;"_1",管理者用人口入力シート!BH:CE,J131,FALSE),0)</f>
        <v>68</v>
      </c>
      <c r="I131" s="17">
        <f>ROUND(VLOOKUP(H$115&amp;"_2",管理者用人口入力シート!BH:CE,J131,FALSE),0)</f>
        <v>88</v>
      </c>
      <c r="J131" s="2">
        <v>18</v>
      </c>
      <c r="N131" s="2" t="s">
        <v>14</v>
      </c>
      <c r="O131" s="17">
        <f>ROUND(VLOOKUP(O$115&amp;"_1",管理者用人口入力シート!CO:DL,Q131,FALSE),0)</f>
        <v>68</v>
      </c>
      <c r="P131" s="17">
        <f>ROUND(VLOOKUP(O$115&amp;"_2",管理者用人口入力シート!CO:DL,Q131,FALSE),0)</f>
        <v>88</v>
      </c>
      <c r="Q131" s="2">
        <v>18</v>
      </c>
      <c r="T131" s="85"/>
    </row>
    <row r="132" spans="7:20" x14ac:dyDescent="0.15">
      <c r="G132" s="2" t="s">
        <v>15</v>
      </c>
      <c r="H132" s="17">
        <f>ROUND(VLOOKUP(H$115&amp;"_1",管理者用人口入力シート!BH:CE,J132,FALSE),0)</f>
        <v>79</v>
      </c>
      <c r="I132" s="17">
        <f>ROUND(VLOOKUP(H$115&amp;"_2",管理者用人口入力シート!BH:CE,J132,FALSE),0)</f>
        <v>96</v>
      </c>
      <c r="J132" s="2">
        <v>19</v>
      </c>
      <c r="N132" s="2" t="s">
        <v>15</v>
      </c>
      <c r="O132" s="17">
        <f>ROUND(VLOOKUP(O$115&amp;"_1",管理者用人口入力シート!CO:DL,Q132,FALSE),0)</f>
        <v>79</v>
      </c>
      <c r="P132" s="17">
        <f>ROUND(VLOOKUP(O$115&amp;"_2",管理者用人口入力シート!CO:DL,Q132,FALSE),0)</f>
        <v>96</v>
      </c>
      <c r="Q132" s="2">
        <v>19</v>
      </c>
      <c r="T132" s="85"/>
    </row>
    <row r="133" spans="7:20" x14ac:dyDescent="0.15">
      <c r="G133" s="2" t="s">
        <v>16</v>
      </c>
      <c r="H133" s="17">
        <f>ROUND(VLOOKUP(H$115&amp;"_1",管理者用人口入力シート!BH:CE,J133,FALSE),0)</f>
        <v>86</v>
      </c>
      <c r="I133" s="17">
        <f>ROUND(VLOOKUP(H$115&amp;"_2",管理者用人口入力シート!BH:CE,J133,FALSE),0)</f>
        <v>107</v>
      </c>
      <c r="J133" s="2">
        <v>20</v>
      </c>
      <c r="N133" s="2" t="s">
        <v>16</v>
      </c>
      <c r="O133" s="17">
        <f>ROUND(VLOOKUP(O$115&amp;"_1",管理者用人口入力シート!CO:DL,Q133,FALSE),0)</f>
        <v>86</v>
      </c>
      <c r="P133" s="17">
        <f>ROUND(VLOOKUP(O$115&amp;"_2",管理者用人口入力シート!CO:DL,Q133,FALSE),0)</f>
        <v>107</v>
      </c>
      <c r="Q133" s="2">
        <v>20</v>
      </c>
      <c r="T133" s="85"/>
    </row>
    <row r="134" spans="7:20" x14ac:dyDescent="0.15">
      <c r="G134" s="2" t="s">
        <v>17</v>
      </c>
      <c r="H134" s="17">
        <f>ROUND(VLOOKUP(H$115&amp;"_1",管理者用人口入力シート!BH:CE,J134,FALSE),0)</f>
        <v>57</v>
      </c>
      <c r="I134" s="17">
        <f>ROUND(VLOOKUP(H$115&amp;"_2",管理者用人口入力シート!BH:CE,J134,FALSE),0)</f>
        <v>73</v>
      </c>
      <c r="J134" s="2">
        <v>21</v>
      </c>
      <c r="N134" s="2" t="s">
        <v>17</v>
      </c>
      <c r="O134" s="17">
        <f>ROUND(VLOOKUP(O$115&amp;"_1",管理者用人口入力シート!CO:DL,Q134,FALSE),0)</f>
        <v>57</v>
      </c>
      <c r="P134" s="17">
        <f>ROUND(VLOOKUP(O$115&amp;"_2",管理者用人口入力シート!CO:DL,Q134,FALSE),0)</f>
        <v>73</v>
      </c>
      <c r="Q134" s="2">
        <v>21</v>
      </c>
      <c r="T134" s="85"/>
    </row>
    <row r="135" spans="7:20" x14ac:dyDescent="0.15">
      <c r="G135" s="2" t="s">
        <v>18</v>
      </c>
      <c r="H135" s="17">
        <f>ROUND(VLOOKUP(H$115&amp;"_1",管理者用人口入力シート!BH:CE,J135,FALSE),0)</f>
        <v>17</v>
      </c>
      <c r="I135" s="17">
        <f>ROUND(VLOOKUP(H$115&amp;"_2",管理者用人口入力シート!BH:CE,J135,FALSE),0)</f>
        <v>36</v>
      </c>
      <c r="J135" s="2">
        <v>22</v>
      </c>
      <c r="N135" s="2" t="s">
        <v>18</v>
      </c>
      <c r="O135" s="17">
        <f>ROUND(VLOOKUP(O$115&amp;"_1",管理者用人口入力シート!CO:DL,Q135,FALSE),0)</f>
        <v>17</v>
      </c>
      <c r="P135" s="17">
        <f>ROUND(VLOOKUP(O$115&amp;"_2",管理者用人口入力シート!CO:DL,Q135,FALSE),0)</f>
        <v>36</v>
      </c>
      <c r="Q135" s="2">
        <v>22</v>
      </c>
      <c r="T135" s="85"/>
    </row>
    <row r="136" spans="7:20" x14ac:dyDescent="0.15">
      <c r="G136" s="2" t="s">
        <v>19</v>
      </c>
      <c r="H136" s="17">
        <f>ROUND(VLOOKUP(H$115&amp;"_1",管理者用人口入力シート!BH:CE,J136,FALSE),0)</f>
        <v>6</v>
      </c>
      <c r="I136" s="17">
        <f>ROUND(VLOOKUP(H$115&amp;"_2",管理者用人口入力シート!BH:CE,J136,FALSE),0)</f>
        <v>25</v>
      </c>
      <c r="J136" s="2">
        <v>23</v>
      </c>
      <c r="N136" s="2" t="s">
        <v>19</v>
      </c>
      <c r="O136" s="17">
        <f>ROUND(VLOOKUP(O$115&amp;"_1",管理者用人口入力シート!CO:DL,Q136,FALSE),0)</f>
        <v>6</v>
      </c>
      <c r="P136" s="17">
        <f>ROUND(VLOOKUP(O$115&amp;"_2",管理者用人口入力シート!CO:DL,Q136,FALSE),0)</f>
        <v>25</v>
      </c>
      <c r="Q136" s="2">
        <v>23</v>
      </c>
      <c r="T136" s="85"/>
    </row>
    <row r="137" spans="7:20" x14ac:dyDescent="0.15">
      <c r="G137" s="2" t="s">
        <v>20</v>
      </c>
      <c r="H137" s="17">
        <f>ROUND(VLOOKUP(H$115&amp;"_1",管理者用人口入力シート!BH:CE,J137,FALSE),0)</f>
        <v>0</v>
      </c>
      <c r="I137" s="17">
        <f>ROUND(VLOOKUP(H$115&amp;"_2",管理者用人口入力シート!BH:CE,J137,FALSE),0)</f>
        <v>1</v>
      </c>
      <c r="J137" s="2">
        <v>24</v>
      </c>
      <c r="N137" s="2" t="s">
        <v>20</v>
      </c>
      <c r="O137" s="17">
        <f>ROUND(VLOOKUP(O$115&amp;"_1",管理者用人口入力シート!CO:DL,Q137,FALSE),0)</f>
        <v>0</v>
      </c>
      <c r="P137" s="17">
        <f>ROUND(VLOOKUP(O$115&amp;"_2",管理者用人口入力シート!CO:DL,Q137,FALSE),0)</f>
        <v>1</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9</v>
      </c>
      <c r="I141" s="17">
        <f>ROUND(VLOOKUP(H$139&amp;"_2",管理者用人口入力シート!BH:CE,J141,FALSE),0)</f>
        <v>6</v>
      </c>
      <c r="J141" s="2">
        <v>4</v>
      </c>
      <c r="N141" s="2" t="s">
        <v>0</v>
      </c>
      <c r="O141" s="17">
        <f>ROUND(VLOOKUP(O$139&amp;"_1",管理者用人口入力シート!CO:DL,Q141,FALSE),0)</f>
        <v>11</v>
      </c>
      <c r="P141" s="17">
        <f>ROUND(VLOOKUP(O$139&amp;"_2",管理者用人口入力シート!CO:DL,Q141,FALSE),0)</f>
        <v>8</v>
      </c>
      <c r="Q141" s="2">
        <v>4</v>
      </c>
    </row>
    <row r="142" spans="7:20" x14ac:dyDescent="0.15">
      <c r="G142" s="2" t="s">
        <v>1</v>
      </c>
      <c r="H142" s="17">
        <f>ROUND(VLOOKUP(H$139&amp;"_1",管理者用人口入力シート!BH:CE,J142,FALSE),0)</f>
        <v>12</v>
      </c>
      <c r="I142" s="17">
        <f>ROUND(VLOOKUP(H$139&amp;"_2",管理者用人口入力シート!BH:CE,J142,FALSE),0)</f>
        <v>10</v>
      </c>
      <c r="J142" s="2">
        <v>5</v>
      </c>
      <c r="N142" s="2" t="s">
        <v>1</v>
      </c>
      <c r="O142" s="17">
        <f>ROUND(VLOOKUP(O$139&amp;"_1",管理者用人口入力シート!CO:DL,Q142,FALSE),0)</f>
        <v>14</v>
      </c>
      <c r="P142" s="17">
        <f>ROUND(VLOOKUP(O$139&amp;"_2",管理者用人口入力シート!CO:DL,Q142,FALSE),0)</f>
        <v>12</v>
      </c>
      <c r="Q142" s="2">
        <v>5</v>
      </c>
    </row>
    <row r="143" spans="7:20" x14ac:dyDescent="0.15">
      <c r="G143" s="2" t="s">
        <v>2</v>
      </c>
      <c r="H143" s="17">
        <f>ROUND(VLOOKUP(H$139&amp;"_1",管理者用人口入力シート!BH:CE,J143,FALSE),0)</f>
        <v>14</v>
      </c>
      <c r="I143" s="17">
        <f>ROUND(VLOOKUP(H$139&amp;"_2",管理者用人口入力シート!BH:CE,J143,FALSE),0)</f>
        <v>13</v>
      </c>
      <c r="J143" s="2">
        <v>6</v>
      </c>
      <c r="N143" s="2" t="s">
        <v>2</v>
      </c>
      <c r="O143" s="17">
        <f>ROUND(VLOOKUP(O$139&amp;"_1",管理者用人口入力シート!CO:DL,Q143,FALSE),0)</f>
        <v>17</v>
      </c>
      <c r="P143" s="17">
        <f>ROUND(VLOOKUP(O$139&amp;"_2",管理者用人口入力シート!CO:DL,Q143,FALSE),0)</f>
        <v>16</v>
      </c>
      <c r="Q143" s="2">
        <v>6</v>
      </c>
    </row>
    <row r="144" spans="7:20" x14ac:dyDescent="0.15">
      <c r="G144" s="2" t="s">
        <v>3</v>
      </c>
      <c r="H144" s="17">
        <f>ROUND(VLOOKUP(H$139&amp;"_1",管理者用人口入力シート!BH:CE,J144,FALSE),0)</f>
        <v>16</v>
      </c>
      <c r="I144" s="17">
        <f>ROUND(VLOOKUP(H$139&amp;"_2",管理者用人口入力シート!BH:CE,J144,FALSE),0)</f>
        <v>15</v>
      </c>
      <c r="J144" s="2">
        <v>7</v>
      </c>
      <c r="N144" s="2" t="s">
        <v>3</v>
      </c>
      <c r="O144" s="17">
        <f>ROUND(VLOOKUP(O$139&amp;"_1",管理者用人口入力シート!CO:DL,Q144,FALSE),0)</f>
        <v>17</v>
      </c>
      <c r="P144" s="17">
        <f>ROUND(VLOOKUP(O$139&amp;"_2",管理者用人口入力シート!CO:DL,Q144,FALSE),0)</f>
        <v>17</v>
      </c>
      <c r="Q144" s="2">
        <v>7</v>
      </c>
    </row>
    <row r="145" spans="7:17" x14ac:dyDescent="0.15">
      <c r="G145" s="2" t="s">
        <v>4</v>
      </c>
      <c r="H145" s="17">
        <f>ROUND(VLOOKUP(H$139&amp;"_1",管理者用人口入力シート!BH:CE,J145,FALSE),0)</f>
        <v>12</v>
      </c>
      <c r="I145" s="17">
        <f>ROUND(VLOOKUP(H$139&amp;"_2",管理者用人口入力シート!BH:CE,J145,FALSE),0)</f>
        <v>11</v>
      </c>
      <c r="J145" s="2">
        <v>8</v>
      </c>
      <c r="N145" s="2" t="s">
        <v>4</v>
      </c>
      <c r="O145" s="17">
        <f>ROUND(VLOOKUP(O$139&amp;"_1",管理者用人口入力シート!CO:DL,Q145,FALSE),0)</f>
        <v>12</v>
      </c>
      <c r="P145" s="17">
        <f>ROUND(VLOOKUP(O$139&amp;"_2",管理者用人口入力シート!CO:DL,Q145,FALSE),0)</f>
        <v>12</v>
      </c>
      <c r="Q145" s="2">
        <v>8</v>
      </c>
    </row>
    <row r="146" spans="7:17" x14ac:dyDescent="0.15">
      <c r="G146" s="2" t="s">
        <v>5</v>
      </c>
      <c r="H146" s="17">
        <f>ROUND(VLOOKUP(H$139&amp;"_1",管理者用人口入力シート!BH:CE,J146,FALSE),0)</f>
        <v>12</v>
      </c>
      <c r="I146" s="17">
        <f>ROUND(VLOOKUP(H$139&amp;"_2",管理者用人口入力シート!BH:CE,J146,FALSE),0)</f>
        <v>10</v>
      </c>
      <c r="J146" s="2">
        <v>9</v>
      </c>
      <c r="N146" s="2" t="s">
        <v>5</v>
      </c>
      <c r="O146" s="17">
        <f>ROUND(VLOOKUP(O$139&amp;"_1",管理者用人口入力シート!CO:DL,Q146,FALSE),0)</f>
        <v>14</v>
      </c>
      <c r="P146" s="17">
        <f>ROUND(VLOOKUP(O$139&amp;"_2",管理者用人口入力シート!CO:DL,Q146,FALSE),0)</f>
        <v>13</v>
      </c>
      <c r="Q146" s="2">
        <v>9</v>
      </c>
    </row>
    <row r="147" spans="7:17" x14ac:dyDescent="0.15">
      <c r="G147" s="2" t="s">
        <v>6</v>
      </c>
      <c r="H147" s="17">
        <f>ROUND(VLOOKUP(H$139&amp;"_1",管理者用人口入力シート!BH:CE,J147,FALSE),0)</f>
        <v>12</v>
      </c>
      <c r="I147" s="17">
        <f>ROUND(VLOOKUP(H$139&amp;"_2",管理者用人口入力シート!BH:CE,J147,FALSE),0)</f>
        <v>10</v>
      </c>
      <c r="J147" s="2">
        <v>10</v>
      </c>
      <c r="N147" s="2" t="s">
        <v>6</v>
      </c>
      <c r="O147" s="17">
        <f>ROUND(VLOOKUP(O$139&amp;"_1",管理者用人口入力シート!CO:DL,Q147,FALSE),0)</f>
        <v>13</v>
      </c>
      <c r="P147" s="17">
        <f>ROUND(VLOOKUP(O$139&amp;"_2",管理者用人口入力シート!CO:DL,Q147,FALSE),0)</f>
        <v>12</v>
      </c>
      <c r="Q147" s="2">
        <v>10</v>
      </c>
    </row>
    <row r="148" spans="7:17" x14ac:dyDescent="0.15">
      <c r="G148" s="2" t="s">
        <v>7</v>
      </c>
      <c r="H148" s="17">
        <f>ROUND(VLOOKUP(H$139&amp;"_1",管理者用人口入力シート!BH:CE,J148,FALSE),0)</f>
        <v>13</v>
      </c>
      <c r="I148" s="17">
        <f>ROUND(VLOOKUP(H$139&amp;"_2",管理者用人口入力シート!BH:CE,J148,FALSE),0)</f>
        <v>12</v>
      </c>
      <c r="J148" s="2">
        <v>11</v>
      </c>
      <c r="N148" s="2" t="s">
        <v>7</v>
      </c>
      <c r="O148" s="17">
        <f>ROUND(VLOOKUP(O$139&amp;"_1",管理者用人口入力シート!CO:DL,Q148,FALSE),0)</f>
        <v>14</v>
      </c>
      <c r="P148" s="17">
        <f>ROUND(VLOOKUP(O$139&amp;"_2",管理者用人口入力シート!CO:DL,Q148,FALSE),0)</f>
        <v>14</v>
      </c>
      <c r="Q148" s="2">
        <v>11</v>
      </c>
    </row>
    <row r="149" spans="7:17" x14ac:dyDescent="0.15">
      <c r="G149" s="2" t="s">
        <v>8</v>
      </c>
      <c r="H149" s="17">
        <f>ROUND(VLOOKUP(H$139&amp;"_1",管理者用人口入力シート!BH:CE,J149,FALSE),0)</f>
        <v>21</v>
      </c>
      <c r="I149" s="17">
        <f>ROUND(VLOOKUP(H$139&amp;"_2",管理者用人口入力シート!BH:CE,J149,FALSE),0)</f>
        <v>14</v>
      </c>
      <c r="J149" s="2">
        <v>12</v>
      </c>
      <c r="N149" s="2" t="s">
        <v>8</v>
      </c>
      <c r="O149" s="17">
        <f>ROUND(VLOOKUP(O$139&amp;"_1",管理者用人口入力シート!CO:DL,Q149,FALSE),0)</f>
        <v>23</v>
      </c>
      <c r="P149" s="17">
        <f>ROUND(VLOOKUP(O$139&amp;"_2",管理者用人口入力シート!CO:DL,Q149,FALSE),0)</f>
        <v>17</v>
      </c>
      <c r="Q149" s="2">
        <v>12</v>
      </c>
    </row>
    <row r="150" spans="7:17" x14ac:dyDescent="0.15">
      <c r="G150" s="2" t="s">
        <v>9</v>
      </c>
      <c r="H150" s="17">
        <f>ROUND(VLOOKUP(H$139&amp;"_1",管理者用人口入力シート!BH:CE,J150,FALSE),0)</f>
        <v>25</v>
      </c>
      <c r="I150" s="17">
        <f>ROUND(VLOOKUP(H$139&amp;"_2",管理者用人口入力シート!BH:CE,J150,FALSE),0)</f>
        <v>21</v>
      </c>
      <c r="J150" s="2">
        <v>13</v>
      </c>
      <c r="N150" s="2" t="s">
        <v>9</v>
      </c>
      <c r="O150" s="17">
        <f>ROUND(VLOOKUP(O$139&amp;"_1",管理者用人口入力シート!CO:DL,Q150,FALSE),0)</f>
        <v>25</v>
      </c>
      <c r="P150" s="17">
        <f>ROUND(VLOOKUP(O$139&amp;"_2",管理者用人口入力シート!CO:DL,Q150,FALSE),0)</f>
        <v>22</v>
      </c>
      <c r="Q150" s="2">
        <v>13</v>
      </c>
    </row>
    <row r="151" spans="7:17" x14ac:dyDescent="0.15">
      <c r="G151" s="2" t="s">
        <v>10</v>
      </c>
      <c r="H151" s="17">
        <f>ROUND(VLOOKUP(H$139&amp;"_1",管理者用人口入力シート!BH:CE,J151,FALSE),0)</f>
        <v>33</v>
      </c>
      <c r="I151" s="17">
        <f>ROUND(VLOOKUP(H$139&amp;"_2",管理者用人口入力シート!BH:CE,J151,FALSE),0)</f>
        <v>34</v>
      </c>
      <c r="J151" s="2">
        <v>14</v>
      </c>
      <c r="N151" s="2" t="s">
        <v>10</v>
      </c>
      <c r="O151" s="17">
        <f>ROUND(VLOOKUP(O$139&amp;"_1",管理者用人口入力シート!CO:DL,Q151,FALSE),0)</f>
        <v>33</v>
      </c>
      <c r="P151" s="17">
        <f>ROUND(VLOOKUP(O$139&amp;"_2",管理者用人口入力シート!CO:DL,Q151,FALSE),0)</f>
        <v>35</v>
      </c>
      <c r="Q151" s="2">
        <v>14</v>
      </c>
    </row>
    <row r="152" spans="7:17" x14ac:dyDescent="0.15">
      <c r="G152" s="2" t="s">
        <v>11</v>
      </c>
      <c r="H152" s="17">
        <f>ROUND(VLOOKUP(H$139&amp;"_1",管理者用人口入力シート!BH:CE,J152,FALSE),0)</f>
        <v>48</v>
      </c>
      <c r="I152" s="17">
        <f>ROUND(VLOOKUP(H$139&amp;"_2",管理者用人口入力シート!BH:CE,J152,FALSE),0)</f>
        <v>42</v>
      </c>
      <c r="J152" s="2">
        <v>15</v>
      </c>
      <c r="N152" s="2" t="s">
        <v>11</v>
      </c>
      <c r="O152" s="17">
        <f>ROUND(VLOOKUP(O$139&amp;"_1",管理者用人口入力シート!CO:DL,Q152,FALSE),0)</f>
        <v>48</v>
      </c>
      <c r="P152" s="17">
        <f>ROUND(VLOOKUP(O$139&amp;"_2",管理者用人口入力シート!CO:DL,Q152,FALSE),0)</f>
        <v>43</v>
      </c>
      <c r="Q152" s="2">
        <v>15</v>
      </c>
    </row>
    <row r="153" spans="7:17" x14ac:dyDescent="0.15">
      <c r="G153" s="2" t="s">
        <v>12</v>
      </c>
      <c r="H153" s="17">
        <f>ROUND(VLOOKUP(H$139&amp;"_1",管理者用人口入力シート!BH:CE,J153,FALSE),0)</f>
        <v>54</v>
      </c>
      <c r="I153" s="17">
        <f>ROUND(VLOOKUP(H$139&amp;"_2",管理者用人口入力シート!BH:CE,J153,FALSE),0)</f>
        <v>52</v>
      </c>
      <c r="J153" s="2">
        <v>16</v>
      </c>
      <c r="N153" s="2" t="s">
        <v>12</v>
      </c>
      <c r="O153" s="17">
        <f>ROUND(VLOOKUP(O$139&amp;"_1",管理者用人口入力シート!CO:DL,Q153,FALSE),0)</f>
        <v>54</v>
      </c>
      <c r="P153" s="17">
        <f>ROUND(VLOOKUP(O$139&amp;"_2",管理者用人口入力シート!CO:DL,Q153,FALSE),0)</f>
        <v>52</v>
      </c>
      <c r="Q153" s="2">
        <v>16</v>
      </c>
    </row>
    <row r="154" spans="7:17" x14ac:dyDescent="0.15">
      <c r="G154" s="2" t="s">
        <v>13</v>
      </c>
      <c r="H154" s="17">
        <f>ROUND(VLOOKUP(H$139&amp;"_1",管理者用人口入力シート!BH:CE,J154,FALSE),0)</f>
        <v>58</v>
      </c>
      <c r="I154" s="17">
        <f>ROUND(VLOOKUP(H$139&amp;"_2",管理者用人口入力シート!BH:CE,J154,FALSE),0)</f>
        <v>69</v>
      </c>
      <c r="J154" s="2">
        <v>17</v>
      </c>
      <c r="N154" s="2" t="s">
        <v>13</v>
      </c>
      <c r="O154" s="17">
        <f>ROUND(VLOOKUP(O$139&amp;"_1",管理者用人口入力シート!CO:DL,Q154,FALSE),0)</f>
        <v>58</v>
      </c>
      <c r="P154" s="17">
        <f>ROUND(VLOOKUP(O$139&amp;"_2",管理者用人口入力シート!CO:DL,Q154,FALSE),0)</f>
        <v>69</v>
      </c>
      <c r="Q154" s="2">
        <v>17</v>
      </c>
    </row>
    <row r="155" spans="7:17" x14ac:dyDescent="0.15">
      <c r="G155" s="2" t="s">
        <v>14</v>
      </c>
      <c r="H155" s="17">
        <f>ROUND(VLOOKUP(H$139&amp;"_1",管理者用人口入力シート!BH:CE,J155,FALSE),0)</f>
        <v>43</v>
      </c>
      <c r="I155" s="17">
        <f>ROUND(VLOOKUP(H$139&amp;"_2",管理者用人口入力シート!BH:CE,J155,FALSE),0)</f>
        <v>59</v>
      </c>
      <c r="J155" s="2">
        <v>18</v>
      </c>
      <c r="N155" s="2" t="s">
        <v>14</v>
      </c>
      <c r="O155" s="17">
        <f>ROUND(VLOOKUP(O$139&amp;"_1",管理者用人口入力シート!CO:DL,Q155,FALSE),0)</f>
        <v>43</v>
      </c>
      <c r="P155" s="17">
        <f>ROUND(VLOOKUP(O$139&amp;"_2",管理者用人口入力シート!CO:DL,Q155,FALSE),0)</f>
        <v>59</v>
      </c>
      <c r="Q155" s="2">
        <v>18</v>
      </c>
    </row>
    <row r="156" spans="7:17" x14ac:dyDescent="0.15">
      <c r="G156" s="2" t="s">
        <v>15</v>
      </c>
      <c r="H156" s="17">
        <f>ROUND(VLOOKUP(H$139&amp;"_1",管理者用人口入力シート!BH:CE,J156,FALSE),0)</f>
        <v>54</v>
      </c>
      <c r="I156" s="17">
        <f>ROUND(VLOOKUP(H$139&amp;"_2",管理者用人口入力シート!BH:CE,J156,FALSE),0)</f>
        <v>83</v>
      </c>
      <c r="J156" s="2">
        <v>19</v>
      </c>
      <c r="N156" s="2" t="s">
        <v>15</v>
      </c>
      <c r="O156" s="17">
        <f>ROUND(VLOOKUP(O$139&amp;"_1",管理者用人口入力シート!CO:DL,Q156,FALSE),0)</f>
        <v>54</v>
      </c>
      <c r="P156" s="17">
        <f>ROUND(VLOOKUP(O$139&amp;"_2",管理者用人口入力シート!CO:DL,Q156,FALSE),0)</f>
        <v>83</v>
      </c>
      <c r="Q156" s="2">
        <v>19</v>
      </c>
    </row>
    <row r="157" spans="7:17" x14ac:dyDescent="0.15">
      <c r="G157" s="2" t="s">
        <v>16</v>
      </c>
      <c r="H157" s="17">
        <f>ROUND(VLOOKUP(H$139&amp;"_1",管理者用人口入力シート!BH:CE,J157,FALSE),0)</f>
        <v>67</v>
      </c>
      <c r="I157" s="17">
        <f>ROUND(VLOOKUP(H$139&amp;"_2",管理者用人口入力シート!BH:CE,J157,FALSE),0)</f>
        <v>81</v>
      </c>
      <c r="J157" s="2">
        <v>20</v>
      </c>
      <c r="N157" s="2" t="s">
        <v>16</v>
      </c>
      <c r="O157" s="17">
        <f>ROUND(VLOOKUP(O$139&amp;"_1",管理者用人口入力シート!CO:DL,Q157,FALSE),0)</f>
        <v>67</v>
      </c>
      <c r="P157" s="17">
        <f>ROUND(VLOOKUP(O$139&amp;"_2",管理者用人口入力シート!CO:DL,Q157,FALSE),0)</f>
        <v>81</v>
      </c>
      <c r="Q157" s="2">
        <v>20</v>
      </c>
    </row>
    <row r="158" spans="7:17" x14ac:dyDescent="0.15">
      <c r="G158" s="2" t="s">
        <v>17</v>
      </c>
      <c r="H158" s="17">
        <f>ROUND(VLOOKUP(H$139&amp;"_1",管理者用人口入力シート!BH:CE,J158,FALSE),0)</f>
        <v>57</v>
      </c>
      <c r="I158" s="17">
        <f>ROUND(VLOOKUP(H$139&amp;"_2",管理者用人口入力シート!BH:CE,J158,FALSE),0)</f>
        <v>84</v>
      </c>
      <c r="J158" s="2">
        <v>21</v>
      </c>
      <c r="N158" s="2" t="s">
        <v>17</v>
      </c>
      <c r="O158" s="17">
        <f>ROUND(VLOOKUP(O$139&amp;"_1",管理者用人口入力シート!CO:DL,Q158,FALSE),0)</f>
        <v>57</v>
      </c>
      <c r="P158" s="17">
        <f>ROUND(VLOOKUP(O$139&amp;"_2",管理者用人口入力シート!CO:DL,Q158,FALSE),0)</f>
        <v>84</v>
      </c>
      <c r="Q158" s="2">
        <v>21</v>
      </c>
    </row>
    <row r="159" spans="7:17" x14ac:dyDescent="0.15">
      <c r="G159" s="2" t="s">
        <v>18</v>
      </c>
      <c r="H159" s="17">
        <f>ROUND(VLOOKUP(H$139&amp;"_1",管理者用人口入力シート!BH:CE,J159,FALSE),0)</f>
        <v>23</v>
      </c>
      <c r="I159" s="17">
        <f>ROUND(VLOOKUP(H$139&amp;"_2",管理者用人口入力シート!BH:CE,J159,FALSE),0)</f>
        <v>41</v>
      </c>
      <c r="J159" s="2">
        <v>22</v>
      </c>
      <c r="N159" s="2" t="s">
        <v>18</v>
      </c>
      <c r="O159" s="17">
        <f>ROUND(VLOOKUP(O$139&amp;"_1",管理者用人口入力シート!CO:DL,Q159,FALSE),0)</f>
        <v>23</v>
      </c>
      <c r="P159" s="17">
        <f>ROUND(VLOOKUP(O$139&amp;"_2",管理者用人口入力シート!CO:DL,Q159,FALSE),0)</f>
        <v>41</v>
      </c>
      <c r="Q159" s="2">
        <v>22</v>
      </c>
    </row>
    <row r="160" spans="7:17" x14ac:dyDescent="0.15">
      <c r="G160" s="2" t="s">
        <v>19</v>
      </c>
      <c r="H160" s="17">
        <f>ROUND(VLOOKUP(H$139&amp;"_1",管理者用人口入力シート!BH:CE,J160,FALSE),0)</f>
        <v>6</v>
      </c>
      <c r="I160" s="17">
        <f>ROUND(VLOOKUP(H$139&amp;"_2",管理者用人口入力シート!BH:CE,J160,FALSE),0)</f>
        <v>18</v>
      </c>
      <c r="J160" s="2">
        <v>23</v>
      </c>
      <c r="N160" s="2" t="s">
        <v>19</v>
      </c>
      <c r="O160" s="17">
        <f>ROUND(VLOOKUP(O$139&amp;"_1",管理者用人口入力シート!CO:DL,Q160,FALSE),0)</f>
        <v>6</v>
      </c>
      <c r="P160" s="17">
        <f>ROUND(VLOOKUP(O$139&amp;"_2",管理者用人口入力シート!CO:DL,Q160,FALSE),0)</f>
        <v>18</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7</v>
      </c>
      <c r="I165" s="17">
        <f>ROUND(VLOOKUP(H$163&amp;"_2",管理者用人口入力シート!BH:CE,J165,FALSE),0)</f>
        <v>5</v>
      </c>
      <c r="J165" s="2">
        <v>4</v>
      </c>
      <c r="N165" s="2" t="s">
        <v>0</v>
      </c>
      <c r="O165" s="17">
        <f>ROUND(VLOOKUP(O$163&amp;"_1",管理者用人口入力シート!CO:DL,Q165,FALSE),0)</f>
        <v>9</v>
      </c>
      <c r="P165" s="17">
        <f>ROUND(VLOOKUP(O$163&amp;"_2",管理者用人口入力シート!CO:DL,Q165,FALSE),0)</f>
        <v>7</v>
      </c>
      <c r="Q165" s="2">
        <v>4</v>
      </c>
    </row>
    <row r="166" spans="7:17" x14ac:dyDescent="0.15">
      <c r="G166" s="2" t="s">
        <v>1</v>
      </c>
      <c r="H166" s="17">
        <f>ROUND(VLOOKUP(H$163&amp;"_1",管理者用人口入力シート!BH:CE,J166,FALSE),0)</f>
        <v>9</v>
      </c>
      <c r="I166" s="17">
        <f>ROUND(VLOOKUP(H$163&amp;"_2",管理者用人口入力シート!BH:CE,J166,FALSE),0)</f>
        <v>8</v>
      </c>
      <c r="J166" s="2">
        <v>5</v>
      </c>
      <c r="N166" s="2" t="s">
        <v>1</v>
      </c>
      <c r="O166" s="17">
        <f>ROUND(VLOOKUP(O$163&amp;"_1",管理者用人口入力シート!CO:DL,Q166,FALSE),0)</f>
        <v>12</v>
      </c>
      <c r="P166" s="17">
        <f>ROUND(VLOOKUP(O$163&amp;"_2",管理者用人口入力シート!CO:DL,Q166,FALSE),0)</f>
        <v>10</v>
      </c>
      <c r="Q166" s="2">
        <v>5</v>
      </c>
    </row>
    <row r="167" spans="7:17" x14ac:dyDescent="0.15">
      <c r="G167" s="2" t="s">
        <v>2</v>
      </c>
      <c r="H167" s="17">
        <f>ROUND(VLOOKUP(H$163&amp;"_1",管理者用人口入力シート!BH:CE,J167,FALSE),0)</f>
        <v>11</v>
      </c>
      <c r="I167" s="17">
        <f>ROUND(VLOOKUP(H$163&amp;"_2",管理者用人口入力シート!BH:CE,J167,FALSE),0)</f>
        <v>10</v>
      </c>
      <c r="J167" s="2">
        <v>6</v>
      </c>
      <c r="N167" s="2" t="s">
        <v>2</v>
      </c>
      <c r="O167" s="17">
        <f>ROUND(VLOOKUP(O$163&amp;"_1",管理者用人口入力シート!CO:DL,Q167,FALSE),0)</f>
        <v>14</v>
      </c>
      <c r="P167" s="17">
        <f>ROUND(VLOOKUP(O$163&amp;"_2",管理者用人口入力シート!CO:DL,Q167,FALSE),0)</f>
        <v>14</v>
      </c>
      <c r="Q167" s="2">
        <v>6</v>
      </c>
    </row>
    <row r="168" spans="7:17" x14ac:dyDescent="0.15">
      <c r="G168" s="2" t="s">
        <v>3</v>
      </c>
      <c r="H168" s="17">
        <f>ROUND(VLOOKUP(H$163&amp;"_1",管理者用人口入力シート!BH:CE,J168,FALSE),0)</f>
        <v>11</v>
      </c>
      <c r="I168" s="17">
        <f>ROUND(VLOOKUP(H$163&amp;"_2",管理者用人口入力シート!BH:CE,J168,FALSE),0)</f>
        <v>11</v>
      </c>
      <c r="J168" s="2">
        <v>7</v>
      </c>
      <c r="N168" s="2" t="s">
        <v>3</v>
      </c>
      <c r="O168" s="17">
        <f>ROUND(VLOOKUP(O$163&amp;"_1",管理者用人口入力シート!CO:DL,Q168,FALSE),0)</f>
        <v>14</v>
      </c>
      <c r="P168" s="17">
        <f>ROUND(VLOOKUP(O$163&amp;"_2",管理者用人口入力シート!CO:DL,Q168,FALSE),0)</f>
        <v>13</v>
      </c>
      <c r="Q168" s="2">
        <v>7</v>
      </c>
    </row>
    <row r="169" spans="7:17" x14ac:dyDescent="0.15">
      <c r="G169" s="2" t="s">
        <v>4</v>
      </c>
      <c r="H169" s="17">
        <f>ROUND(VLOOKUP(H$163&amp;"_1",管理者用人口入力シート!BH:CE,J169,FALSE),0)</f>
        <v>9</v>
      </c>
      <c r="I169" s="17">
        <f>ROUND(VLOOKUP(H$163&amp;"_2",管理者用人口入力シート!BH:CE,J169,FALSE),0)</f>
        <v>9</v>
      </c>
      <c r="J169" s="2">
        <v>8</v>
      </c>
      <c r="N169" s="2" t="s">
        <v>4</v>
      </c>
      <c r="O169" s="17">
        <f>ROUND(VLOOKUP(O$163&amp;"_1",管理者用人口入力シート!CO:DL,Q169,FALSE),0)</f>
        <v>10</v>
      </c>
      <c r="P169" s="17">
        <f>ROUND(VLOOKUP(O$163&amp;"_2",管理者用人口入力シート!CO:DL,Q169,FALSE),0)</f>
        <v>10</v>
      </c>
      <c r="Q169" s="2">
        <v>8</v>
      </c>
    </row>
    <row r="170" spans="7:17" x14ac:dyDescent="0.15">
      <c r="G170" s="2" t="s">
        <v>5</v>
      </c>
      <c r="H170" s="17">
        <f>ROUND(VLOOKUP(H$163&amp;"_1",管理者用人口入力シート!BH:CE,J170,FALSE),0)</f>
        <v>9</v>
      </c>
      <c r="I170" s="17">
        <f>ROUND(VLOOKUP(H$163&amp;"_2",管理者用人口入力シート!BH:CE,J170,FALSE),0)</f>
        <v>7</v>
      </c>
      <c r="J170" s="2">
        <v>9</v>
      </c>
      <c r="N170" s="2" t="s">
        <v>5</v>
      </c>
      <c r="O170" s="17">
        <f>ROUND(VLOOKUP(O$163&amp;"_1",管理者用人口入力シート!CO:DL,Q170,FALSE),0)</f>
        <v>12</v>
      </c>
      <c r="P170" s="17">
        <f>ROUND(VLOOKUP(O$163&amp;"_2",管理者用人口入力シート!CO:DL,Q170,FALSE),0)</f>
        <v>10</v>
      </c>
      <c r="Q170" s="2">
        <v>9</v>
      </c>
    </row>
    <row r="171" spans="7:17" x14ac:dyDescent="0.15">
      <c r="G171" s="2" t="s">
        <v>6</v>
      </c>
      <c r="H171" s="17">
        <f>ROUND(VLOOKUP(H$163&amp;"_1",管理者用人口入力シート!BH:CE,J171,FALSE),0)</f>
        <v>11</v>
      </c>
      <c r="I171" s="17">
        <f>ROUND(VLOOKUP(H$163&amp;"_2",管理者用人口入力シート!BH:CE,J171,FALSE),0)</f>
        <v>8</v>
      </c>
      <c r="J171" s="2">
        <v>10</v>
      </c>
      <c r="N171" s="2" t="s">
        <v>6</v>
      </c>
      <c r="O171" s="17">
        <f>ROUND(VLOOKUP(O$163&amp;"_1",管理者用人口入力シート!CO:DL,Q171,FALSE),0)</f>
        <v>13</v>
      </c>
      <c r="P171" s="17">
        <f>ROUND(VLOOKUP(O$163&amp;"_2",管理者用人口入力シート!CO:DL,Q171,FALSE),0)</f>
        <v>10</v>
      </c>
      <c r="Q171" s="2">
        <v>10</v>
      </c>
    </row>
    <row r="172" spans="7:17" x14ac:dyDescent="0.15">
      <c r="G172" s="2" t="s">
        <v>7</v>
      </c>
      <c r="H172" s="17">
        <f>ROUND(VLOOKUP(H$163&amp;"_1",管理者用人口入力シート!BH:CE,J172,FALSE),0)</f>
        <v>10</v>
      </c>
      <c r="I172" s="17">
        <f>ROUND(VLOOKUP(H$163&amp;"_2",管理者用人口入力シート!BH:CE,J172,FALSE),0)</f>
        <v>10</v>
      </c>
      <c r="J172" s="2">
        <v>11</v>
      </c>
      <c r="N172" s="2" t="s">
        <v>7</v>
      </c>
      <c r="O172" s="17">
        <f>ROUND(VLOOKUP(O$163&amp;"_1",管理者用人口入力シート!CO:DL,Q172,FALSE),0)</f>
        <v>12</v>
      </c>
      <c r="P172" s="17">
        <f>ROUND(VLOOKUP(O$163&amp;"_2",管理者用人口入力シート!CO:DL,Q172,FALSE),0)</f>
        <v>12</v>
      </c>
      <c r="Q172" s="2">
        <v>11</v>
      </c>
    </row>
    <row r="173" spans="7:17" x14ac:dyDescent="0.15">
      <c r="G173" s="2" t="s">
        <v>8</v>
      </c>
      <c r="H173" s="17">
        <f>ROUND(VLOOKUP(H$163&amp;"_1",管理者用人口入力シート!BH:CE,J173,FALSE),0)</f>
        <v>14</v>
      </c>
      <c r="I173" s="17">
        <f>ROUND(VLOOKUP(H$163&amp;"_2",管理者用人口入力シート!BH:CE,J173,FALSE),0)</f>
        <v>12</v>
      </c>
      <c r="J173" s="2">
        <v>12</v>
      </c>
      <c r="N173" s="2" t="s">
        <v>8</v>
      </c>
      <c r="O173" s="17">
        <f>ROUND(VLOOKUP(O$163&amp;"_1",管理者用人口入力シート!CO:DL,Q173,FALSE),0)</f>
        <v>16</v>
      </c>
      <c r="P173" s="17">
        <f>ROUND(VLOOKUP(O$163&amp;"_2",管理者用人口入力シート!CO:DL,Q173,FALSE),0)</f>
        <v>15</v>
      </c>
      <c r="Q173" s="2">
        <v>12</v>
      </c>
    </row>
    <row r="174" spans="7:17" x14ac:dyDescent="0.15">
      <c r="G174" s="2" t="s">
        <v>9</v>
      </c>
      <c r="H174" s="17">
        <f>ROUND(VLOOKUP(H$163&amp;"_1",管理者用人口入力シート!BH:CE,J174,FALSE),0)</f>
        <v>20</v>
      </c>
      <c r="I174" s="17">
        <f>ROUND(VLOOKUP(H$163&amp;"_2",管理者用人口入力シート!BH:CE,J174,FALSE),0)</f>
        <v>14</v>
      </c>
      <c r="J174" s="2">
        <v>13</v>
      </c>
      <c r="N174" s="2" t="s">
        <v>9</v>
      </c>
      <c r="O174" s="17">
        <f>ROUND(VLOOKUP(O$163&amp;"_1",管理者用人口入力シート!CO:DL,Q174,FALSE),0)</f>
        <v>22</v>
      </c>
      <c r="P174" s="17">
        <f>ROUND(VLOOKUP(O$163&amp;"_2",管理者用人口入力シート!CO:DL,Q174,FALSE),0)</f>
        <v>17</v>
      </c>
      <c r="Q174" s="2">
        <v>13</v>
      </c>
    </row>
    <row r="175" spans="7:17" x14ac:dyDescent="0.15">
      <c r="G175" s="2" t="s">
        <v>10</v>
      </c>
      <c r="H175" s="17">
        <f>ROUND(VLOOKUP(H$163&amp;"_1",管理者用人口入力シート!BH:CE,J175,FALSE),0)</f>
        <v>24</v>
      </c>
      <c r="I175" s="17">
        <f>ROUND(VLOOKUP(H$163&amp;"_2",管理者用人口入力シート!BH:CE,J175,FALSE),0)</f>
        <v>21</v>
      </c>
      <c r="J175" s="2">
        <v>14</v>
      </c>
      <c r="N175" s="2" t="s">
        <v>10</v>
      </c>
      <c r="O175" s="17">
        <f>ROUND(VLOOKUP(O$163&amp;"_1",管理者用人口入力シート!CO:DL,Q175,FALSE),0)</f>
        <v>24</v>
      </c>
      <c r="P175" s="17">
        <f>ROUND(VLOOKUP(O$163&amp;"_2",管理者用人口入力シート!CO:DL,Q175,FALSE),0)</f>
        <v>22</v>
      </c>
      <c r="Q175" s="2">
        <v>14</v>
      </c>
    </row>
    <row r="176" spans="7:17" x14ac:dyDescent="0.15">
      <c r="G176" s="2" t="s">
        <v>11</v>
      </c>
      <c r="H176" s="17">
        <f>ROUND(VLOOKUP(H$163&amp;"_1",管理者用人口入力シート!BH:CE,J176,FALSE),0)</f>
        <v>32</v>
      </c>
      <c r="I176" s="17">
        <f>ROUND(VLOOKUP(H$163&amp;"_2",管理者用人口入力シート!BH:CE,J176,FALSE),0)</f>
        <v>35</v>
      </c>
      <c r="J176" s="2">
        <v>15</v>
      </c>
      <c r="N176" s="2" t="s">
        <v>11</v>
      </c>
      <c r="O176" s="17">
        <f>ROUND(VLOOKUP(O$163&amp;"_1",管理者用人口入力シート!CO:DL,Q176,FALSE),0)</f>
        <v>32</v>
      </c>
      <c r="P176" s="17">
        <f>ROUND(VLOOKUP(O$163&amp;"_2",管理者用人口入力シート!CO:DL,Q176,FALSE),0)</f>
        <v>36</v>
      </c>
      <c r="Q176" s="2">
        <v>15</v>
      </c>
    </row>
    <row r="177" spans="7:17" x14ac:dyDescent="0.15">
      <c r="G177" s="2" t="s">
        <v>12</v>
      </c>
      <c r="H177" s="17">
        <f>ROUND(VLOOKUP(H$163&amp;"_1",管理者用人口入力シート!BH:CE,J177,FALSE),0)</f>
        <v>48</v>
      </c>
      <c r="I177" s="17">
        <f>ROUND(VLOOKUP(H$163&amp;"_2",管理者用人口入力シート!BH:CE,J177,FALSE),0)</f>
        <v>42</v>
      </c>
      <c r="J177" s="2">
        <v>16</v>
      </c>
      <c r="N177" s="2" t="s">
        <v>12</v>
      </c>
      <c r="O177" s="17">
        <f>ROUND(VLOOKUP(O$163&amp;"_1",管理者用人口入力シート!CO:DL,Q177,FALSE),0)</f>
        <v>48</v>
      </c>
      <c r="P177" s="17">
        <f>ROUND(VLOOKUP(O$163&amp;"_2",管理者用人口入力シート!CO:DL,Q177,FALSE),0)</f>
        <v>43</v>
      </c>
      <c r="Q177" s="2">
        <v>16</v>
      </c>
    </row>
    <row r="178" spans="7:17" x14ac:dyDescent="0.15">
      <c r="G178" s="2" t="s">
        <v>13</v>
      </c>
      <c r="H178" s="17">
        <f>ROUND(VLOOKUP(H$163&amp;"_1",管理者用人口入力シート!BH:CE,J178,FALSE),0)</f>
        <v>54</v>
      </c>
      <c r="I178" s="17">
        <f>ROUND(VLOOKUP(H$163&amp;"_2",管理者用人口入力シート!BH:CE,J178,FALSE),0)</f>
        <v>52</v>
      </c>
      <c r="J178" s="2">
        <v>17</v>
      </c>
      <c r="N178" s="2" t="s">
        <v>13</v>
      </c>
      <c r="O178" s="17">
        <f>ROUND(VLOOKUP(O$163&amp;"_1",管理者用人口入力シート!CO:DL,Q178,FALSE),0)</f>
        <v>54</v>
      </c>
      <c r="P178" s="17">
        <f>ROUND(VLOOKUP(O$163&amp;"_2",管理者用人口入力シート!CO:DL,Q178,FALSE),0)</f>
        <v>52</v>
      </c>
      <c r="Q178" s="2">
        <v>17</v>
      </c>
    </row>
    <row r="179" spans="7:17" x14ac:dyDescent="0.15">
      <c r="G179" s="2" t="s">
        <v>14</v>
      </c>
      <c r="H179" s="17">
        <f>ROUND(VLOOKUP(H$163&amp;"_1",管理者用人口入力シート!BH:CE,J179,FALSE),0)</f>
        <v>52</v>
      </c>
      <c r="I179" s="17">
        <f>ROUND(VLOOKUP(H$163&amp;"_2",管理者用人口入力シート!BH:CE,J179,FALSE),0)</f>
        <v>66</v>
      </c>
      <c r="J179" s="2">
        <v>18</v>
      </c>
      <c r="N179" s="2" t="s">
        <v>14</v>
      </c>
      <c r="O179" s="17">
        <f>ROUND(VLOOKUP(O$163&amp;"_1",管理者用人口入力シート!CO:DL,Q179,FALSE),0)</f>
        <v>52</v>
      </c>
      <c r="P179" s="17">
        <f>ROUND(VLOOKUP(O$163&amp;"_2",管理者用人口入力シート!CO:DL,Q179,FALSE),0)</f>
        <v>66</v>
      </c>
      <c r="Q179" s="2">
        <v>18</v>
      </c>
    </row>
    <row r="180" spans="7:17" x14ac:dyDescent="0.15">
      <c r="G180" s="2" t="s">
        <v>15</v>
      </c>
      <c r="H180" s="17">
        <f>ROUND(VLOOKUP(H$163&amp;"_1",管理者用人口入力シート!BH:CE,J180,FALSE),0)</f>
        <v>34</v>
      </c>
      <c r="I180" s="17">
        <f>ROUND(VLOOKUP(H$163&amp;"_2",管理者用人口入力シート!BH:CE,J180,FALSE),0)</f>
        <v>56</v>
      </c>
      <c r="J180" s="2">
        <v>19</v>
      </c>
      <c r="N180" s="2" t="s">
        <v>15</v>
      </c>
      <c r="O180" s="17">
        <f>ROUND(VLOOKUP(O$163&amp;"_1",管理者用人口入力シート!CO:DL,Q180,FALSE),0)</f>
        <v>34</v>
      </c>
      <c r="P180" s="17">
        <f>ROUND(VLOOKUP(O$163&amp;"_2",管理者用人口入力シート!CO:DL,Q180,FALSE),0)</f>
        <v>56</v>
      </c>
      <c r="Q180" s="2">
        <v>19</v>
      </c>
    </row>
    <row r="181" spans="7:17" x14ac:dyDescent="0.15">
      <c r="G181" s="2" t="s">
        <v>16</v>
      </c>
      <c r="H181" s="17">
        <f>ROUND(VLOOKUP(H$163&amp;"_1",管理者用人口入力シート!BH:CE,J181,FALSE),0)</f>
        <v>45</v>
      </c>
      <c r="I181" s="17">
        <f>ROUND(VLOOKUP(H$163&amp;"_2",管理者用人口入力シート!BH:CE,J181,FALSE),0)</f>
        <v>70</v>
      </c>
      <c r="J181" s="2">
        <v>20</v>
      </c>
      <c r="N181" s="2" t="s">
        <v>16</v>
      </c>
      <c r="O181" s="17">
        <f>ROUND(VLOOKUP(O$163&amp;"_1",管理者用人口入力シート!CO:DL,Q181,FALSE),0)</f>
        <v>45</v>
      </c>
      <c r="P181" s="17">
        <f>ROUND(VLOOKUP(O$163&amp;"_2",管理者用人口入力シート!CO:DL,Q181,FALSE),0)</f>
        <v>70</v>
      </c>
      <c r="Q181" s="2">
        <v>20</v>
      </c>
    </row>
    <row r="182" spans="7:17" x14ac:dyDescent="0.15">
      <c r="G182" s="2" t="s">
        <v>17</v>
      </c>
      <c r="H182" s="17">
        <f>ROUND(VLOOKUP(H$163&amp;"_1",管理者用人口入力シート!BH:CE,J182,FALSE),0)</f>
        <v>44</v>
      </c>
      <c r="I182" s="17">
        <f>ROUND(VLOOKUP(H$163&amp;"_2",管理者用人口入力シート!BH:CE,J182,FALSE),0)</f>
        <v>63</v>
      </c>
      <c r="J182" s="2">
        <v>21</v>
      </c>
      <c r="N182" s="2" t="s">
        <v>17</v>
      </c>
      <c r="O182" s="17">
        <f>ROUND(VLOOKUP(O$163&amp;"_1",管理者用人口入力シート!CO:DL,Q182,FALSE),0)</f>
        <v>44</v>
      </c>
      <c r="P182" s="17">
        <f>ROUND(VLOOKUP(O$163&amp;"_2",管理者用人口入力シート!CO:DL,Q182,FALSE),0)</f>
        <v>63</v>
      </c>
      <c r="Q182" s="2">
        <v>21</v>
      </c>
    </row>
    <row r="183" spans="7:17" x14ac:dyDescent="0.15">
      <c r="G183" s="2" t="s">
        <v>18</v>
      </c>
      <c r="H183" s="17">
        <f>ROUND(VLOOKUP(H$163&amp;"_1",管理者用人口入力シート!BH:CE,J183,FALSE),0)</f>
        <v>23</v>
      </c>
      <c r="I183" s="17">
        <f>ROUND(VLOOKUP(H$163&amp;"_2",管理者用人口入力シート!BH:CE,J183,FALSE),0)</f>
        <v>48</v>
      </c>
      <c r="J183" s="2">
        <v>22</v>
      </c>
      <c r="N183" s="2" t="s">
        <v>18</v>
      </c>
      <c r="O183" s="17">
        <f>ROUND(VLOOKUP(O$163&amp;"_1",管理者用人口入力シート!CO:DL,Q183,FALSE),0)</f>
        <v>23</v>
      </c>
      <c r="P183" s="17">
        <f>ROUND(VLOOKUP(O$163&amp;"_2",管理者用人口入力シート!CO:DL,Q183,FALSE),0)</f>
        <v>48</v>
      </c>
      <c r="Q183" s="2">
        <v>22</v>
      </c>
    </row>
    <row r="184" spans="7:17" x14ac:dyDescent="0.15">
      <c r="G184" s="2" t="s">
        <v>19</v>
      </c>
      <c r="H184" s="17">
        <f>ROUND(VLOOKUP(H$163&amp;"_1",管理者用人口入力シート!BH:CE,J184,FALSE),0)</f>
        <v>8</v>
      </c>
      <c r="I184" s="17">
        <f>ROUND(VLOOKUP(H$163&amp;"_2",管理者用人口入力シート!BH:CE,J184,FALSE),0)</f>
        <v>21</v>
      </c>
      <c r="J184" s="2">
        <v>23</v>
      </c>
      <c r="N184" s="2" t="s">
        <v>19</v>
      </c>
      <c r="O184" s="17">
        <f>ROUND(VLOOKUP(O$163&amp;"_1",管理者用人口入力シート!CO:DL,Q184,FALSE),0)</f>
        <v>8</v>
      </c>
      <c r="P184" s="17">
        <f>ROUND(VLOOKUP(O$163&amp;"_2",管理者用人口入力シート!CO:DL,Q184,FALSE),0)</f>
        <v>21</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v>
      </c>
      <c r="I189" s="17">
        <f>ROUND(VLOOKUP(H$187&amp;"_2",管理者用人口入力シート!BH:CE,J189,FALSE),0)</f>
        <v>4</v>
      </c>
      <c r="J189" s="2">
        <v>4</v>
      </c>
      <c r="N189" s="2" t="s">
        <v>0</v>
      </c>
      <c r="O189" s="17">
        <f>ROUND(VLOOKUP(O$187&amp;"_1",管理者用人口入力シート!CO:DL,Q189,FALSE),0)</f>
        <v>8</v>
      </c>
      <c r="P189" s="17">
        <f>ROUND(VLOOKUP(O$187&amp;"_2",管理者用人口入力シート!CO:DL,Q189,FALSE),0)</f>
        <v>6</v>
      </c>
      <c r="Q189" s="2">
        <v>4</v>
      </c>
    </row>
    <row r="190" spans="7:17" x14ac:dyDescent="0.15">
      <c r="G190" s="2" t="s">
        <v>1</v>
      </c>
      <c r="H190" s="17">
        <f>ROUND(VLOOKUP(H$187&amp;"_1",管理者用人口入力シート!BH:CE,J190,FALSE),0)</f>
        <v>7</v>
      </c>
      <c r="I190" s="17">
        <f>ROUND(VLOOKUP(H$187&amp;"_2",管理者用人口入力シート!BH:CE,J190,FALSE),0)</f>
        <v>6</v>
      </c>
      <c r="J190" s="2">
        <v>5</v>
      </c>
      <c r="N190" s="2" t="s">
        <v>1</v>
      </c>
      <c r="O190" s="17">
        <f>ROUND(VLOOKUP(O$187&amp;"_1",管理者用人口入力シート!CO:DL,Q190,FALSE),0)</f>
        <v>10</v>
      </c>
      <c r="P190" s="17">
        <f>ROUND(VLOOKUP(O$187&amp;"_2",管理者用人口入力シート!CO:DL,Q190,FALSE),0)</f>
        <v>8</v>
      </c>
      <c r="Q190" s="2">
        <v>5</v>
      </c>
    </row>
    <row r="191" spans="7:17" x14ac:dyDescent="0.15">
      <c r="G191" s="2" t="s">
        <v>2</v>
      </c>
      <c r="H191" s="17">
        <f>ROUND(VLOOKUP(H$187&amp;"_1",管理者用人口入力シート!BH:CE,J191,FALSE),0)</f>
        <v>9</v>
      </c>
      <c r="I191" s="17">
        <f>ROUND(VLOOKUP(H$187&amp;"_2",管理者用人口入力シート!BH:CE,J191,FALSE),0)</f>
        <v>8</v>
      </c>
      <c r="J191" s="2">
        <v>6</v>
      </c>
      <c r="N191" s="2" t="s">
        <v>2</v>
      </c>
      <c r="O191" s="17">
        <f>ROUND(VLOOKUP(O$187&amp;"_1",管理者用人口入力シート!CO:DL,Q191,FALSE),0)</f>
        <v>12</v>
      </c>
      <c r="P191" s="17">
        <f>ROUND(VLOOKUP(O$187&amp;"_2",管理者用人口入力シート!CO:DL,Q191,FALSE),0)</f>
        <v>12</v>
      </c>
      <c r="Q191" s="2">
        <v>6</v>
      </c>
    </row>
    <row r="192" spans="7:17" x14ac:dyDescent="0.15">
      <c r="G192" s="2" t="s">
        <v>3</v>
      </c>
      <c r="H192" s="17">
        <f>ROUND(VLOOKUP(H$187&amp;"_1",管理者用人口入力シート!BH:CE,J192,FALSE),0)</f>
        <v>9</v>
      </c>
      <c r="I192" s="17">
        <f>ROUND(VLOOKUP(H$187&amp;"_2",管理者用人口入力シート!BH:CE,J192,FALSE),0)</f>
        <v>9</v>
      </c>
      <c r="J192" s="2">
        <v>7</v>
      </c>
      <c r="N192" s="2" t="s">
        <v>3</v>
      </c>
      <c r="O192" s="17">
        <f>ROUND(VLOOKUP(O$187&amp;"_1",管理者用人口入力シート!CO:DL,Q192,FALSE),0)</f>
        <v>12</v>
      </c>
      <c r="P192" s="17">
        <f>ROUND(VLOOKUP(O$187&amp;"_2",管理者用人口入力シート!CO:DL,Q192,FALSE),0)</f>
        <v>12</v>
      </c>
      <c r="Q192" s="2">
        <v>7</v>
      </c>
    </row>
    <row r="193" spans="7:17" x14ac:dyDescent="0.15">
      <c r="G193" s="2" t="s">
        <v>4</v>
      </c>
      <c r="H193" s="17">
        <f>ROUND(VLOOKUP(H$187&amp;"_1",管理者用人口入力シート!BH:CE,J193,FALSE),0)</f>
        <v>6</v>
      </c>
      <c r="I193" s="17">
        <f>ROUND(VLOOKUP(H$187&amp;"_2",管理者用人口入力シート!BH:CE,J193,FALSE),0)</f>
        <v>6</v>
      </c>
      <c r="J193" s="2">
        <v>8</v>
      </c>
      <c r="N193" s="2" t="s">
        <v>4</v>
      </c>
      <c r="O193" s="17">
        <f>ROUND(VLOOKUP(O$187&amp;"_1",管理者用人口入力シート!CO:DL,Q193,FALSE),0)</f>
        <v>8</v>
      </c>
      <c r="P193" s="17">
        <f>ROUND(VLOOKUP(O$187&amp;"_2",管理者用人口入力シート!CO:DL,Q193,FALSE),0)</f>
        <v>8</v>
      </c>
      <c r="Q193" s="2">
        <v>8</v>
      </c>
    </row>
    <row r="194" spans="7:17" x14ac:dyDescent="0.15">
      <c r="G194" s="2" t="s">
        <v>5</v>
      </c>
      <c r="H194" s="17">
        <f>ROUND(VLOOKUP(H$187&amp;"_1",管理者用人口入力シート!BH:CE,J194,FALSE),0)</f>
        <v>7</v>
      </c>
      <c r="I194" s="17">
        <f>ROUND(VLOOKUP(H$187&amp;"_2",管理者用人口入力シート!BH:CE,J194,FALSE),0)</f>
        <v>5</v>
      </c>
      <c r="J194" s="2">
        <v>9</v>
      </c>
      <c r="N194" s="2" t="s">
        <v>5</v>
      </c>
      <c r="O194" s="17">
        <f>ROUND(VLOOKUP(O$187&amp;"_1",管理者用人口入力シート!CO:DL,Q194,FALSE),0)</f>
        <v>10</v>
      </c>
      <c r="P194" s="17">
        <f>ROUND(VLOOKUP(O$187&amp;"_2",管理者用人口入力シート!CO:DL,Q194,FALSE),0)</f>
        <v>8</v>
      </c>
      <c r="Q194" s="2">
        <v>9</v>
      </c>
    </row>
    <row r="195" spans="7:17" x14ac:dyDescent="0.15">
      <c r="G195" s="2" t="s">
        <v>6</v>
      </c>
      <c r="H195" s="17">
        <f>ROUND(VLOOKUP(H$187&amp;"_1",管理者用人口入力シート!BH:CE,J195,FALSE),0)</f>
        <v>9</v>
      </c>
      <c r="I195" s="17">
        <f>ROUND(VLOOKUP(H$187&amp;"_2",管理者用人口入力シート!BH:CE,J195,FALSE),0)</f>
        <v>6</v>
      </c>
      <c r="J195" s="2">
        <v>10</v>
      </c>
      <c r="N195" s="2" t="s">
        <v>6</v>
      </c>
      <c r="O195" s="17">
        <f>ROUND(VLOOKUP(O$187&amp;"_1",管理者用人口入力シート!CO:DL,Q195,FALSE),0)</f>
        <v>11</v>
      </c>
      <c r="P195" s="17">
        <f>ROUND(VLOOKUP(O$187&amp;"_2",管理者用人口入力シート!CO:DL,Q195,FALSE),0)</f>
        <v>8</v>
      </c>
      <c r="Q195" s="2">
        <v>10</v>
      </c>
    </row>
    <row r="196" spans="7:17" x14ac:dyDescent="0.15">
      <c r="G196" s="2" t="s">
        <v>7</v>
      </c>
      <c r="H196" s="17">
        <f>ROUND(VLOOKUP(H$187&amp;"_1",管理者用人口入力シート!BH:CE,J196,FALSE),0)</f>
        <v>10</v>
      </c>
      <c r="I196" s="17">
        <f>ROUND(VLOOKUP(H$187&amp;"_2",管理者用人口入力シート!BH:CE,J196,FALSE),0)</f>
        <v>8</v>
      </c>
      <c r="J196" s="2">
        <v>11</v>
      </c>
      <c r="N196" s="2" t="s">
        <v>7</v>
      </c>
      <c r="O196" s="17">
        <f>ROUND(VLOOKUP(O$187&amp;"_1",管理者用人口入力シート!CO:DL,Q196,FALSE),0)</f>
        <v>12</v>
      </c>
      <c r="P196" s="17">
        <f>ROUND(VLOOKUP(O$187&amp;"_2",管理者用人口入力シート!CO:DL,Q196,FALSE),0)</f>
        <v>10</v>
      </c>
      <c r="Q196" s="2">
        <v>11</v>
      </c>
    </row>
    <row r="197" spans="7:17" x14ac:dyDescent="0.15">
      <c r="G197" s="2" t="s">
        <v>8</v>
      </c>
      <c r="H197" s="17">
        <f>ROUND(VLOOKUP(H$187&amp;"_1",管理者用人口入力シート!BH:CE,J197,FALSE),0)</f>
        <v>11</v>
      </c>
      <c r="I197" s="17">
        <f>ROUND(VLOOKUP(H$187&amp;"_2",管理者用人口入力シート!BH:CE,J197,FALSE),0)</f>
        <v>10</v>
      </c>
      <c r="J197" s="2">
        <v>12</v>
      </c>
      <c r="N197" s="2" t="s">
        <v>8</v>
      </c>
      <c r="O197" s="17">
        <f>ROUND(VLOOKUP(O$187&amp;"_1",管理者用人口入力シート!CO:DL,Q197,FALSE),0)</f>
        <v>13</v>
      </c>
      <c r="P197" s="17">
        <f>ROUND(VLOOKUP(O$187&amp;"_2",管理者用人口入力シート!CO:DL,Q197,FALSE),0)</f>
        <v>13</v>
      </c>
      <c r="Q197" s="2">
        <v>12</v>
      </c>
    </row>
    <row r="198" spans="7:17" x14ac:dyDescent="0.15">
      <c r="G198" s="2" t="s">
        <v>9</v>
      </c>
      <c r="H198" s="17">
        <f>ROUND(VLOOKUP(H$187&amp;"_1",管理者用人口入力シート!BH:CE,J198,FALSE),0)</f>
        <v>13</v>
      </c>
      <c r="I198" s="17">
        <f>ROUND(VLOOKUP(H$187&amp;"_2",管理者用人口入力シート!BH:CE,J198,FALSE),0)</f>
        <v>13</v>
      </c>
      <c r="J198" s="2">
        <v>13</v>
      </c>
      <c r="N198" s="2" t="s">
        <v>9</v>
      </c>
      <c r="O198" s="17">
        <f>ROUND(VLOOKUP(O$187&amp;"_1",管理者用人口入力シート!CO:DL,Q198,FALSE),0)</f>
        <v>15</v>
      </c>
      <c r="P198" s="17">
        <f>ROUND(VLOOKUP(O$187&amp;"_2",管理者用人口入力シート!CO:DL,Q198,FALSE),0)</f>
        <v>15</v>
      </c>
      <c r="Q198" s="2">
        <v>13</v>
      </c>
    </row>
    <row r="199" spans="7:17" x14ac:dyDescent="0.15">
      <c r="G199" s="2" t="s">
        <v>10</v>
      </c>
      <c r="H199" s="17">
        <f>ROUND(VLOOKUP(H$187&amp;"_1",管理者用人口入力シート!BH:CE,J199,FALSE),0)</f>
        <v>19</v>
      </c>
      <c r="I199" s="17">
        <f>ROUND(VLOOKUP(H$187&amp;"_2",管理者用人口入力シート!BH:CE,J199,FALSE),0)</f>
        <v>15</v>
      </c>
      <c r="J199" s="2">
        <v>14</v>
      </c>
      <c r="N199" s="2" t="s">
        <v>10</v>
      </c>
      <c r="O199" s="17">
        <f>ROUND(VLOOKUP(O$187&amp;"_1",管理者用人口入力シート!CO:DL,Q199,FALSE),0)</f>
        <v>21</v>
      </c>
      <c r="P199" s="17">
        <f>ROUND(VLOOKUP(O$187&amp;"_2",管理者用人口入力シート!CO:DL,Q199,FALSE),0)</f>
        <v>17</v>
      </c>
      <c r="Q199" s="2">
        <v>14</v>
      </c>
    </row>
    <row r="200" spans="7:17" x14ac:dyDescent="0.15">
      <c r="G200" s="2" t="s">
        <v>11</v>
      </c>
      <c r="H200" s="17">
        <f>ROUND(VLOOKUP(H$187&amp;"_1",管理者用人口入力シート!BH:CE,J200,FALSE),0)</f>
        <v>24</v>
      </c>
      <c r="I200" s="17">
        <f>ROUND(VLOOKUP(H$187&amp;"_2",管理者用人口入力シート!BH:CE,J200,FALSE),0)</f>
        <v>21</v>
      </c>
      <c r="J200" s="2">
        <v>15</v>
      </c>
      <c r="N200" s="2" t="s">
        <v>11</v>
      </c>
      <c r="O200" s="17">
        <f>ROUND(VLOOKUP(O$187&amp;"_1",管理者用人口入力シート!CO:DL,Q200,FALSE),0)</f>
        <v>24</v>
      </c>
      <c r="P200" s="17">
        <f>ROUND(VLOOKUP(O$187&amp;"_2",管理者用人口入力シート!CO:DL,Q200,FALSE),0)</f>
        <v>23</v>
      </c>
      <c r="Q200" s="2">
        <v>15</v>
      </c>
    </row>
    <row r="201" spans="7:17" x14ac:dyDescent="0.15">
      <c r="G201" s="2" t="s">
        <v>12</v>
      </c>
      <c r="H201" s="17">
        <f>ROUND(VLOOKUP(H$187&amp;"_1",管理者用人口入力シート!BH:CE,J201,FALSE),0)</f>
        <v>33</v>
      </c>
      <c r="I201" s="17">
        <f>ROUND(VLOOKUP(H$187&amp;"_2",管理者用人口入力シート!BH:CE,J201,FALSE),0)</f>
        <v>35</v>
      </c>
      <c r="J201" s="2">
        <v>16</v>
      </c>
      <c r="N201" s="2" t="s">
        <v>12</v>
      </c>
      <c r="O201" s="17">
        <f>ROUND(VLOOKUP(O$187&amp;"_1",管理者用人口入力シート!CO:DL,Q201,FALSE),0)</f>
        <v>33</v>
      </c>
      <c r="P201" s="17">
        <f>ROUND(VLOOKUP(O$187&amp;"_2",管理者用人口入力シート!CO:DL,Q201,FALSE),0)</f>
        <v>36</v>
      </c>
      <c r="Q201" s="2">
        <v>16</v>
      </c>
    </row>
    <row r="202" spans="7:17" x14ac:dyDescent="0.15">
      <c r="G202" s="2" t="s">
        <v>13</v>
      </c>
      <c r="H202" s="17">
        <f>ROUND(VLOOKUP(H$187&amp;"_1",管理者用人口入力シート!BH:CE,J202,FALSE),0)</f>
        <v>48</v>
      </c>
      <c r="I202" s="17">
        <f>ROUND(VLOOKUP(H$187&amp;"_2",管理者用人口入力シート!BH:CE,J202,FALSE),0)</f>
        <v>42</v>
      </c>
      <c r="J202" s="2">
        <v>17</v>
      </c>
      <c r="N202" s="2" t="s">
        <v>13</v>
      </c>
      <c r="O202" s="17">
        <f>ROUND(VLOOKUP(O$187&amp;"_1",管理者用人口入力シート!CO:DL,Q202,FALSE),0)</f>
        <v>48</v>
      </c>
      <c r="P202" s="17">
        <f>ROUND(VLOOKUP(O$187&amp;"_2",管理者用人口入力シート!CO:DL,Q202,FALSE),0)</f>
        <v>43</v>
      </c>
      <c r="Q202" s="2">
        <v>17</v>
      </c>
    </row>
    <row r="203" spans="7:17" x14ac:dyDescent="0.15">
      <c r="G203" s="2" t="s">
        <v>14</v>
      </c>
      <c r="H203" s="17">
        <f>ROUND(VLOOKUP(H$187&amp;"_1",管理者用人口入力シート!BH:CE,J203,FALSE),0)</f>
        <v>48</v>
      </c>
      <c r="I203" s="17">
        <f>ROUND(VLOOKUP(H$187&amp;"_2",管理者用人口入力シート!BH:CE,J203,FALSE),0)</f>
        <v>50</v>
      </c>
      <c r="J203" s="2">
        <v>18</v>
      </c>
      <c r="N203" s="2" t="s">
        <v>14</v>
      </c>
      <c r="O203" s="17">
        <f>ROUND(VLOOKUP(O$187&amp;"_1",管理者用人口入力シート!CO:DL,Q203,FALSE),0)</f>
        <v>48</v>
      </c>
      <c r="P203" s="17">
        <f>ROUND(VLOOKUP(O$187&amp;"_2",管理者用人口入力シート!CO:DL,Q203,FALSE),0)</f>
        <v>50</v>
      </c>
      <c r="Q203" s="2">
        <v>18</v>
      </c>
    </row>
    <row r="204" spans="7:17" x14ac:dyDescent="0.15">
      <c r="G204" s="2" t="s">
        <v>15</v>
      </c>
      <c r="H204" s="17">
        <f>ROUND(VLOOKUP(H$187&amp;"_1",管理者用人口入力シート!BH:CE,J204,FALSE),0)</f>
        <v>41</v>
      </c>
      <c r="I204" s="17">
        <f>ROUND(VLOOKUP(H$187&amp;"_2",管理者用人口入力シート!BH:CE,J204,FALSE),0)</f>
        <v>62</v>
      </c>
      <c r="J204" s="2">
        <v>19</v>
      </c>
      <c r="N204" s="2" t="s">
        <v>15</v>
      </c>
      <c r="O204" s="17">
        <f>ROUND(VLOOKUP(O$187&amp;"_1",管理者用人口入力シート!CO:DL,Q204,FALSE),0)</f>
        <v>41</v>
      </c>
      <c r="P204" s="17">
        <f>ROUND(VLOOKUP(O$187&amp;"_2",管理者用人口入力シート!CO:DL,Q204,FALSE),0)</f>
        <v>62</v>
      </c>
      <c r="Q204" s="2">
        <v>19</v>
      </c>
    </row>
    <row r="205" spans="7:17" x14ac:dyDescent="0.15">
      <c r="G205" s="2" t="s">
        <v>16</v>
      </c>
      <c r="H205" s="17">
        <f>ROUND(VLOOKUP(H$187&amp;"_1",管理者用人口入力シート!BH:CE,J205,FALSE),0)</f>
        <v>28</v>
      </c>
      <c r="I205" s="17">
        <f>ROUND(VLOOKUP(H$187&amp;"_2",管理者用人口入力シート!BH:CE,J205,FALSE),0)</f>
        <v>47</v>
      </c>
      <c r="J205" s="2">
        <v>20</v>
      </c>
      <c r="N205" s="2" t="s">
        <v>16</v>
      </c>
      <c r="O205" s="17">
        <f>ROUND(VLOOKUP(O$187&amp;"_1",管理者用人口入力シート!CO:DL,Q205,FALSE),0)</f>
        <v>28</v>
      </c>
      <c r="P205" s="17">
        <f>ROUND(VLOOKUP(O$187&amp;"_2",管理者用人口入力シート!CO:DL,Q205,FALSE),0)</f>
        <v>47</v>
      </c>
      <c r="Q205" s="2">
        <v>20</v>
      </c>
    </row>
    <row r="206" spans="7:17" x14ac:dyDescent="0.15">
      <c r="G206" s="2" t="s">
        <v>17</v>
      </c>
      <c r="H206" s="17">
        <f>ROUND(VLOOKUP(H$187&amp;"_1",管理者用人口入力シート!BH:CE,J206,FALSE),0)</f>
        <v>30</v>
      </c>
      <c r="I206" s="17">
        <f>ROUND(VLOOKUP(H$187&amp;"_2",管理者用人口入力シート!BH:CE,J206,FALSE),0)</f>
        <v>55</v>
      </c>
      <c r="J206" s="2">
        <v>21</v>
      </c>
      <c r="N206" s="2" t="s">
        <v>17</v>
      </c>
      <c r="O206" s="17">
        <f>ROUND(VLOOKUP(O$187&amp;"_1",管理者用人口入力シート!CO:DL,Q206,FALSE),0)</f>
        <v>30</v>
      </c>
      <c r="P206" s="17">
        <f>ROUND(VLOOKUP(O$187&amp;"_2",管理者用人口入力シート!CO:DL,Q206,FALSE),0)</f>
        <v>55</v>
      </c>
      <c r="Q206" s="2">
        <v>21</v>
      </c>
    </row>
    <row r="207" spans="7:17" x14ac:dyDescent="0.15">
      <c r="G207" s="2" t="s">
        <v>18</v>
      </c>
      <c r="H207" s="17">
        <f>ROUND(VLOOKUP(H$187&amp;"_1",管理者用人口入力シート!BH:CE,J207,FALSE),0)</f>
        <v>18</v>
      </c>
      <c r="I207" s="17">
        <f>ROUND(VLOOKUP(H$187&amp;"_2",管理者用人口入力シート!BH:CE,J207,FALSE),0)</f>
        <v>36</v>
      </c>
      <c r="J207" s="2">
        <v>22</v>
      </c>
      <c r="N207" s="2" t="s">
        <v>18</v>
      </c>
      <c r="O207" s="17">
        <f>ROUND(VLOOKUP(O$187&amp;"_1",管理者用人口入力シート!CO:DL,Q207,FALSE),0)</f>
        <v>18</v>
      </c>
      <c r="P207" s="17">
        <f>ROUND(VLOOKUP(O$187&amp;"_2",管理者用人口入力シート!CO:DL,Q207,FALSE),0)</f>
        <v>36</v>
      </c>
      <c r="Q207" s="2">
        <v>22</v>
      </c>
    </row>
    <row r="208" spans="7:17" x14ac:dyDescent="0.15">
      <c r="G208" s="2" t="s">
        <v>19</v>
      </c>
      <c r="H208" s="17">
        <f>ROUND(VLOOKUP(H$187&amp;"_1",管理者用人口入力シート!BH:CE,J208,FALSE),0)</f>
        <v>8</v>
      </c>
      <c r="I208" s="17">
        <f>ROUND(VLOOKUP(H$187&amp;"_2",管理者用人口入力シート!BH:CE,J208,FALSE),0)</f>
        <v>24</v>
      </c>
      <c r="J208" s="2">
        <v>23</v>
      </c>
      <c r="N208" s="2" t="s">
        <v>19</v>
      </c>
      <c r="O208" s="17">
        <f>ROUND(VLOOKUP(O$187&amp;"_1",管理者用人口入力シート!CO:DL,Q208,FALSE),0)</f>
        <v>8</v>
      </c>
      <c r="P208" s="17">
        <f>ROUND(VLOOKUP(O$187&amp;"_2",管理者用人口入力シート!CO:DL,Q208,FALSE),0)</f>
        <v>24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24</v>
      </c>
      <c r="P214" s="17">
        <f>O93+P93</f>
        <v>28</v>
      </c>
      <c r="Q214" s="2">
        <v>4</v>
      </c>
    </row>
    <row r="215" spans="7:17" x14ac:dyDescent="0.15">
      <c r="N215" s="2" t="s">
        <v>1</v>
      </c>
      <c r="O215" s="17">
        <f t="shared" ref="O215:O233" si="37">H94+I94</f>
        <v>36</v>
      </c>
      <c r="P215" s="17">
        <f t="shared" ref="P215:P233" si="38">O94+P94</f>
        <v>39</v>
      </c>
      <c r="Q215" s="2">
        <v>5</v>
      </c>
    </row>
    <row r="216" spans="7:17" x14ac:dyDescent="0.15">
      <c r="N216" s="2" t="s">
        <v>2</v>
      </c>
      <c r="O216" s="17">
        <f t="shared" si="37"/>
        <v>48</v>
      </c>
      <c r="P216" s="17">
        <f t="shared" si="38"/>
        <v>50</v>
      </c>
      <c r="Q216" s="2">
        <v>6</v>
      </c>
    </row>
    <row r="217" spans="7:17" x14ac:dyDescent="0.15">
      <c r="N217" s="2" t="s">
        <v>3</v>
      </c>
      <c r="O217" s="17">
        <f t="shared" si="37"/>
        <v>54</v>
      </c>
      <c r="P217" s="17">
        <f t="shared" si="38"/>
        <v>56</v>
      </c>
      <c r="Q217" s="2">
        <v>7</v>
      </c>
    </row>
    <row r="218" spans="7:17" x14ac:dyDescent="0.15">
      <c r="N218" s="2" t="s">
        <v>4</v>
      </c>
      <c r="O218" s="17">
        <f t="shared" si="37"/>
        <v>36</v>
      </c>
      <c r="P218" s="17">
        <f t="shared" si="38"/>
        <v>36</v>
      </c>
      <c r="Q218" s="2">
        <v>8</v>
      </c>
    </row>
    <row r="219" spans="7:17" x14ac:dyDescent="0.15">
      <c r="N219" s="2" t="s">
        <v>5</v>
      </c>
      <c r="O219" s="17">
        <f t="shared" si="37"/>
        <v>31</v>
      </c>
      <c r="P219" s="17">
        <f t="shared" si="38"/>
        <v>35</v>
      </c>
      <c r="Q219" s="2">
        <v>9</v>
      </c>
    </row>
    <row r="220" spans="7:17" x14ac:dyDescent="0.15">
      <c r="N220" s="2" t="s">
        <v>6</v>
      </c>
      <c r="O220" s="17">
        <f t="shared" si="37"/>
        <v>35</v>
      </c>
      <c r="P220" s="17">
        <f t="shared" si="38"/>
        <v>39</v>
      </c>
      <c r="Q220" s="2">
        <v>10</v>
      </c>
    </row>
    <row r="221" spans="7:17" x14ac:dyDescent="0.15">
      <c r="N221" s="2" t="s">
        <v>7</v>
      </c>
      <c r="O221" s="17">
        <f t="shared" si="37"/>
        <v>44</v>
      </c>
      <c r="P221" s="17">
        <f t="shared" si="38"/>
        <v>44</v>
      </c>
      <c r="Q221" s="2">
        <v>11</v>
      </c>
    </row>
    <row r="222" spans="7:17" x14ac:dyDescent="0.15">
      <c r="N222" s="2" t="s">
        <v>8</v>
      </c>
      <c r="O222" s="17">
        <f t="shared" si="37"/>
        <v>67</v>
      </c>
      <c r="P222" s="17">
        <f t="shared" si="38"/>
        <v>68</v>
      </c>
      <c r="Q222" s="2">
        <v>12</v>
      </c>
    </row>
    <row r="223" spans="7:17" x14ac:dyDescent="0.15">
      <c r="N223" s="2" t="s">
        <v>9</v>
      </c>
      <c r="O223" s="17">
        <f t="shared" si="37"/>
        <v>90</v>
      </c>
      <c r="P223" s="17">
        <f t="shared" si="38"/>
        <v>91</v>
      </c>
      <c r="Q223" s="2">
        <v>13</v>
      </c>
    </row>
    <row r="224" spans="7:17" x14ac:dyDescent="0.15">
      <c r="N224" s="2" t="s">
        <v>10</v>
      </c>
      <c r="O224" s="17">
        <f t="shared" si="37"/>
        <v>104</v>
      </c>
      <c r="P224" s="17">
        <f t="shared" si="38"/>
        <v>104</v>
      </c>
      <c r="Q224" s="2">
        <v>14</v>
      </c>
    </row>
    <row r="225" spans="14:17" x14ac:dyDescent="0.15">
      <c r="N225" s="2" t="s">
        <v>11</v>
      </c>
      <c r="O225" s="17">
        <f t="shared" si="37"/>
        <v>127</v>
      </c>
      <c r="P225" s="17">
        <f t="shared" si="38"/>
        <v>127</v>
      </c>
      <c r="Q225" s="2">
        <v>15</v>
      </c>
    </row>
    <row r="226" spans="14:17" x14ac:dyDescent="0.15">
      <c r="N226" s="2" t="s">
        <v>12</v>
      </c>
      <c r="O226" s="17">
        <f t="shared" si="37"/>
        <v>109</v>
      </c>
      <c r="P226" s="17">
        <f t="shared" si="38"/>
        <v>109</v>
      </c>
      <c r="Q226" s="2">
        <v>16</v>
      </c>
    </row>
    <row r="227" spans="14:17" x14ac:dyDescent="0.15">
      <c r="N227" s="2" t="s">
        <v>13</v>
      </c>
      <c r="O227" s="17">
        <f t="shared" si="37"/>
        <v>168</v>
      </c>
      <c r="P227" s="17">
        <f t="shared" si="38"/>
        <v>168</v>
      </c>
      <c r="Q227" s="2">
        <v>17</v>
      </c>
    </row>
    <row r="228" spans="14:17" x14ac:dyDescent="0.15">
      <c r="N228" s="2" t="s">
        <v>14</v>
      </c>
      <c r="O228" s="17">
        <f t="shared" si="37"/>
        <v>202</v>
      </c>
      <c r="P228" s="17">
        <f t="shared" si="38"/>
        <v>202</v>
      </c>
      <c r="Q228" s="2">
        <v>18</v>
      </c>
    </row>
    <row r="229" spans="14:17" x14ac:dyDescent="0.15">
      <c r="N229" s="2" t="s">
        <v>15</v>
      </c>
      <c r="O229" s="17">
        <f t="shared" si="37"/>
        <v>229</v>
      </c>
      <c r="P229" s="17">
        <f t="shared" si="38"/>
        <v>229</v>
      </c>
      <c r="Q229" s="2">
        <v>19</v>
      </c>
    </row>
    <row r="230" spans="14:17" x14ac:dyDescent="0.15">
      <c r="N230" s="2" t="s">
        <v>16</v>
      </c>
      <c r="O230" s="17">
        <f t="shared" si="37"/>
        <v>179</v>
      </c>
      <c r="P230" s="17">
        <f t="shared" si="38"/>
        <v>179</v>
      </c>
      <c r="Q230" s="2">
        <v>20</v>
      </c>
    </row>
    <row r="231" spans="14:17" x14ac:dyDescent="0.15">
      <c r="N231" s="2" t="s">
        <v>17</v>
      </c>
      <c r="O231" s="17">
        <f t="shared" si="37"/>
        <v>106</v>
      </c>
      <c r="P231" s="17">
        <f t="shared" si="38"/>
        <v>106</v>
      </c>
      <c r="Q231" s="2">
        <v>21</v>
      </c>
    </row>
    <row r="232" spans="14:17" x14ac:dyDescent="0.15">
      <c r="N232" s="2" t="s">
        <v>18</v>
      </c>
      <c r="O232" s="17">
        <f t="shared" si="37"/>
        <v>68</v>
      </c>
      <c r="P232" s="17">
        <f t="shared" si="38"/>
        <v>68</v>
      </c>
      <c r="Q232" s="2">
        <v>22</v>
      </c>
    </row>
    <row r="233" spans="14:17" x14ac:dyDescent="0.15">
      <c r="N233" s="2" t="s">
        <v>19</v>
      </c>
      <c r="O233" s="17">
        <f t="shared" si="37"/>
        <v>37</v>
      </c>
      <c r="P233" s="17">
        <f t="shared" si="38"/>
        <v>37</v>
      </c>
      <c r="Q233" s="2">
        <v>23</v>
      </c>
    </row>
    <row r="234" spans="14:17" x14ac:dyDescent="0.15">
      <c r="N234" s="2" t="s">
        <v>20</v>
      </c>
      <c r="O234" s="17">
        <f>H113+I113</f>
        <v>1</v>
      </c>
      <c r="P234" s="17">
        <f>O113+P113</f>
        <v>1</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15</v>
      </c>
      <c r="P238" s="17">
        <f>O141+P141</f>
        <v>19</v>
      </c>
      <c r="Q238" s="2">
        <v>4</v>
      </c>
    </row>
    <row r="239" spans="14:17" x14ac:dyDescent="0.15">
      <c r="N239" s="2" t="s">
        <v>1</v>
      </c>
      <c r="O239" s="17">
        <f t="shared" ref="O239:O257" si="39">H142+I142</f>
        <v>22</v>
      </c>
      <c r="P239" s="17">
        <f t="shared" ref="P239:P257" si="40">O142+P142</f>
        <v>26</v>
      </c>
      <c r="Q239" s="2">
        <v>5</v>
      </c>
    </row>
    <row r="240" spans="14:17" x14ac:dyDescent="0.15">
      <c r="N240" s="2" t="s">
        <v>2</v>
      </c>
      <c r="O240" s="17">
        <f t="shared" si="39"/>
        <v>27</v>
      </c>
      <c r="P240" s="17">
        <f t="shared" si="40"/>
        <v>33</v>
      </c>
      <c r="Q240" s="2">
        <v>6</v>
      </c>
    </row>
    <row r="241" spans="14:17" x14ac:dyDescent="0.15">
      <c r="N241" s="2" t="s">
        <v>3</v>
      </c>
      <c r="O241" s="17">
        <f t="shared" si="39"/>
        <v>31</v>
      </c>
      <c r="P241" s="17">
        <f t="shared" si="40"/>
        <v>34</v>
      </c>
      <c r="Q241" s="2">
        <v>7</v>
      </c>
    </row>
    <row r="242" spans="14:17" x14ac:dyDescent="0.15">
      <c r="N242" s="2" t="s">
        <v>4</v>
      </c>
      <c r="O242" s="17">
        <f t="shared" si="39"/>
        <v>23</v>
      </c>
      <c r="P242" s="17">
        <f t="shared" si="40"/>
        <v>24</v>
      </c>
      <c r="Q242" s="2">
        <v>8</v>
      </c>
    </row>
    <row r="243" spans="14:17" x14ac:dyDescent="0.15">
      <c r="N243" s="2" t="s">
        <v>5</v>
      </c>
      <c r="O243" s="17">
        <f t="shared" si="39"/>
        <v>22</v>
      </c>
      <c r="P243" s="17">
        <f t="shared" si="40"/>
        <v>27</v>
      </c>
      <c r="Q243" s="2">
        <v>9</v>
      </c>
    </row>
    <row r="244" spans="14:17" x14ac:dyDescent="0.15">
      <c r="N244" s="2" t="s">
        <v>6</v>
      </c>
      <c r="O244" s="17">
        <f t="shared" si="39"/>
        <v>22</v>
      </c>
      <c r="P244" s="17">
        <f t="shared" si="40"/>
        <v>25</v>
      </c>
      <c r="Q244" s="2">
        <v>10</v>
      </c>
    </row>
    <row r="245" spans="14:17" x14ac:dyDescent="0.15">
      <c r="N245" s="2" t="s">
        <v>7</v>
      </c>
      <c r="O245" s="17">
        <f t="shared" si="39"/>
        <v>25</v>
      </c>
      <c r="P245" s="17">
        <f t="shared" si="40"/>
        <v>28</v>
      </c>
      <c r="Q245" s="2">
        <v>11</v>
      </c>
    </row>
    <row r="246" spans="14:17" x14ac:dyDescent="0.15">
      <c r="N246" s="2" t="s">
        <v>8</v>
      </c>
      <c r="O246" s="17">
        <f t="shared" si="39"/>
        <v>35</v>
      </c>
      <c r="P246" s="17">
        <f t="shared" si="40"/>
        <v>40</v>
      </c>
      <c r="Q246" s="2">
        <v>12</v>
      </c>
    </row>
    <row r="247" spans="14:17" x14ac:dyDescent="0.15">
      <c r="N247" s="2" t="s">
        <v>9</v>
      </c>
      <c r="O247" s="17">
        <f t="shared" si="39"/>
        <v>46</v>
      </c>
      <c r="P247" s="17">
        <f t="shared" si="40"/>
        <v>47</v>
      </c>
      <c r="Q247" s="2">
        <v>13</v>
      </c>
    </row>
    <row r="248" spans="14:17" x14ac:dyDescent="0.15">
      <c r="N248" s="2" t="s">
        <v>10</v>
      </c>
      <c r="O248" s="17">
        <f t="shared" si="39"/>
        <v>67</v>
      </c>
      <c r="P248" s="17">
        <f t="shared" si="40"/>
        <v>68</v>
      </c>
      <c r="Q248" s="2">
        <v>14</v>
      </c>
    </row>
    <row r="249" spans="14:17" x14ac:dyDescent="0.15">
      <c r="N249" s="2" t="s">
        <v>11</v>
      </c>
      <c r="O249" s="17">
        <f t="shared" si="39"/>
        <v>90</v>
      </c>
      <c r="P249" s="17">
        <f t="shared" si="40"/>
        <v>91</v>
      </c>
      <c r="Q249" s="2">
        <v>15</v>
      </c>
    </row>
    <row r="250" spans="14:17" x14ac:dyDescent="0.15">
      <c r="N250" s="2" t="s">
        <v>12</v>
      </c>
      <c r="O250" s="17">
        <f t="shared" si="39"/>
        <v>106</v>
      </c>
      <c r="P250" s="17">
        <f t="shared" si="40"/>
        <v>106</v>
      </c>
      <c r="Q250" s="2">
        <v>16</v>
      </c>
    </row>
    <row r="251" spans="14:17" x14ac:dyDescent="0.15">
      <c r="N251" s="2" t="s">
        <v>13</v>
      </c>
      <c r="O251" s="17">
        <f t="shared" si="39"/>
        <v>127</v>
      </c>
      <c r="P251" s="17">
        <f t="shared" si="40"/>
        <v>127</v>
      </c>
      <c r="Q251" s="2">
        <v>17</v>
      </c>
    </row>
    <row r="252" spans="14:17" x14ac:dyDescent="0.15">
      <c r="N252" s="2" t="s">
        <v>14</v>
      </c>
      <c r="O252" s="17">
        <f t="shared" si="39"/>
        <v>102</v>
      </c>
      <c r="P252" s="17">
        <f t="shared" si="40"/>
        <v>102</v>
      </c>
      <c r="Q252" s="2">
        <v>18</v>
      </c>
    </row>
    <row r="253" spans="14:17" x14ac:dyDescent="0.15">
      <c r="N253" s="2" t="s">
        <v>15</v>
      </c>
      <c r="O253" s="17">
        <f t="shared" si="39"/>
        <v>137</v>
      </c>
      <c r="P253" s="17">
        <f t="shared" si="40"/>
        <v>137</v>
      </c>
      <c r="Q253" s="2">
        <v>19</v>
      </c>
    </row>
    <row r="254" spans="14:17" x14ac:dyDescent="0.15">
      <c r="N254" s="2" t="s">
        <v>16</v>
      </c>
      <c r="O254" s="17">
        <f t="shared" si="39"/>
        <v>148</v>
      </c>
      <c r="P254" s="17">
        <f t="shared" si="40"/>
        <v>148</v>
      </c>
      <c r="Q254" s="2">
        <v>20</v>
      </c>
    </row>
    <row r="255" spans="14:17" x14ac:dyDescent="0.15">
      <c r="N255" s="2" t="s">
        <v>17</v>
      </c>
      <c r="O255" s="17">
        <f t="shared" si="39"/>
        <v>141</v>
      </c>
      <c r="P255" s="17">
        <f t="shared" si="40"/>
        <v>141</v>
      </c>
      <c r="Q255" s="2">
        <v>21</v>
      </c>
    </row>
    <row r="256" spans="14:17" x14ac:dyDescent="0.15">
      <c r="N256" s="2" t="s">
        <v>18</v>
      </c>
      <c r="O256" s="17">
        <f t="shared" si="39"/>
        <v>64</v>
      </c>
      <c r="P256" s="17">
        <f t="shared" si="40"/>
        <v>64</v>
      </c>
      <c r="Q256" s="2">
        <v>22</v>
      </c>
    </row>
    <row r="257" spans="14:17" x14ac:dyDescent="0.15">
      <c r="N257" s="2" t="s">
        <v>19</v>
      </c>
      <c r="O257" s="17">
        <f t="shared" si="39"/>
        <v>24</v>
      </c>
      <c r="P257" s="17">
        <f t="shared" si="40"/>
        <v>24</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2019-03-18T10:49:50Z</cp:lastPrinted>
  <dcterms:created xsi:type="dcterms:W3CDTF">2018-08-17T00:57:13Z</dcterms:created>
  <dcterms:modified xsi:type="dcterms:W3CDTF">2023-03-30T03:00:01Z</dcterms:modified>
</cp:coreProperties>
</file>