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skVWY/NPySbNxx5YCfJ2GOjrsFsSLuFp6lSaMVguMv7P//A56cPOXac3FxrkQ/KlUzGRUvW78GtzHc4rRkczXg==" workbookSaltValue="uvUrWgAkpNHtiAOjA1/jbg==" workbookSpinCount="100000" lockStructure="1"/>
  <bookViews>
    <workbookView xWindow="90" yWindow="6300"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ED4" i="17" s="1"/>
  <c r="AX8" i="17"/>
  <c r="BW4" i="17" s="1"/>
  <c r="O14" i="18"/>
  <c r="BF8" i="17"/>
  <c r="CE4" i="17" s="1"/>
  <c r="DL4" i="17" s="1"/>
  <c r="O46" i="18"/>
  <c r="BB8" i="17"/>
  <c r="CA4" i="17" s="1"/>
  <c r="DH4" i="17" s="1"/>
  <c r="AT8" i="17"/>
  <c r="BS4" i="17" s="1"/>
  <c r="EH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CE5" i="17" l="1"/>
  <c r="ET4" i="17"/>
  <c r="ET21" i="17" s="1"/>
  <c r="BS5" i="17"/>
  <c r="BT7" i="17"/>
  <c r="BU10" i="17" s="1"/>
  <c r="BV13" i="17" s="1"/>
  <c r="I152" i="18" s="1"/>
  <c r="CZ4" i="17"/>
  <c r="DA7" i="17" s="1"/>
  <c r="CA5" i="17"/>
  <c r="BZ7" i="17"/>
  <c r="CA10" i="17" s="1"/>
  <c r="CB13" i="17" s="1"/>
  <c r="BU5" i="17"/>
  <c r="BU7" i="17"/>
  <c r="BU8"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BR8" i="17"/>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BZ8" i="17"/>
  <c r="EM5" i="17"/>
  <c r="DK7" i="17"/>
  <c r="DL10" i="17" s="1"/>
  <c r="P137" i="18" s="1"/>
  <c r="CM5" i="17"/>
  <c r="BV10" i="17"/>
  <c r="BW13" i="17" s="1"/>
  <c r="BW14" i="17" s="1"/>
  <c r="CD10" i="17"/>
  <c r="CE13" i="17" s="1"/>
  <c r="I161" i="18" s="1"/>
  <c r="EJ21" i="17"/>
  <c r="EJ22" i="17" s="1"/>
  <c r="EJ5" i="17"/>
  <c r="DG5" i="17"/>
  <c r="DJ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E13" i="17"/>
  <c r="DF16" i="17" s="1"/>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EN24" i="17" l="1"/>
  <c r="EN25" i="17" s="1"/>
  <c r="DL11" i="17"/>
  <c r="DP7" i="17"/>
  <c r="DQ7" i="17"/>
  <c r="P112" i="18"/>
  <c r="DK8" i="17"/>
  <c r="CE14" i="17"/>
  <c r="CD11" i="17"/>
  <c r="I136" i="18"/>
  <c r="BL7" i="17"/>
  <c r="BL8" i="17" s="1"/>
  <c r="CF4" i="17"/>
  <c r="O255" i="18"/>
  <c r="EN8" i="17"/>
  <c r="CI8" i="17"/>
  <c r="BK5" i="17"/>
  <c r="CF5" i="17" s="1"/>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3" i="17"/>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CL5" i="17"/>
  <c r="DT9" i="17"/>
  <c r="CK5" i="17"/>
  <c r="DL12" i="17"/>
  <c r="DK11" i="17"/>
  <c r="DO8" i="17"/>
  <c r="Q26" i="18" s="1"/>
  <c r="DM4" i="17"/>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CR5" i="17"/>
  <c r="DM5" i="17" s="1"/>
  <c r="P26" i="18"/>
  <c r="DH12" i="17"/>
  <c r="O157" i="18" s="1"/>
  <c r="DG11" i="17"/>
  <c r="DQ9" i="17"/>
  <c r="DF12" i="17"/>
  <c r="O155" i="18" s="1"/>
  <c r="DE11" i="17"/>
  <c r="DP9" i="17"/>
  <c r="BL9" i="17"/>
  <c r="H118" i="18" s="1"/>
  <c r="CF6" i="17"/>
  <c r="DT8" i="17"/>
  <c r="DP8" i="17"/>
  <c r="P150" i="18" l="1"/>
  <c r="P247" i="18" s="1"/>
  <c r="EY8" i="17"/>
  <c r="DF15" i="17"/>
  <c r="O179" i="18" s="1"/>
  <c r="CS7" i="17"/>
  <c r="P70" i="18" s="1"/>
  <c r="Q61" i="18" s="1"/>
  <c r="I94" i="18"/>
  <c r="P248" i="18"/>
  <c r="P224" i="18"/>
  <c r="CI11" i="17"/>
  <c r="CG7" i="17"/>
  <c r="BM10" i="17"/>
  <c r="I119" i="18" s="1"/>
  <c r="P249" i="18"/>
  <c r="P226" i="18"/>
  <c r="BK8" i="17"/>
  <c r="I93" i="18"/>
  <c r="O214" i="18" s="1"/>
  <c r="I45" i="18"/>
  <c r="P45" i="18" s="1"/>
  <c r="CL4" i="17"/>
  <c r="CK4" i="17"/>
  <c r="EX8" i="17"/>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Y11" i="17" s="1"/>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CH10" i="17"/>
  <c r="DS3" i="17"/>
  <c r="DR3" i="17"/>
  <c r="CM14" i="17"/>
  <c r="CG8" i="17"/>
  <c r="I18" i="18" s="1"/>
  <c r="CJ14" i="17"/>
  <c r="DR4" i="17"/>
  <c r="DS4" i="17"/>
  <c r="DQ11" i="17"/>
  <c r="CG9" i="17"/>
  <c r="BN12" i="17"/>
  <c r="CH9" i="17"/>
  <c r="BM11" i="17"/>
  <c r="CH11" i="17" s="1"/>
  <c r="I27" i="18" s="1"/>
  <c r="P27" i="18" s="1"/>
  <c r="CF8" i="17"/>
  <c r="CV14" i="17"/>
  <c r="DT12" i="17"/>
  <c r="DN6" i="17"/>
  <c r="BL11" i="17"/>
  <c r="BM12" i="17"/>
  <c r="DP12" i="17"/>
  <c r="DS5" i="17"/>
  <c r="DR5" i="17"/>
  <c r="CI14" i="17"/>
  <c r="BM13" i="17"/>
  <c r="CG10" i="17"/>
  <c r="DN7" i="17" l="1"/>
  <c r="DM7" i="17"/>
  <c r="DS7" i="17" s="1"/>
  <c r="T7" i="18"/>
  <c r="U7" i="18" s="1"/>
  <c r="Q53" i="18"/>
  <c r="CT10" i="17"/>
  <c r="CU13" i="17" s="1"/>
  <c r="P144" i="18" s="1"/>
  <c r="BN13" i="17"/>
  <c r="DG18" i="17"/>
  <c r="O204" i="18" s="1"/>
  <c r="CS8" i="17"/>
  <c r="DN8" i="17" s="1"/>
  <c r="Q18" i="18" s="1"/>
  <c r="CF10" i="17"/>
  <c r="CK10" i="17" s="1"/>
  <c r="CK7" i="17"/>
  <c r="BM15" i="17"/>
  <c r="H167" i="18" s="1"/>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T14" i="17"/>
  <c r="BN14" i="17"/>
  <c r="CG11" i="17"/>
  <c r="I19" i="18" s="1"/>
  <c r="P19" i="18" s="1"/>
  <c r="P46" i="18"/>
  <c r="P38" i="18"/>
  <c r="BM14" i="17"/>
  <c r="CH12" i="17"/>
  <c r="DO9" i="17"/>
  <c r="CL8" i="17"/>
  <c r="CK8" i="17"/>
  <c r="CH13" i="17"/>
  <c r="CG12" i="17"/>
  <c r="DM9" i="17"/>
  <c r="P18" i="18"/>
  <c r="DN9" i="17"/>
  <c r="DW8" i="17" l="1"/>
  <c r="CF12" i="17"/>
  <c r="CK12" i="17" s="1"/>
  <c r="DW7" i="17"/>
  <c r="DW9" i="17" s="1"/>
  <c r="DW10" i="17"/>
  <c r="DW16" i="17" s="1"/>
  <c r="CT11" i="17"/>
  <c r="DO10" i="17"/>
  <c r="DN10" i="17"/>
  <c r="CV16" i="17"/>
  <c r="DT16" i="17" s="1"/>
  <c r="CR15" i="17" s="1"/>
  <c r="O165" i="18" s="1"/>
  <c r="BN18" i="17"/>
  <c r="P119" i="18"/>
  <c r="T9" i="18" s="1"/>
  <c r="DG20" i="17"/>
  <c r="EX31" i="17"/>
  <c r="O240" i="18"/>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T10" i="18" s="1"/>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I20" i="17"/>
  <c r="EW11" i="17"/>
  <c r="EC14" i="17"/>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W17" i="17" l="1"/>
  <c r="CV17" i="17"/>
  <c r="DT17" i="17" s="1"/>
  <c r="P169" i="18"/>
  <c r="CS18" i="17"/>
  <c r="O190" i="18" s="1"/>
  <c r="CW19" i="17"/>
  <c r="P194" i="18" s="1"/>
  <c r="Q63" i="18"/>
  <c r="Q55" i="18"/>
  <c r="CR16" i="17"/>
  <c r="P165" i="18" s="1"/>
  <c r="CK13" i="17"/>
  <c r="DX1" i="17"/>
  <c r="DR13" i="17"/>
  <c r="CT19" i="17"/>
  <c r="CT20"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P216" i="18"/>
  <c r="DN14" i="17"/>
  <c r="Q20" i="18" s="1"/>
  <c r="F78" i="21" s="1"/>
  <c r="P240" i="18"/>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BP20" i="17"/>
  <c r="DT18" i="17"/>
  <c r="BK15" i="17"/>
  <c r="H165" i="18" s="1"/>
  <c r="BK16" i="17"/>
  <c r="I165" i="18" s="1"/>
  <c r="BO20" i="17"/>
  <c r="CM18" i="17"/>
  <c r="DQ20" i="17"/>
  <c r="DP20" i="17"/>
  <c r="DS12" i="17"/>
  <c r="DO14" i="17"/>
  <c r="Q28" i="18" s="1"/>
  <c r="F79" i="21" s="1"/>
  <c r="DM14" i="17"/>
  <c r="DR11" i="17"/>
  <c r="DS11" i="17"/>
  <c r="DN18" i="17" l="1"/>
  <c r="CW20" i="17"/>
  <c r="CS19" i="17"/>
  <c r="CS20" i="17" s="1"/>
  <c r="DT19" i="17"/>
  <c r="CR19" i="17" s="1"/>
  <c r="P189" i="18" s="1"/>
  <c r="DM16" i="17"/>
  <c r="DS16" i="17" s="1"/>
  <c r="CR17" i="17"/>
  <c r="DX18" i="17"/>
  <c r="EF3" i="17"/>
  <c r="EE9" i="17"/>
  <c r="EG3" i="17"/>
  <c r="EE12" i="17"/>
  <c r="EE10" i="17"/>
  <c r="C37" i="21"/>
  <c r="EE7" i="17"/>
  <c r="EE13" i="17"/>
  <c r="EE3" i="17"/>
  <c r="EG4" i="17"/>
  <c r="EF4" i="17"/>
  <c r="EF21" i="17" s="1"/>
  <c r="EE4" i="17"/>
  <c r="EF7" i="17" s="1"/>
  <c r="EE6" i="17"/>
  <c r="EF9" i="17" s="1"/>
  <c r="EG12" i="17" s="1"/>
  <c r="EG29" i="17" s="1"/>
  <c r="P191" i="18"/>
  <c r="DO19"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CR18" i="17" l="1"/>
  <c r="CR20" i="17" s="1"/>
  <c r="EG21" i="17"/>
  <c r="EH7" i="17"/>
  <c r="EF6" i="17"/>
  <c r="EF8" i="17" s="1"/>
  <c r="EE5" i="17"/>
  <c r="EE20" i="17"/>
  <c r="EU3" i="17"/>
  <c r="FB3" i="17"/>
  <c r="EE30" i="17"/>
  <c r="EF10" i="17"/>
  <c r="EE24" i="17"/>
  <c r="EF26" i="17"/>
  <c r="C39" i="21"/>
  <c r="C38" i="21"/>
  <c r="D37" i="21"/>
  <c r="D39" i="21"/>
  <c r="D38" i="21"/>
  <c r="EF13" i="17"/>
  <c r="EF30" i="17" s="1"/>
  <c r="EE27" i="17"/>
  <c r="EF24" i="17"/>
  <c r="EG10" i="17"/>
  <c r="EE29" i="17"/>
  <c r="EE14" i="17"/>
  <c r="BK20" i="17"/>
  <c r="EH6" i="17"/>
  <c r="EG5" i="17"/>
  <c r="EG20" i="17"/>
  <c r="EG7" i="17"/>
  <c r="EF12" i="17"/>
  <c r="EE26" i="17"/>
  <c r="EE11" i="17"/>
  <c r="EE23" i="17"/>
  <c r="EE8" i="17"/>
  <c r="EG6" i="17"/>
  <c r="EF5" i="17"/>
  <c r="EF20" i="17"/>
  <c r="EF22" i="17" s="1"/>
  <c r="D10" i="19"/>
  <c r="D47" i="21" s="1"/>
  <c r="EE21" i="17"/>
  <c r="EU4" i="17"/>
  <c r="FB4"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8" i="17" l="1"/>
  <c r="D11" i="19"/>
  <c r="EG22" i="17"/>
  <c r="EF27" i="17"/>
  <c r="EF28" i="17" s="1"/>
  <c r="EG13" i="17"/>
  <c r="FB13" i="17" s="1"/>
  <c r="FA4" i="17"/>
  <c r="EZ4" i="17"/>
  <c r="EF29" i="17"/>
  <c r="EF14" i="17"/>
  <c r="FB12" i="17"/>
  <c r="EU21" i="17"/>
  <c r="FB21" i="17"/>
  <c r="EH10" i="17"/>
  <c r="EG24" i="17"/>
  <c r="FB24" i="17" s="1"/>
  <c r="FA3" i="17"/>
  <c r="EZ3" i="17"/>
  <c r="EI9" i="17"/>
  <c r="EH23" i="17"/>
  <c r="EH8" i="17"/>
  <c r="EE22" i="17"/>
  <c r="FB20" i="17"/>
  <c r="EU20" i="17"/>
  <c r="EG23" i="17"/>
  <c r="EH9" i="17"/>
  <c r="EG8" i="17"/>
  <c r="FB8" i="17" s="1"/>
  <c r="FB5" i="17"/>
  <c r="EU5" i="17"/>
  <c r="FB6" i="17"/>
  <c r="EF11" i="17"/>
  <c r="EF23" i="17"/>
  <c r="EF25" i="17" s="1"/>
  <c r="EG9" i="17"/>
  <c r="EE31" i="17"/>
  <c r="EH24" i="17"/>
  <c r="EI10" i="17"/>
  <c r="EE25" i="17"/>
  <c r="FB10" i="17"/>
  <c r="EG27" i="17"/>
  <c r="EH13" i="17"/>
  <c r="EH30" i="17" s="1"/>
  <c r="FB7" i="17"/>
  <c r="CK18" i="17"/>
  <c r="DS20" i="17"/>
  <c r="DS18" i="17"/>
  <c r="CK19" i="17"/>
  <c r="CL19" i="17"/>
  <c r="CF20" i="17"/>
  <c r="FB27" i="17" l="1"/>
  <c r="EZ20" i="17"/>
  <c r="FA20" i="17"/>
  <c r="FA21" i="17"/>
  <c r="EZ21" i="17"/>
  <c r="DZ13" i="17"/>
  <c r="DZ12" i="17"/>
  <c r="FB22" i="17"/>
  <c r="EU22" i="17"/>
  <c r="EG26" i="17"/>
  <c r="FB26" i="17" s="1"/>
  <c r="EH12" i="17"/>
  <c r="EG11" i="17"/>
  <c r="FB11" i="17" s="1"/>
  <c r="FB9" i="17"/>
  <c r="EH25" i="17"/>
  <c r="EF31" i="17"/>
  <c r="FB29" i="17"/>
  <c r="EJ12" i="17"/>
  <c r="EI26" i="17"/>
  <c r="EI11" i="17"/>
  <c r="DZ9" i="17"/>
  <c r="DZ10" i="17"/>
  <c r="FA5" i="17"/>
  <c r="EZ5" i="17"/>
  <c r="FB23" i="17"/>
  <c r="EG30" i="17"/>
  <c r="EG14" i="17"/>
  <c r="FB14" i="17" s="1"/>
  <c r="EG25" i="17"/>
  <c r="FB25" i="17" s="1"/>
  <c r="DZ7" i="17"/>
  <c r="DZ6" i="17"/>
  <c r="EI27" i="17"/>
  <c r="EJ13" i="17"/>
  <c r="EJ30" i="17" s="1"/>
  <c r="EH11" i="17"/>
  <c r="EH26" i="17"/>
  <c r="EI12" i="17"/>
  <c r="EI13" i="17"/>
  <c r="EI30" i="17" s="1"/>
  <c r="EH27" i="17"/>
  <c r="CK20" i="17"/>
  <c r="CL20" i="17"/>
  <c r="EH28" i="17" l="1"/>
  <c r="EA12" i="17"/>
  <c r="DZ11" i="17"/>
  <c r="DZ26" i="17"/>
  <c r="DZ29" i="17"/>
  <c r="DZ14" i="17"/>
  <c r="EH29" i="17"/>
  <c r="EH31" i="17" s="1"/>
  <c r="EH14" i="17"/>
  <c r="DZ30" i="17"/>
  <c r="EA13" i="17"/>
  <c r="EA30" i="17" s="1"/>
  <c r="DZ27" i="17"/>
  <c r="EJ29" i="17"/>
  <c r="EJ31" i="17" s="1"/>
  <c r="EJ14" i="17"/>
  <c r="DZ23" i="17"/>
  <c r="EA9" i="17"/>
  <c r="DZ8" i="17"/>
  <c r="EU8" i="17" s="1"/>
  <c r="EU6" i="17"/>
  <c r="DZ24" i="17"/>
  <c r="EU24" i="17" s="1"/>
  <c r="EA10" i="17"/>
  <c r="EU10" i="17" s="1"/>
  <c r="EU7" i="17"/>
  <c r="EG28" i="17"/>
  <c r="FB28" i="17" s="1"/>
  <c r="FB30" i="17"/>
  <c r="EG31" i="17"/>
  <c r="FB31" i="17" s="1"/>
  <c r="H36" i="21"/>
  <c r="FA22" i="17"/>
  <c r="EZ22" i="17"/>
  <c r="EI28" i="17"/>
  <c r="EI29" i="17"/>
  <c r="EI31" i="17" s="1"/>
  <c r="EI14" i="17"/>
  <c r="EZ8" i="17" l="1"/>
  <c r="FA8" i="17"/>
  <c r="FA10" i="17"/>
  <c r="EZ10" i="17"/>
  <c r="EA27" i="17"/>
  <c r="EV27" i="17" s="1"/>
  <c r="EB13" i="17"/>
  <c r="EV10" i="17"/>
  <c r="EU9" i="17"/>
  <c r="EV9" i="17"/>
  <c r="EA11" i="17"/>
  <c r="EV11" i="17" s="1"/>
  <c r="EA26" i="17"/>
  <c r="EU26" i="17" s="1"/>
  <c r="EB12" i="17"/>
  <c r="EV12" i="17" s="1"/>
  <c r="EZ7" i="17"/>
  <c r="FA7" i="17"/>
  <c r="DZ25" i="17"/>
  <c r="EU25" i="17" s="1"/>
  <c r="EU23" i="17"/>
  <c r="DZ31" i="17"/>
  <c r="EZ6" i="17"/>
  <c r="FA6" i="17"/>
  <c r="DZ28" i="17"/>
  <c r="FA24" i="17"/>
  <c r="EZ24" i="17"/>
  <c r="EA29" i="17"/>
  <c r="EA14" i="17"/>
  <c r="EV13" i="17" l="1"/>
  <c r="EW13" i="17"/>
  <c r="EB30" i="17"/>
  <c r="FA23" i="17"/>
  <c r="EZ23" i="17"/>
  <c r="EU11" i="17"/>
  <c r="EZ9" i="17"/>
  <c r="FA9" i="17"/>
  <c r="EZ25" i="17"/>
  <c r="H37" i="21"/>
  <c r="FA25" i="17"/>
  <c r="EU13" i="17"/>
  <c r="EW12" i="17"/>
  <c r="EB14" i="17"/>
  <c r="EW14" i="17" s="1"/>
  <c r="EB29" i="17"/>
  <c r="EV29" i="17" s="1"/>
  <c r="EU12" i="17"/>
  <c r="EA31" i="17"/>
  <c r="EU27" i="17"/>
  <c r="EZ26" i="17"/>
  <c r="FA26" i="17"/>
  <c r="EV26" i="17"/>
  <c r="EA28" i="17"/>
  <c r="EV28" i="17" s="1"/>
  <c r="EU14" i="17" l="1"/>
  <c r="FA14" i="17" s="1"/>
  <c r="FA27" i="17"/>
  <c r="EZ27" i="17"/>
  <c r="EZ11" i="17"/>
  <c r="FA11" i="17"/>
  <c r="EZ12" i="17"/>
  <c r="FA12" i="17"/>
  <c r="EW29" i="17"/>
  <c r="EB31" i="17"/>
  <c r="EW31" i="17" s="1"/>
  <c r="EU29" i="17"/>
  <c r="EV14" i="17"/>
  <c r="EW30" i="17"/>
  <c r="EU30" i="17"/>
  <c r="EV30" i="17"/>
  <c r="EZ13" i="17"/>
  <c r="FA13" i="17"/>
  <c r="EU28" i="17"/>
  <c r="EZ14" i="17" l="1"/>
  <c r="EZ29" i="17"/>
  <c r="FA29" i="17"/>
  <c r="EU31" i="17"/>
  <c r="EZ28" i="17"/>
  <c r="H38" i="21"/>
  <c r="FA28" i="17"/>
  <c r="EV31" i="17"/>
  <c r="FA30" i="17"/>
  <c r="EZ30" i="17"/>
  <c r="H39" i="21" l="1"/>
  <c r="EZ31" i="17"/>
  <c r="FA31" i="17"/>
</calcChain>
</file>

<file path=xl/sharedStrings.xml><?xml version="1.0" encoding="utf-8"?>
<sst xmlns="http://schemas.openxmlformats.org/spreadsheetml/2006/main" count="1375" uniqueCount="456">
  <si>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</si>
  <si>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</si>
  <si>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</si>
  <si>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</si>
  <si>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</si>
  <si>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</si>
  <si>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</si>
  <si>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</si>
  <si>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</si>
  <si>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</si>
  <si>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</si>
  <si>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</si>
  <si>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</si>
  <si>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</si>
  <si>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</si>
  <si>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</si>
  <si>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</si>
  <si>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</si>
  <si>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</si>
  <si>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</si>
  <si>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</si>
  <si>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</si>
  <si>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</si>
  <si>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</si>
  <si>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</si>
  <si>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</si>
  <si>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</si>
  <si>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</si>
  <si>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</si>
  <si>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</si>
  <si>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</si>
  <si>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</si>
  <si>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</si>
  <si>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</si>
  <si>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</si>
  <si>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</si>
  <si>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</si>
  <si>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</si>
  <si>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</si>
  <si>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</si>
  <si>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</si>
  <si>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</si>
  <si>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</si>
  <si>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</si>
  <si>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</si>
  <si>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</si>
  <si>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</si>
  <si>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</si>
  <si>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</si>
  <si>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</si>
  <si>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</si>
  <si>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</si>
  <si>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</si>
  <si>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</si>
  <si>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</si>
  <si>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</si>
  <si>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</si>
  <si>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</si>
  <si>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</si>
  <si>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</si>
  <si>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</si>
  <si>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</si>
  <si>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</si>
  <si>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</si>
  <si>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</si>
  <si>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</si>
  <si>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</si>
  <si>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</si>
  <si>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</si>
  <si>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</si>
  <si>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</si>
  <si>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</si>
  <si>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</si>
  <si>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</si>
  <si>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</si>
  <si>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</si>
  <si>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</si>
  <si>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</si>
  <si>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</si>
  <si>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</si>
  <si>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</si>
  <si>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</si>
  <si>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</si>
  <si>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</si>
  <si>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</si>
  <si>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</si>
  <si>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</si>
  <si>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</si>
  <si>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</si>
  <si>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</si>
  <si>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</si>
  <si>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</si>
  <si>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</si>
  <si>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</si>
  <si>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</si>
  <si>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</si>
  <si>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</si>
  <si>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</si>
  <si>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</si>
  <si>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</si>
  <si>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</si>
  <si>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</si>
  <si>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</si>
  <si>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</si>
  <si>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</si>
  <si>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</si>
  <si>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</si>
  <si>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</si>
  <si>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</si>
  <si>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</si>
  <si>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</si>
  <si>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</si>
  <si>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</si>
  <si>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</si>
  <si>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</si>
  <si>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</si>
  <si>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</si>
  <si>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</si>
  <si>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</si>
  <si>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</si>
  <si>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</si>
  <si>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</si>
  <si>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</si>
  <si>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</si>
  <si>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</si>
  <si>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</si>
  <si>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</si>
  <si>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</si>
  <si>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</si>
  <si>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</si>
  <si>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</si>
  <si>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</si>
  <si>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</si>
  <si>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</si>
  <si>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</si>
  <si>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</si>
  <si>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</si>
  <si>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</si>
  <si>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</si>
  <si>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</si>
  <si>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</si>
  <si>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</si>
  <si>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</si>
  <si>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</si>
  <si>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</si>
  <si>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</si>
  <si>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</si>
  <si>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</si>
  <si>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</si>
  <si>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</si>
  <si>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</si>
  <si>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</si>
  <si>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</si>
  <si>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</si>
  <si>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</si>
  <si>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</si>
  <si>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</si>
  <si>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</si>
  <si>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</si>
  <si>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</si>
  <si>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</si>
  <si>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</si>
  <si>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</si>
  <si>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</si>
  <si>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</si>
  <si>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</si>
  <si>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</si>
  <si>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</si>
  <si>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</si>
  <si>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</si>
  <si>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</si>
  <si>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</si>
  <si>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</si>
  <si>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</si>
  <si>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</si>
  <si>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</si>
  <si>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</si>
  <si>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</si>
  <si>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</si>
  <si>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</si>
  <si>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</si>
  <si>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</si>
  <si>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</si>
  <si>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</si>
  <si>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</si>
  <si>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</si>
  <si>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</si>
  <si>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</si>
  <si>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</si>
  <si>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</si>
  <si>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</si>
  <si>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</si>
  <si>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</si>
  <si>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</si>
  <si>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</si>
  <si>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</si>
  <si>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</si>
  <si>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</si>
  <si>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</si>
  <si>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</si>
  <si>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</si>
  <si>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</si>
  <si>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</si>
  <si>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</si>
  <si>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</si>
  <si>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</si>
  <si>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</si>
  <si>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</si>
  <si>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</si>
  <si>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</si>
  <si>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</si>
  <si>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</si>
  <si>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</si>
  <si>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</si>
  <si>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</si>
  <si>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</si>
  <si>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</si>
  <si>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</si>
  <si>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</si>
  <si>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</si>
  <si>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</si>
  <si>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</si>
  <si>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</si>
  <si>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</si>
  <si>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</si>
  <si>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</si>
  <si>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</si>
  <si>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</si>
  <si>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</si>
  <si>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</si>
  <si>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</si>
  <si>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</si>
  <si>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</si>
  <si>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</si>
  <si>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</si>
  <si>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</si>
  <si>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</si>
  <si>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</si>
  <si>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</si>
  <si>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</si>
  <si>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</si>
  <si>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</si>
  <si>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</si>
  <si>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</si>
  <si>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</si>
  <si>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</si>
  <si>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</si>
  <si>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</si>
  <si>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</si>
  <si>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</si>
  <si>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</si>
  <si>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</si>
  <si>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</si>
  <si>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</si>
  <si>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</si>
  <si>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</si>
  <si>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</si>
  <si>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</si>
  <si>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</si>
  <si>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</si>
  <si>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</si>
  <si>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</si>
  <si>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</si>
  <si>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</si>
  <si>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</si>
  <si>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</si>
  <si>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</si>
  <si>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</si>
  <si>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</si>
  <si>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</si>
  <si>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</si>
  <si>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</si>
  <si>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</si>
  <si>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</si>
  <si>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</si>
  <si>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</si>
  <si>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</si>
  <si>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</si>
  <si>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</si>
  <si>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</si>
  <si>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</si>
  <si>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</si>
  <si>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</si>
  <si>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</si>
  <si>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</si>
  <si>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</si>
  <si>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</si>
  <si>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</si>
  <si>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</si>
  <si>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</si>
  <si>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</si>
  <si>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</si>
  <si>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</si>
  <si>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</si>
  <si>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</si>
  <si>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</si>
  <si>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</si>
  <si>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</si>
  <si>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</si>
  <si>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</si>
  <si>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</si>
  <si>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</si>
  <si>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</si>
  <si>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</si>
  <si>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</si>
  <si>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</si>
  <si>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</si>
  <si>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</si>
  <si>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</si>
  <si>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</si>
  <si>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</si>
  <si>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</si>
  <si>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</si>
  <si>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</si>
  <si>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</si>
  <si>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</si>
  <si>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</si>
  <si>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</si>
  <si>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</si>
  <si>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</si>
  <si>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</si>
  <si>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</si>
  <si>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</si>
  <si>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</si>
  <si>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</si>
  <si>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</si>
  <si>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</si>
  <si>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</si>
  <si>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</si>
  <si>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</si>
  <si>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</si>
  <si>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</si>
  <si>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</si>
  <si>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</si>
  <si>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</si>
  <si>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</si>
  <si>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</si>
  <si>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</si>
  <si>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</si>
  <si>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</si>
  <si>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</si>
  <si>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</si>
  <si>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</si>
  <si>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</si>
  <si>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</si>
  <si>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</si>
  <si>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</si>
  <si>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</si>
  <si>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</si>
  <si>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</si>
  <si>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</si>
  <si>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</si>
  <si>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</si>
  <si>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</si>
  <si>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</si>
  <si>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</si>
  <si>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</si>
  <si>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</si>
  <si>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</si>
  <si>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</si>
  <si>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</si>
  <si>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</si>
  <si>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</si>
  <si>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</si>
  <si>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</si>
  <si>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</si>
  <si>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</si>
  <si>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</si>
  <si>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</si>
  <si>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</si>
  <si>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</si>
  <si>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</si>
  <si>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</si>
  <si>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</si>
  <si>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</si>
  <si>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</si>
  <si>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</si>
  <si>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</si>
  <si>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</si>
  <si>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</si>
  <si>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</si>
  <si>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</si>
  <si>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</si>
  <si>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</si>
  <si>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</si>
  <si>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</si>
  <si>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</si>
  <si>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</si>
  <si>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</si>
  <si>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</si>
  <si>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</si>
  <si>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</si>
  <si>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</si>
  <si>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</si>
  <si>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</si>
  <si>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</si>
  <si>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</si>
  <si>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</si>
  <si>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</si>
  <si>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</si>
  <si>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</si>
  <si>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</si>
  <si>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</si>
  <si>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</si>
  <si>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</si>
  <si>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</si>
  <si>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</si>
  <si>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</si>
  <si>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</si>
  <si>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</si>
  <si>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</si>
  <si>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</si>
  <si>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</si>
  <si>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</si>
  <si>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</si>
  <si>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</si>
  <si>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</si>
  <si>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</si>
  <si>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</si>
  <si>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</si>
  <si>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</si>
  <si>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</si>
  <si>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</si>
  <si>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</si>
  <si>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</si>
  <si>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</si>
  <si>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</si>
  <si>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</si>
  <si>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</si>
  <si>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45383_1</t>
  </si>
  <si>
    <t>45383_1</t>
    <phoneticPr fontId="2"/>
  </si>
  <si>
    <t>綾町</t>
    <rPh sb="0" eb="1">
      <t>アヤ</t>
    </rPh>
    <rPh sb="1" eb="2">
      <t>チョウ</t>
    </rPh>
    <phoneticPr fontId="1"/>
  </si>
  <si>
    <t>北麓久木野々地域</t>
  </si>
  <si>
    <t>45383_2</t>
  </si>
  <si>
    <t>杢道割付尾立竹野地域</t>
  </si>
  <si>
    <t>45383_3</t>
  </si>
  <si>
    <t>二反野倉輪宮谷古屋地域</t>
  </si>
  <si>
    <t>45383_4</t>
  </si>
  <si>
    <t>中堂四枝上畑地域</t>
  </si>
  <si>
    <t>45383_5</t>
  </si>
  <si>
    <t>立町揚地域</t>
  </si>
  <si>
    <t>45383_6</t>
  </si>
  <si>
    <t>宮原公民館区</t>
  </si>
  <si>
    <t>45383_7</t>
  </si>
  <si>
    <t>昭和公民館区</t>
  </si>
  <si>
    <t>45383_8</t>
  </si>
  <si>
    <t>神下公民館区</t>
  </si>
  <si>
    <t>45383_9</t>
  </si>
  <si>
    <t>西中坪公民館区</t>
  </si>
  <si>
    <t>45383_10</t>
  </si>
  <si>
    <t>東中坪公民館区</t>
  </si>
  <si>
    <t>45383_11</t>
  </si>
  <si>
    <t>南麓公民館区</t>
  </si>
  <si>
    <t>45383_12</t>
  </si>
  <si>
    <t>麓公民館区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</si>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</sst>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17</c:v>
                </c:pt>
                <c:pt idx="1">
                  <c:v>16</c:v>
                </c:pt>
                <c:pt idx="2">
                  <c:v>19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525480"/>
        <c:axId val="390526656"/>
      </c:barChart>
      <c:catAx>
        <c:axId val="390525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6656"/>
        <c:crosses val="autoZero"/>
        <c:auto val="1"/>
        <c:lblAlgn val="ctr"/>
        <c:lblOffset val="100"/>
        <c:noMultiLvlLbl val="0"/>
      </c:catAx>
      <c:valAx>
        <c:axId val="390526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5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12</c:v>
                </c:pt>
                <c:pt idx="1">
                  <c:v>8</c:v>
                </c:pt>
                <c:pt idx="2">
                  <c:v>7</c:v>
                </c:pt>
                <c:pt idx="3">
                  <c:v>10</c:v>
                </c:pt>
                <c:pt idx="4">
                  <c:v>9</c:v>
                </c:pt>
                <c:pt idx="5">
                  <c:v>6</c:v>
                </c:pt>
                <c:pt idx="6">
                  <c:v>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4391280"/>
        <c:axId val="454391672"/>
      </c:barChart>
      <c:catAx>
        <c:axId val="454391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1672"/>
        <c:crosses val="autoZero"/>
        <c:auto val="1"/>
        <c:lblAlgn val="ctr"/>
        <c:lblOffset val="100"/>
        <c:noMultiLvlLbl val="0"/>
      </c:catAx>
      <c:valAx>
        <c:axId val="454391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12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c:v>
                </c:pt>
                <c:pt idx="1">
                  <c:v>0.37</c:v>
                </c:pt>
                <c:pt idx="2">
                  <c:v>0.41</c:v>
                </c:pt>
                <c:pt idx="3">
                  <c:v>0.42</c:v>
                </c:pt>
                <c:pt idx="4">
                  <c:v>0.43</c:v>
                </c:pt>
                <c:pt idx="5">
                  <c:v>0.45</c:v>
                </c:pt>
                <c:pt idx="6">
                  <c:v>0.45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4941600"/>
        <c:axId val="454944736"/>
      </c:barChart>
      <c:catAx>
        <c:axId val="454941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4736"/>
        <c:crosses val="autoZero"/>
        <c:auto val="1"/>
        <c:lblAlgn val="ctr"/>
        <c:lblOffset val="100"/>
        <c:noMultiLvlLbl val="0"/>
      </c:catAx>
      <c:valAx>
        <c:axId val="454944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16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0.2</c:v>
                </c:pt>
                <c:pt idx="2">
                  <c:v>0.18</c:v>
                </c:pt>
                <c:pt idx="3">
                  <c:v>0.2</c:v>
                </c:pt>
                <c:pt idx="4">
                  <c:v>0.25</c:v>
                </c:pt>
                <c:pt idx="5">
                  <c:v>0.25</c:v>
                </c:pt>
                <c:pt idx="6">
                  <c:v>0.25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4939248"/>
        <c:axId val="454942384"/>
      </c:barChart>
      <c:catAx>
        <c:axId val="454939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2384"/>
        <c:crosses val="autoZero"/>
        <c:auto val="1"/>
        <c:lblAlgn val="ctr"/>
        <c:lblOffset val="100"/>
        <c:noMultiLvlLbl val="0"/>
      </c:catAx>
      <c:valAx>
        <c:axId val="454942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392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5D0-47B2-B98F-0189D624EE85}"/>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5D0-47B2-B98F-0189D624EE85}"/>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5D0-47B2-B98F-0189D624EE85}"/>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5D0-47B2-B98F-0189D624EE8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c:v>
                </c:pt>
                <c:pt idx="1">
                  <c:v>6</c:v>
                </c:pt>
                <c:pt idx="2">
                  <c:v>8</c:v>
                </c:pt>
                <c:pt idx="3">
                  <c:v>7</c:v>
                </c:pt>
                <c:pt idx="4">
                  <c:v>4</c:v>
                </c:pt>
                <c:pt idx="5">
                  <c:v>0</c:v>
                </c:pt>
                <c:pt idx="6">
                  <c:v>4</c:v>
                </c:pt>
                <c:pt idx="7">
                  <c:v>3</c:v>
                </c:pt>
                <c:pt idx="8">
                  <c:v>5</c:v>
                </c:pt>
                <c:pt idx="9">
                  <c:v>18</c:v>
                </c:pt>
                <c:pt idx="10">
                  <c:v>24</c:v>
                </c:pt>
                <c:pt idx="11">
                  <c:v>5</c:v>
                </c:pt>
                <c:pt idx="12">
                  <c:v>20</c:v>
                </c:pt>
                <c:pt idx="13">
                  <c:v>16</c:v>
                </c:pt>
                <c:pt idx="14">
                  <c:v>12</c:v>
                </c:pt>
                <c:pt idx="15">
                  <c:v>27</c:v>
                </c:pt>
                <c:pt idx="16">
                  <c:v>16</c:v>
                </c:pt>
                <c:pt idx="17">
                  <c:v>4</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4940424"/>
        <c:axId val="45494669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4</c:v>
                </c:pt>
                <c:pt idx="2">
                  <c:v>7</c:v>
                </c:pt>
                <c:pt idx="3">
                  <c:v>8</c:v>
                </c:pt>
                <c:pt idx="4">
                  <c:v>2</c:v>
                </c:pt>
                <c:pt idx="5">
                  <c:v>3</c:v>
                </c:pt>
                <c:pt idx="6">
                  <c:v>4</c:v>
                </c:pt>
                <c:pt idx="7">
                  <c:v>5</c:v>
                </c:pt>
                <c:pt idx="8">
                  <c:v>5</c:v>
                </c:pt>
                <c:pt idx="9">
                  <c:v>18</c:v>
                </c:pt>
                <c:pt idx="10">
                  <c:v>19</c:v>
                </c:pt>
                <c:pt idx="11">
                  <c:v>20</c:v>
                </c:pt>
                <c:pt idx="12">
                  <c:v>18</c:v>
                </c:pt>
                <c:pt idx="13">
                  <c:v>20</c:v>
                </c:pt>
                <c:pt idx="14">
                  <c:v>21</c:v>
                </c:pt>
                <c:pt idx="15">
                  <c:v>22</c:v>
                </c:pt>
                <c:pt idx="16">
                  <c:v>13</c:v>
                </c:pt>
                <c:pt idx="17">
                  <c:v>5</c:v>
                </c:pt>
                <c:pt idx="18">
                  <c:v>8</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4941992"/>
        <c:axId val="454940032"/>
      </c:barChart>
      <c:catAx>
        <c:axId val="4549404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6696"/>
        <c:crosses val="autoZero"/>
        <c:auto val="1"/>
        <c:lblAlgn val="ctr"/>
        <c:lblOffset val="100"/>
        <c:noMultiLvlLbl val="0"/>
      </c:catAx>
      <c:valAx>
        <c:axId val="45494669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0424"/>
        <c:crosses val="autoZero"/>
        <c:crossBetween val="between"/>
        <c:majorUnit val="25"/>
      </c:valAx>
      <c:valAx>
        <c:axId val="4549400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1992"/>
        <c:crosses val="max"/>
        <c:crossBetween val="between"/>
        <c:majorUnit val="25"/>
      </c:valAx>
      <c:catAx>
        <c:axId val="454941992"/>
        <c:scaling>
          <c:orientation val="minMax"/>
        </c:scaling>
        <c:delete val="1"/>
        <c:axPos val="l"/>
        <c:numFmt formatCode="General" sourceLinked="1"/>
        <c:majorTickMark val="out"/>
        <c:minorTickMark val="none"/>
        <c:tickLblPos val="nextTo"/>
        <c:crossAx val="4549400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6"/>
              <c:layout>
                <c:manualLayout>
                  <c:x val="-3.7011735240091992E-2"/>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447-4D89-A5B7-74FD33DC0DEA}"/>
                </c:ext>
                <c:ext xmlns:c15="http://schemas.microsoft.com/office/drawing/2012/chart" uri="{CE6537A1-D6FC-4f65-9D91-7224C49458BB}"/>
              </c:extLst>
            </c:dLbl>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447-4D89-A5B7-74FD33DC0DEA}"/>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447-4D89-A5B7-74FD33DC0DEA}"/>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447-4D89-A5B7-74FD33DC0DEA}"/>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447-4D89-A5B7-74FD33DC0DE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c:v>
                </c:pt>
                <c:pt idx="1">
                  <c:v>4</c:v>
                </c:pt>
                <c:pt idx="2">
                  <c:v>5</c:v>
                </c:pt>
                <c:pt idx="3">
                  <c:v>4</c:v>
                </c:pt>
                <c:pt idx="4">
                  <c:v>5</c:v>
                </c:pt>
                <c:pt idx="5">
                  <c:v>3</c:v>
                </c:pt>
                <c:pt idx="6">
                  <c:v>3</c:v>
                </c:pt>
                <c:pt idx="7">
                  <c:v>1</c:v>
                </c:pt>
                <c:pt idx="8">
                  <c:v>3</c:v>
                </c:pt>
                <c:pt idx="9">
                  <c:v>5</c:v>
                </c:pt>
                <c:pt idx="10">
                  <c:v>12</c:v>
                </c:pt>
                <c:pt idx="11">
                  <c:v>21</c:v>
                </c:pt>
                <c:pt idx="12">
                  <c:v>26</c:v>
                </c:pt>
                <c:pt idx="13">
                  <c:v>5</c:v>
                </c:pt>
                <c:pt idx="14">
                  <c:v>19</c:v>
                </c:pt>
                <c:pt idx="15">
                  <c:v>16</c:v>
                </c:pt>
                <c:pt idx="16">
                  <c:v>11</c:v>
                </c:pt>
                <c:pt idx="17">
                  <c:v>8</c:v>
                </c:pt>
                <c:pt idx="18">
                  <c:v>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4940816"/>
        <c:axId val="45494630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3</c:v>
                </c:pt>
                <c:pt idx="2">
                  <c:v>4</c:v>
                </c:pt>
                <c:pt idx="3">
                  <c:v>3</c:v>
                </c:pt>
                <c:pt idx="4">
                  <c:v>2</c:v>
                </c:pt>
                <c:pt idx="5">
                  <c:v>4</c:v>
                </c:pt>
                <c:pt idx="6">
                  <c:v>2</c:v>
                </c:pt>
                <c:pt idx="7">
                  <c:v>3</c:v>
                </c:pt>
                <c:pt idx="8">
                  <c:v>4</c:v>
                </c:pt>
                <c:pt idx="9">
                  <c:v>8</c:v>
                </c:pt>
                <c:pt idx="10">
                  <c:v>8</c:v>
                </c:pt>
                <c:pt idx="11">
                  <c:v>22</c:v>
                </c:pt>
                <c:pt idx="12">
                  <c:v>20</c:v>
                </c:pt>
                <c:pt idx="13">
                  <c:v>24</c:v>
                </c:pt>
                <c:pt idx="14">
                  <c:v>19</c:v>
                </c:pt>
                <c:pt idx="15">
                  <c:v>14</c:v>
                </c:pt>
                <c:pt idx="16">
                  <c:v>12</c:v>
                </c:pt>
                <c:pt idx="17">
                  <c:v>11</c:v>
                </c:pt>
                <c:pt idx="18">
                  <c:v>6</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4942776"/>
        <c:axId val="454943560"/>
      </c:barChart>
      <c:catAx>
        <c:axId val="454940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6304"/>
        <c:crosses val="autoZero"/>
        <c:auto val="1"/>
        <c:lblAlgn val="ctr"/>
        <c:lblOffset val="100"/>
        <c:noMultiLvlLbl val="0"/>
      </c:catAx>
      <c:valAx>
        <c:axId val="4549463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0816"/>
        <c:crosses val="autoZero"/>
        <c:crossBetween val="between"/>
        <c:majorUnit val="25"/>
      </c:valAx>
      <c:valAx>
        <c:axId val="45494356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2776"/>
        <c:crosses val="max"/>
        <c:crossBetween val="between"/>
        <c:majorUnit val="25"/>
      </c:valAx>
      <c:catAx>
        <c:axId val="454942776"/>
        <c:scaling>
          <c:orientation val="minMax"/>
        </c:scaling>
        <c:delete val="1"/>
        <c:axPos val="l"/>
        <c:numFmt formatCode="General" sourceLinked="1"/>
        <c:majorTickMark val="out"/>
        <c:minorTickMark val="none"/>
        <c:tickLblPos val="nextTo"/>
        <c:crossAx val="4549435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459</c:v>
                </c:pt>
                <c:pt idx="1">
                  <c:v>433</c:v>
                </c:pt>
                <c:pt idx="2">
                  <c:v>425</c:v>
                </c:pt>
                <c:pt idx="3">
                  <c:v>409</c:v>
                </c:pt>
                <c:pt idx="4">
                  <c:v>390</c:v>
                </c:pt>
                <c:pt idx="5">
                  <c:v>363</c:v>
                </c:pt>
                <c:pt idx="6">
                  <c:v>328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082-43B8-85F3-E142A7F89AD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082-43B8-85F3-E142A7F89AD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082-43B8-85F3-E142A7F89AD4}"/>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082-43B8-85F3-E142A7F89AD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418</c:v>
                </c:pt>
                <c:pt idx="4" formatCode="#,##0_);[Red]\(#,##0\)">
                  <c:v>410</c:v>
                </c:pt>
                <c:pt idx="5" formatCode="#,##0_);[Red]\(#,##0\)">
                  <c:v>396</c:v>
                </c:pt>
                <c:pt idx="6" formatCode="#,##0_);[Red]\(#,##0\)">
                  <c:v>369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4945520"/>
        <c:axId val="454945912"/>
      </c:barChart>
      <c:catAx>
        <c:axId val="454945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5912"/>
        <c:crosses val="autoZero"/>
        <c:auto val="1"/>
        <c:lblAlgn val="ctr"/>
        <c:lblOffset val="100"/>
        <c:noMultiLvlLbl val="0"/>
      </c:catAx>
      <c:valAx>
        <c:axId val="4549459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552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17</c:v>
                </c:pt>
                <c:pt idx="1">
                  <c:v>16</c:v>
                </c:pt>
                <c:pt idx="2">
                  <c:v>19</c:v>
                </c:pt>
                <c:pt idx="3">
                  <c:v>21</c:v>
                </c:pt>
                <c:pt idx="4">
                  <c:v>15</c:v>
                </c:pt>
                <c:pt idx="5">
                  <c:v>11</c:v>
                </c:pt>
                <c:pt idx="6">
                  <c:v>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22</c:v>
                </c:pt>
                <c:pt idx="4">
                  <c:v>18</c:v>
                </c:pt>
                <c:pt idx="5">
                  <c:v>17</c:v>
                </c:pt>
                <c:pt idx="6">
                  <c:v>17</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4944344"/>
        <c:axId val="455268720"/>
      </c:barChart>
      <c:catAx>
        <c:axId val="454944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8720"/>
        <c:crosses val="autoZero"/>
        <c:auto val="1"/>
        <c:lblAlgn val="ctr"/>
        <c:lblOffset val="100"/>
        <c:noMultiLvlLbl val="0"/>
      </c:catAx>
      <c:valAx>
        <c:axId val="455268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44344"/>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c:v>
                </c:pt>
                <c:pt idx="1">
                  <c:v>0.37</c:v>
                </c:pt>
                <c:pt idx="2">
                  <c:v>0.41</c:v>
                </c:pt>
                <c:pt idx="3">
                  <c:v>0.42</c:v>
                </c:pt>
                <c:pt idx="4">
                  <c:v>0.43</c:v>
                </c:pt>
                <c:pt idx="5">
                  <c:v>0.45</c:v>
                </c:pt>
                <c:pt idx="6">
                  <c:v>0.45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D30-4481-92CC-421B495BCB63}"/>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D30-4481-92CC-421B495BCB63}"/>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D30-4481-92CC-421B495BCB63}"/>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D30-4481-92CC-421B495BCB6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0.41</c:v>
                </c:pt>
                <c:pt idx="4" formatCode="0%">
                  <c:v>0.41</c:v>
                </c:pt>
                <c:pt idx="5" formatCode="0%">
                  <c:v>0.41</c:v>
                </c:pt>
                <c:pt idx="6" formatCode="0%">
                  <c:v>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267544"/>
        <c:axId val="455262448"/>
      </c:barChart>
      <c:catAx>
        <c:axId val="45526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2448"/>
        <c:crosses val="autoZero"/>
        <c:auto val="1"/>
        <c:lblAlgn val="ctr"/>
        <c:lblOffset val="100"/>
        <c:noMultiLvlLbl val="0"/>
      </c:catAx>
      <c:valAx>
        <c:axId val="455262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754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0.2</c:v>
                </c:pt>
                <c:pt idx="2">
                  <c:v>0.18</c:v>
                </c:pt>
                <c:pt idx="3">
                  <c:v>0.2</c:v>
                </c:pt>
                <c:pt idx="4">
                  <c:v>0.25</c:v>
                </c:pt>
                <c:pt idx="5">
                  <c:v>0.25</c:v>
                </c:pt>
                <c:pt idx="6">
                  <c:v>0.25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531-4435-83C7-318946C135E7}"/>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531-4435-83C7-318946C135E7}"/>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531-4435-83C7-318946C135E7}"/>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531-4435-83C7-318946C135E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0.24</c:v>
                </c:pt>
                <c:pt idx="5" formatCode="0%">
                  <c:v>0.23</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268328"/>
        <c:axId val="455269112"/>
      </c:barChart>
      <c:catAx>
        <c:axId val="455268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9112"/>
        <c:crosses val="autoZero"/>
        <c:auto val="1"/>
        <c:lblAlgn val="ctr"/>
        <c:lblOffset val="100"/>
        <c:noMultiLvlLbl val="0"/>
      </c:catAx>
      <c:valAx>
        <c:axId val="455269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83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12</c:v>
                </c:pt>
                <c:pt idx="1">
                  <c:v>8</c:v>
                </c:pt>
                <c:pt idx="2">
                  <c:v>7</c:v>
                </c:pt>
                <c:pt idx="3">
                  <c:v>10</c:v>
                </c:pt>
                <c:pt idx="4">
                  <c:v>9</c:v>
                </c:pt>
                <c:pt idx="5">
                  <c:v>6</c:v>
                </c:pt>
                <c:pt idx="6">
                  <c:v>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11</c:v>
                </c:pt>
                <c:pt idx="4">
                  <c:v>10</c:v>
                </c:pt>
                <c:pt idx="5">
                  <c:v>9</c:v>
                </c:pt>
                <c:pt idx="6">
                  <c:v>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263624"/>
        <c:axId val="455265192"/>
      </c:barChart>
      <c:catAx>
        <c:axId val="455263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5192"/>
        <c:crosses val="autoZero"/>
        <c:auto val="1"/>
        <c:lblAlgn val="ctr"/>
        <c:lblOffset val="100"/>
        <c:noMultiLvlLbl val="0"/>
      </c:catAx>
      <c:valAx>
        <c:axId val="455265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36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12</c:v>
                </c:pt>
                <c:pt idx="1">
                  <c:v>8</c:v>
                </c:pt>
                <c:pt idx="2">
                  <c:v>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525872"/>
        <c:axId val="390527440"/>
      </c:barChart>
      <c:catAx>
        <c:axId val="390525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7440"/>
        <c:crosses val="autoZero"/>
        <c:auto val="1"/>
        <c:lblAlgn val="ctr"/>
        <c:lblOffset val="100"/>
        <c:noMultiLvlLbl val="0"/>
      </c:catAx>
      <c:valAx>
        <c:axId val="3905274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5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3.8116706328167715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663-47E4-9223-EB43BED7F194}"/>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663-47E4-9223-EB43BED7F194}"/>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663-47E4-9223-EB43BED7F19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c:v>
                </c:pt>
                <c:pt idx="1">
                  <c:v>7</c:v>
                </c:pt>
                <c:pt idx="2">
                  <c:v>9</c:v>
                </c:pt>
                <c:pt idx="3">
                  <c:v>7</c:v>
                </c:pt>
                <c:pt idx="4">
                  <c:v>4</c:v>
                </c:pt>
                <c:pt idx="5">
                  <c:v>2</c:v>
                </c:pt>
                <c:pt idx="6">
                  <c:v>7</c:v>
                </c:pt>
                <c:pt idx="7">
                  <c:v>3</c:v>
                </c:pt>
                <c:pt idx="8">
                  <c:v>5</c:v>
                </c:pt>
                <c:pt idx="9">
                  <c:v>18</c:v>
                </c:pt>
                <c:pt idx="10">
                  <c:v>24</c:v>
                </c:pt>
                <c:pt idx="11">
                  <c:v>5</c:v>
                </c:pt>
                <c:pt idx="12">
                  <c:v>20</c:v>
                </c:pt>
                <c:pt idx="13">
                  <c:v>16</c:v>
                </c:pt>
                <c:pt idx="14">
                  <c:v>12</c:v>
                </c:pt>
                <c:pt idx="15">
                  <c:v>27</c:v>
                </c:pt>
                <c:pt idx="16">
                  <c:v>16</c:v>
                </c:pt>
                <c:pt idx="17">
                  <c:v>4</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262840"/>
        <c:axId val="45526558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5</c:v>
                </c:pt>
                <c:pt idx="2">
                  <c:v>8</c:v>
                </c:pt>
                <c:pt idx="3">
                  <c:v>9</c:v>
                </c:pt>
                <c:pt idx="4">
                  <c:v>2</c:v>
                </c:pt>
                <c:pt idx="5">
                  <c:v>5</c:v>
                </c:pt>
                <c:pt idx="6">
                  <c:v>6</c:v>
                </c:pt>
                <c:pt idx="7">
                  <c:v>5</c:v>
                </c:pt>
                <c:pt idx="8">
                  <c:v>6</c:v>
                </c:pt>
                <c:pt idx="9">
                  <c:v>19</c:v>
                </c:pt>
                <c:pt idx="10">
                  <c:v>19</c:v>
                </c:pt>
                <c:pt idx="11">
                  <c:v>20</c:v>
                </c:pt>
                <c:pt idx="12">
                  <c:v>18</c:v>
                </c:pt>
                <c:pt idx="13">
                  <c:v>20</c:v>
                </c:pt>
                <c:pt idx="14">
                  <c:v>21</c:v>
                </c:pt>
                <c:pt idx="15">
                  <c:v>22</c:v>
                </c:pt>
                <c:pt idx="16">
                  <c:v>13</c:v>
                </c:pt>
                <c:pt idx="17">
                  <c:v>5</c:v>
                </c:pt>
                <c:pt idx="18">
                  <c:v>8</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265976"/>
        <c:axId val="455262056"/>
      </c:barChart>
      <c:catAx>
        <c:axId val="455262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5584"/>
        <c:crosses val="autoZero"/>
        <c:auto val="1"/>
        <c:lblAlgn val="ctr"/>
        <c:lblOffset val="100"/>
        <c:noMultiLvlLbl val="0"/>
      </c:catAx>
      <c:valAx>
        <c:axId val="4552655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2840"/>
        <c:crosses val="autoZero"/>
        <c:crossBetween val="between"/>
        <c:majorUnit val="25"/>
      </c:valAx>
      <c:valAx>
        <c:axId val="45526205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5976"/>
        <c:crosses val="max"/>
        <c:crossBetween val="between"/>
        <c:majorUnit val="25"/>
      </c:valAx>
      <c:catAx>
        <c:axId val="455265976"/>
        <c:scaling>
          <c:orientation val="minMax"/>
        </c:scaling>
        <c:delete val="1"/>
        <c:axPos val="l"/>
        <c:numFmt formatCode="General" sourceLinked="1"/>
        <c:majorTickMark val="out"/>
        <c:minorTickMark val="none"/>
        <c:tickLblPos val="nextTo"/>
        <c:crossAx val="455262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C61-49F4-A34D-13628BAA9FD3}"/>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C61-49F4-A34D-13628BAA9FD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8</c:v>
                </c:pt>
                <c:pt idx="2">
                  <c:v>8</c:v>
                </c:pt>
                <c:pt idx="3">
                  <c:v>6</c:v>
                </c:pt>
                <c:pt idx="4">
                  <c:v>5</c:v>
                </c:pt>
                <c:pt idx="5">
                  <c:v>5</c:v>
                </c:pt>
                <c:pt idx="6">
                  <c:v>5</c:v>
                </c:pt>
                <c:pt idx="7">
                  <c:v>3</c:v>
                </c:pt>
                <c:pt idx="8">
                  <c:v>4</c:v>
                </c:pt>
                <c:pt idx="9">
                  <c:v>5</c:v>
                </c:pt>
                <c:pt idx="10">
                  <c:v>12</c:v>
                </c:pt>
                <c:pt idx="11">
                  <c:v>21</c:v>
                </c:pt>
                <c:pt idx="12">
                  <c:v>26</c:v>
                </c:pt>
                <c:pt idx="13">
                  <c:v>5</c:v>
                </c:pt>
                <c:pt idx="14">
                  <c:v>19</c:v>
                </c:pt>
                <c:pt idx="15">
                  <c:v>16</c:v>
                </c:pt>
                <c:pt idx="16">
                  <c:v>11</c:v>
                </c:pt>
                <c:pt idx="17">
                  <c:v>8</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264408"/>
        <c:axId val="45526323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5</c:v>
                </c:pt>
                <c:pt idx="2">
                  <c:v>7</c:v>
                </c:pt>
                <c:pt idx="3">
                  <c:v>5</c:v>
                </c:pt>
                <c:pt idx="4">
                  <c:v>3</c:v>
                </c:pt>
                <c:pt idx="5">
                  <c:v>6</c:v>
                </c:pt>
                <c:pt idx="6">
                  <c:v>4</c:v>
                </c:pt>
                <c:pt idx="7">
                  <c:v>4</c:v>
                </c:pt>
                <c:pt idx="8">
                  <c:v>7</c:v>
                </c:pt>
                <c:pt idx="9">
                  <c:v>9</c:v>
                </c:pt>
                <c:pt idx="10">
                  <c:v>10</c:v>
                </c:pt>
                <c:pt idx="11">
                  <c:v>24</c:v>
                </c:pt>
                <c:pt idx="12">
                  <c:v>20</c:v>
                </c:pt>
                <c:pt idx="13">
                  <c:v>24</c:v>
                </c:pt>
                <c:pt idx="14">
                  <c:v>19</c:v>
                </c:pt>
                <c:pt idx="15">
                  <c:v>14</c:v>
                </c:pt>
                <c:pt idx="16">
                  <c:v>12</c:v>
                </c:pt>
                <c:pt idx="17">
                  <c:v>11</c:v>
                </c:pt>
                <c:pt idx="18">
                  <c:v>6</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266760"/>
        <c:axId val="455264800"/>
      </c:barChart>
      <c:catAx>
        <c:axId val="455264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3232"/>
        <c:crosses val="autoZero"/>
        <c:auto val="1"/>
        <c:lblAlgn val="ctr"/>
        <c:lblOffset val="100"/>
        <c:noMultiLvlLbl val="0"/>
      </c:catAx>
      <c:valAx>
        <c:axId val="45526323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4408"/>
        <c:crosses val="autoZero"/>
        <c:crossBetween val="between"/>
        <c:majorUnit val="25"/>
      </c:valAx>
      <c:valAx>
        <c:axId val="45526480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266760"/>
        <c:crosses val="max"/>
        <c:crossBetween val="between"/>
        <c:majorUnit val="25"/>
      </c:valAx>
      <c:catAx>
        <c:axId val="455266760"/>
        <c:scaling>
          <c:orientation val="minMax"/>
        </c:scaling>
        <c:delete val="1"/>
        <c:axPos val="l"/>
        <c:numFmt formatCode="General" sourceLinked="1"/>
        <c:majorTickMark val="out"/>
        <c:minorTickMark val="none"/>
        <c:tickLblPos val="nextTo"/>
        <c:crossAx val="4552648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4.012422046272055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711-44BF-BC82-59B983A1A5E8}"/>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711-44BF-BC82-59B983A1A5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c:v>
                </c:pt>
                <c:pt idx="1">
                  <c:v>10</c:v>
                </c:pt>
                <c:pt idx="2">
                  <c:v>15</c:v>
                </c:pt>
                <c:pt idx="3">
                  <c:v>15</c:v>
                </c:pt>
                <c:pt idx="4">
                  <c:v>6</c:v>
                </c:pt>
                <c:pt idx="5">
                  <c:v>3</c:v>
                </c:pt>
                <c:pt idx="6">
                  <c:v>8</c:v>
                </c:pt>
                <c:pt idx="7">
                  <c:v>8</c:v>
                </c:pt>
                <c:pt idx="8">
                  <c:v>10</c:v>
                </c:pt>
                <c:pt idx="9">
                  <c:v>36</c:v>
                </c:pt>
                <c:pt idx="10">
                  <c:v>43</c:v>
                </c:pt>
                <c:pt idx="11">
                  <c:v>25</c:v>
                </c:pt>
                <c:pt idx="12">
                  <c:v>38</c:v>
                </c:pt>
                <c:pt idx="13">
                  <c:v>36</c:v>
                </c:pt>
                <c:pt idx="14">
                  <c:v>33</c:v>
                </c:pt>
                <c:pt idx="15">
                  <c:v>49</c:v>
                </c:pt>
                <c:pt idx="16">
                  <c:v>29</c:v>
                </c:pt>
                <c:pt idx="17">
                  <c:v>9</c:v>
                </c:pt>
                <c:pt idx="18">
                  <c:v>11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899536"/>
        <c:axId val="45590188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10</c:v>
                </c:pt>
                <c:pt idx="1">
                  <c:v>12</c:v>
                </c:pt>
                <c:pt idx="2">
                  <c:v>17</c:v>
                </c:pt>
                <c:pt idx="3">
                  <c:v>16</c:v>
                </c:pt>
                <c:pt idx="4">
                  <c:v>6</c:v>
                </c:pt>
                <c:pt idx="5">
                  <c:v>7</c:v>
                </c:pt>
                <c:pt idx="6">
                  <c:v>13</c:v>
                </c:pt>
                <c:pt idx="7">
                  <c:v>8</c:v>
                </c:pt>
                <c:pt idx="8">
                  <c:v>11</c:v>
                </c:pt>
                <c:pt idx="9">
                  <c:v>37</c:v>
                </c:pt>
                <c:pt idx="10">
                  <c:v>43</c:v>
                </c:pt>
                <c:pt idx="11">
                  <c:v>25</c:v>
                </c:pt>
                <c:pt idx="12">
                  <c:v>38</c:v>
                </c:pt>
                <c:pt idx="13">
                  <c:v>36</c:v>
                </c:pt>
                <c:pt idx="14">
                  <c:v>33</c:v>
                </c:pt>
                <c:pt idx="15">
                  <c:v>49</c:v>
                </c:pt>
                <c:pt idx="16">
                  <c:v>29</c:v>
                </c:pt>
                <c:pt idx="17">
                  <c:v>9</c:v>
                </c:pt>
                <c:pt idx="18">
                  <c:v>11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901496"/>
        <c:axId val="455899928"/>
      </c:barChart>
      <c:catAx>
        <c:axId val="455899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1888"/>
        <c:crosses val="autoZero"/>
        <c:auto val="1"/>
        <c:lblAlgn val="ctr"/>
        <c:lblOffset val="100"/>
        <c:noMultiLvlLbl val="0"/>
      </c:catAx>
      <c:valAx>
        <c:axId val="4559018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9536"/>
        <c:crosses val="autoZero"/>
        <c:crossBetween val="between"/>
        <c:majorUnit val="50"/>
      </c:valAx>
      <c:valAx>
        <c:axId val="4558999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1496"/>
        <c:crosses val="max"/>
        <c:crossBetween val="between"/>
        <c:majorUnit val="50"/>
      </c:valAx>
      <c:catAx>
        <c:axId val="455901496"/>
        <c:scaling>
          <c:orientation val="minMax"/>
        </c:scaling>
        <c:delete val="1"/>
        <c:axPos val="l"/>
        <c:numFmt formatCode="General" sourceLinked="1"/>
        <c:majorTickMark val="out"/>
        <c:minorTickMark val="none"/>
        <c:tickLblPos val="nextTo"/>
        <c:crossAx val="45589992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5C-46AE-A078-92E3C595E8EB}"/>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5C-46AE-A078-92E3C595E8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7</c:v>
                </c:pt>
                <c:pt idx="2">
                  <c:v>9</c:v>
                </c:pt>
                <c:pt idx="3">
                  <c:v>7</c:v>
                </c:pt>
                <c:pt idx="4">
                  <c:v>7</c:v>
                </c:pt>
                <c:pt idx="5">
                  <c:v>7</c:v>
                </c:pt>
                <c:pt idx="6">
                  <c:v>5</c:v>
                </c:pt>
                <c:pt idx="7">
                  <c:v>4</c:v>
                </c:pt>
                <c:pt idx="8">
                  <c:v>7</c:v>
                </c:pt>
                <c:pt idx="9">
                  <c:v>13</c:v>
                </c:pt>
                <c:pt idx="10">
                  <c:v>20</c:v>
                </c:pt>
                <c:pt idx="11">
                  <c:v>43</c:v>
                </c:pt>
                <c:pt idx="12">
                  <c:v>46</c:v>
                </c:pt>
                <c:pt idx="13">
                  <c:v>29</c:v>
                </c:pt>
                <c:pt idx="14">
                  <c:v>38</c:v>
                </c:pt>
                <c:pt idx="15">
                  <c:v>30</c:v>
                </c:pt>
                <c:pt idx="16">
                  <c:v>23</c:v>
                </c:pt>
                <c:pt idx="17">
                  <c:v>19</c:v>
                </c:pt>
                <c:pt idx="18">
                  <c:v>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902280"/>
        <c:axId val="45590071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13</c:v>
                </c:pt>
                <c:pt idx="2">
                  <c:v>15</c:v>
                </c:pt>
                <c:pt idx="3">
                  <c:v>11</c:v>
                </c:pt>
                <c:pt idx="4">
                  <c:v>8</c:v>
                </c:pt>
                <c:pt idx="5">
                  <c:v>11</c:v>
                </c:pt>
                <c:pt idx="6">
                  <c:v>9</c:v>
                </c:pt>
                <c:pt idx="7">
                  <c:v>7</c:v>
                </c:pt>
                <c:pt idx="8">
                  <c:v>11</c:v>
                </c:pt>
                <c:pt idx="9">
                  <c:v>14</c:v>
                </c:pt>
                <c:pt idx="10">
                  <c:v>22</c:v>
                </c:pt>
                <c:pt idx="11">
                  <c:v>45</c:v>
                </c:pt>
                <c:pt idx="12">
                  <c:v>46</c:v>
                </c:pt>
                <c:pt idx="13">
                  <c:v>29</c:v>
                </c:pt>
                <c:pt idx="14">
                  <c:v>38</c:v>
                </c:pt>
                <c:pt idx="15">
                  <c:v>30</c:v>
                </c:pt>
                <c:pt idx="16">
                  <c:v>23</c:v>
                </c:pt>
                <c:pt idx="17">
                  <c:v>19</c:v>
                </c:pt>
                <c:pt idx="18">
                  <c:v>9</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902672"/>
        <c:axId val="455900320"/>
      </c:barChart>
      <c:catAx>
        <c:axId val="455902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0712"/>
        <c:crosses val="autoZero"/>
        <c:auto val="1"/>
        <c:lblAlgn val="ctr"/>
        <c:lblOffset val="100"/>
        <c:noMultiLvlLbl val="0"/>
      </c:catAx>
      <c:valAx>
        <c:axId val="4559007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2280"/>
        <c:crosses val="autoZero"/>
        <c:crossBetween val="between"/>
        <c:majorUnit val="50"/>
      </c:valAx>
      <c:valAx>
        <c:axId val="45590032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2672"/>
        <c:crosses val="max"/>
        <c:crossBetween val="between"/>
        <c:majorUnit val="50"/>
      </c:valAx>
      <c:catAx>
        <c:axId val="455902672"/>
        <c:scaling>
          <c:orientation val="minMax"/>
        </c:scaling>
        <c:delete val="1"/>
        <c:axPos val="l"/>
        <c:numFmt formatCode="General" sourceLinked="1"/>
        <c:majorTickMark val="out"/>
        <c:minorTickMark val="none"/>
        <c:tickLblPos val="nextTo"/>
        <c:crossAx val="45590032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北麓久木野々地域</c:v>
                </c:pt>
              </c:strCache>
            </c:strRef>
          </c:cat>
          <c:val>
            <c:numRef>
              <c:f>管理者用地域特徴シート!$H$3:$H$5</c:f>
              <c:numCache>
                <c:formatCode>0.0%</c:formatCode>
                <c:ptCount val="3"/>
                <c:pt idx="0">
                  <c:v>0.46108733927332846</c:v>
                </c:pt>
                <c:pt idx="1">
                  <c:v>0.56225885654156438</c:v>
                </c:pt>
                <c:pt idx="2">
                  <c:v>0.65909090909090906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5898360"/>
        <c:axId val="455903064"/>
      </c:barChart>
      <c:catAx>
        <c:axId val="4558983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3064"/>
        <c:crosses val="autoZero"/>
        <c:auto val="1"/>
        <c:lblAlgn val="ctr"/>
        <c:lblOffset val="100"/>
        <c:noMultiLvlLbl val="0"/>
      </c:catAx>
      <c:valAx>
        <c:axId val="4559030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8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北麓久木野々地域</c:v>
                </c:pt>
              </c:strCache>
            </c:strRef>
          </c:cat>
          <c:val>
            <c:numRef>
              <c:f>管理者用地域特徴シート!$J$3:$J$5</c:f>
              <c:numCache>
                <c:formatCode>0.0%</c:formatCode>
                <c:ptCount val="3"/>
                <c:pt idx="0">
                  <c:v>0.15075281438403673</c:v>
                </c:pt>
                <c:pt idx="1">
                  <c:v>0.16906348649596634</c:v>
                </c:pt>
                <c:pt idx="2">
                  <c:v>0.1875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5903456"/>
        <c:axId val="455903848"/>
      </c:barChart>
      <c:catAx>
        <c:axId val="4559034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3848"/>
        <c:crosses val="autoZero"/>
        <c:auto val="1"/>
        <c:lblAlgn val="ctr"/>
        <c:lblOffset val="100"/>
        <c:noMultiLvlLbl val="0"/>
      </c:catAx>
      <c:valAx>
        <c:axId val="4559038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3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北麓久木野々地域</c:v>
                </c:pt>
              </c:strCache>
            </c:strRef>
          </c:cat>
          <c:val>
            <c:numRef>
              <c:f>管理者用地域特徴シート!$P$3:$P$5</c:f>
              <c:numCache>
                <c:formatCode>0.0%</c:formatCode>
                <c:ptCount val="3"/>
                <c:pt idx="0">
                  <c:v>0.34758352842621743</c:v>
                </c:pt>
                <c:pt idx="1">
                  <c:v>0.32174790885491777</c:v>
                </c:pt>
                <c:pt idx="2">
                  <c:v>0.24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5904632"/>
        <c:axId val="455897184"/>
      </c:barChart>
      <c:catAx>
        <c:axId val="455904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897184"/>
        <c:crosses val="autoZero"/>
        <c:auto val="1"/>
        <c:lblAlgn val="ctr"/>
        <c:lblOffset val="100"/>
        <c:noMultiLvlLbl val="0"/>
      </c:catAx>
      <c:valAx>
        <c:axId val="4558971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04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北麓久木野々地域</c:v>
                </c:pt>
              </c:strCache>
            </c:strRef>
          </c:cat>
          <c:val>
            <c:numRef>
              <c:f>管理者用地域特徴シート!$AO$3:$AO$5</c:f>
              <c:numCache>
                <c:formatCode>0.0%</c:formatCode>
                <c:ptCount val="3"/>
                <c:pt idx="0">
                  <c:v>0.5259093009439566</c:v>
                </c:pt>
                <c:pt idx="1">
                  <c:v>0.51929260450160775</c:v>
                </c:pt>
                <c:pt idx="2">
                  <c:v>0.54838709677419351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373056"/>
        <c:axId val="456368352"/>
      </c:barChart>
      <c:catAx>
        <c:axId val="456373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68352"/>
        <c:crosses val="autoZero"/>
        <c:auto val="1"/>
        <c:lblAlgn val="ctr"/>
        <c:lblOffset val="100"/>
        <c:noMultiLvlLbl val="0"/>
      </c:catAx>
      <c:valAx>
        <c:axId val="4563683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73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北麓久木野々地域</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0.29545454545454547</c:v>
                </c:pt>
                <c:pt idx="1">
                  <c:v>0</c:v>
                </c:pt>
                <c:pt idx="2">
                  <c:v>0</c:v>
                </c:pt>
                <c:pt idx="3">
                  <c:v>5.909090909090909E-2</c:v>
                </c:pt>
                <c:pt idx="4">
                  <c:v>0.14545454545454545</c:v>
                </c:pt>
                <c:pt idx="5">
                  <c:v>0</c:v>
                </c:pt>
                <c:pt idx="6">
                  <c:v>4.5454545454545452E-3</c:v>
                </c:pt>
                <c:pt idx="7">
                  <c:v>4.0909090909090909E-2</c:v>
                </c:pt>
                <c:pt idx="8">
                  <c:v>7.2727272727272724E-2</c:v>
                </c:pt>
                <c:pt idx="9">
                  <c:v>1.8181818181818181E-2</c:v>
                </c:pt>
                <c:pt idx="10">
                  <c:v>1.3636363636363636E-2</c:v>
                </c:pt>
                <c:pt idx="11">
                  <c:v>1.3636363636363636E-2</c:v>
                </c:pt>
                <c:pt idx="12">
                  <c:v>9.0909090909090905E-3</c:v>
                </c:pt>
                <c:pt idx="13">
                  <c:v>2.2727272727272728E-2</c:v>
                </c:pt>
                <c:pt idx="14">
                  <c:v>1.3636363636363636E-2</c:v>
                </c:pt>
                <c:pt idx="15">
                  <c:v>0.15909090909090909</c:v>
                </c:pt>
                <c:pt idx="16">
                  <c:v>2.7272727272727271E-2</c:v>
                </c:pt>
                <c:pt idx="17">
                  <c:v>7.7272727272727271E-2</c:v>
                </c:pt>
                <c:pt idx="18">
                  <c:v>9.0909090909090905E-3</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綾町平均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0.21493146689997084</c:v>
                </c:pt>
                <c:pt idx="1">
                  <c:v>1.1665208515602217E-3</c:v>
                </c:pt>
                <c:pt idx="2">
                  <c:v>2.9163021289005544E-4</c:v>
                </c:pt>
                <c:pt idx="3">
                  <c:v>8.6905803441236509E-2</c:v>
                </c:pt>
                <c:pt idx="4">
                  <c:v>0.14056576261300671</c:v>
                </c:pt>
                <c:pt idx="5">
                  <c:v>1.7497812773403325E-3</c:v>
                </c:pt>
                <c:pt idx="6">
                  <c:v>9.0405365995917183E-3</c:v>
                </c:pt>
                <c:pt idx="7">
                  <c:v>3.4703995333916597E-2</c:v>
                </c:pt>
                <c:pt idx="8">
                  <c:v>0.11169437153689123</c:v>
                </c:pt>
                <c:pt idx="9">
                  <c:v>1.3123359580052493E-2</c:v>
                </c:pt>
                <c:pt idx="10">
                  <c:v>7.874015748031496E-3</c:v>
                </c:pt>
                <c:pt idx="11">
                  <c:v>1.2540099154272382E-2</c:v>
                </c:pt>
                <c:pt idx="12">
                  <c:v>4.2286380869058032E-2</c:v>
                </c:pt>
                <c:pt idx="13">
                  <c:v>2.5663458734324875E-2</c:v>
                </c:pt>
                <c:pt idx="14">
                  <c:v>3.3829104695246429E-2</c:v>
                </c:pt>
                <c:pt idx="15">
                  <c:v>0.14610673665791776</c:v>
                </c:pt>
                <c:pt idx="16">
                  <c:v>2.2163896179644212E-2</c:v>
                </c:pt>
                <c:pt idx="17">
                  <c:v>5.5409740449110526E-2</c:v>
                </c:pt>
                <c:pt idx="18">
                  <c:v>3.4412365121026536E-2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6370312"/>
        <c:axId val="456371096"/>
      </c:barChart>
      <c:catAx>
        <c:axId val="456370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71096"/>
        <c:crosses val="autoZero"/>
        <c:auto val="1"/>
        <c:lblAlgn val="ctr"/>
        <c:lblOffset val="100"/>
        <c:noMultiLvlLbl val="0"/>
      </c:catAx>
      <c:valAx>
        <c:axId val="4563710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7031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綾町平均</c:v>
                </c:pt>
                <c:pt idx="2">
                  <c:v>北麓久木野々地域</c:v>
                </c:pt>
              </c:strCache>
            </c:strRef>
          </c:cat>
          <c:val>
            <c:numRef>
              <c:f>管理者用地域特徴シート!$CK$3:$CK$5</c:f>
              <c:numCache>
                <c:formatCode>0.0%</c:formatCode>
                <c:ptCount val="3"/>
                <c:pt idx="0">
                  <c:v>0.82747216160708559</c:v>
                </c:pt>
                <c:pt idx="1">
                  <c:v>0.59346748323126275</c:v>
                </c:pt>
                <c:pt idx="2">
                  <c:v>0.57272727272727275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6370704"/>
        <c:axId val="456373448"/>
      </c:barChart>
      <c:catAx>
        <c:axId val="456370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73448"/>
        <c:crosses val="autoZero"/>
        <c:auto val="1"/>
        <c:lblAlgn val="ctr"/>
        <c:lblOffset val="100"/>
        <c:noMultiLvlLbl val="0"/>
      </c:catAx>
      <c:valAx>
        <c:axId val="456373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370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c:v>
                </c:pt>
                <c:pt idx="1">
                  <c:v>0.37</c:v>
                </c:pt>
                <c:pt idx="2">
                  <c:v>0.41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529008"/>
        <c:axId val="390529400"/>
      </c:barChart>
      <c:catAx>
        <c:axId val="390529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9400"/>
        <c:crosses val="autoZero"/>
        <c:auto val="1"/>
        <c:lblAlgn val="ctr"/>
        <c:lblOffset val="100"/>
        <c:noMultiLvlLbl val="0"/>
      </c:catAx>
      <c:valAx>
        <c:axId val="390529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90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0.2</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522736"/>
        <c:axId val="390523128"/>
      </c:barChart>
      <c:catAx>
        <c:axId val="390522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3128"/>
        <c:crosses val="autoZero"/>
        <c:auto val="1"/>
        <c:lblAlgn val="ctr"/>
        <c:lblOffset val="100"/>
        <c:noMultiLvlLbl val="0"/>
      </c:catAx>
      <c:valAx>
        <c:axId val="390523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2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226-4D31-9199-258E91D87143}"/>
                </c:ext>
                <c:ext xmlns:c15="http://schemas.microsoft.com/office/drawing/2012/chart" uri="{CE6537A1-D6FC-4f65-9D91-7224C49458BB}"/>
              </c:extLst>
            </c:dLbl>
            <c:dLbl>
              <c:idx val="19"/>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226-4D31-9199-258E91D87143}"/>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226-4D31-9199-258E91D8714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8</c:v>
                </c:pt>
                <c:pt idx="1">
                  <c:v>1</c:v>
                </c:pt>
                <c:pt idx="2">
                  <c:v>8</c:v>
                </c:pt>
                <c:pt idx="3">
                  <c:v>11</c:v>
                </c:pt>
                <c:pt idx="4">
                  <c:v>8</c:v>
                </c:pt>
                <c:pt idx="5">
                  <c:v>17</c:v>
                </c:pt>
                <c:pt idx="6">
                  <c:v>12</c:v>
                </c:pt>
                <c:pt idx="7">
                  <c:v>2</c:v>
                </c:pt>
                <c:pt idx="8">
                  <c:v>16</c:v>
                </c:pt>
                <c:pt idx="9">
                  <c:v>12</c:v>
                </c:pt>
                <c:pt idx="10">
                  <c:v>11</c:v>
                </c:pt>
                <c:pt idx="11">
                  <c:v>26</c:v>
                </c:pt>
                <c:pt idx="12">
                  <c:v>19</c:v>
                </c:pt>
                <c:pt idx="13">
                  <c:v>12</c:v>
                </c:pt>
                <c:pt idx="14">
                  <c:v>18</c:v>
                </c:pt>
                <c:pt idx="15">
                  <c:v>16</c:v>
                </c:pt>
                <c:pt idx="16">
                  <c:v>7</c:v>
                </c:pt>
                <c:pt idx="17">
                  <c:v>2</c:v>
                </c:pt>
                <c:pt idx="18">
                  <c:v>2</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524696"/>
        <c:axId val="3905239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8</c:v>
                </c:pt>
                <c:pt idx="1">
                  <c:v>7</c:v>
                </c:pt>
                <c:pt idx="2">
                  <c:v>12</c:v>
                </c:pt>
                <c:pt idx="3">
                  <c:v>9</c:v>
                </c:pt>
                <c:pt idx="4">
                  <c:v>7</c:v>
                </c:pt>
                <c:pt idx="5">
                  <c:v>12</c:v>
                </c:pt>
                <c:pt idx="6">
                  <c:v>11</c:v>
                </c:pt>
                <c:pt idx="7">
                  <c:v>10</c:v>
                </c:pt>
                <c:pt idx="8">
                  <c:v>12</c:v>
                </c:pt>
                <c:pt idx="9">
                  <c:v>15</c:v>
                </c:pt>
                <c:pt idx="10">
                  <c:v>18</c:v>
                </c:pt>
                <c:pt idx="11">
                  <c:v>28</c:v>
                </c:pt>
                <c:pt idx="12">
                  <c:v>22</c:v>
                </c:pt>
                <c:pt idx="13">
                  <c:v>14</c:v>
                </c:pt>
                <c:pt idx="14">
                  <c:v>27</c:v>
                </c:pt>
                <c:pt idx="15">
                  <c:v>16</c:v>
                </c:pt>
                <c:pt idx="16">
                  <c:v>11</c:v>
                </c:pt>
                <c:pt idx="17">
                  <c:v>6</c:v>
                </c:pt>
                <c:pt idx="18">
                  <c:v>5</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4392456"/>
        <c:axId val="390524304"/>
      </c:barChart>
      <c:catAx>
        <c:axId val="3905246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3912"/>
        <c:crosses val="autoZero"/>
        <c:auto val="1"/>
        <c:lblAlgn val="ctr"/>
        <c:lblOffset val="100"/>
        <c:noMultiLvlLbl val="0"/>
      </c:catAx>
      <c:valAx>
        <c:axId val="3905239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524696"/>
        <c:crosses val="autoZero"/>
        <c:crossBetween val="between"/>
        <c:majorUnit val="25"/>
      </c:valAx>
      <c:valAx>
        <c:axId val="39052430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2456"/>
        <c:crosses val="max"/>
        <c:crossBetween val="between"/>
        <c:majorUnit val="25"/>
      </c:valAx>
      <c:catAx>
        <c:axId val="454392456"/>
        <c:scaling>
          <c:orientation val="minMax"/>
        </c:scaling>
        <c:delete val="1"/>
        <c:axPos val="l"/>
        <c:numFmt formatCode="General" sourceLinked="1"/>
        <c:majorTickMark val="out"/>
        <c:minorTickMark val="none"/>
        <c:tickLblPos val="nextTo"/>
        <c:crossAx val="3905243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209</c:v>
                </c:pt>
                <c:pt idx="1">
                  <c:v>191</c:v>
                </c:pt>
                <c:pt idx="2">
                  <c:v>192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250</c:v>
                </c:pt>
                <c:pt idx="1">
                  <c:v>242</c:v>
                </c:pt>
                <c:pt idx="2">
                  <c:v>233</c:v>
                </c:pt>
              </c:numCache>
            </c:numRef>
          </c:val>
          <c:extLst xmlns:c16r2="http://schemas.microsoft.com/office/drawing/2015/06/chart">
            <c:ext xmlns:c16="http://schemas.microsoft.com/office/drawing/2014/chart" uri="{C3380CC4-5D6E-409C-BE32-E72D297353CC}">
              <c16:uniqueId val="{00000000-3DC8-4752-9FC2-C05B2D0182E4}"/>
            </c:ext>
          </c:extLst>
        </c:ser>
        <c:dLbls>
          <c:showLegendKey val="0"/>
          <c:showVal val="0"/>
          <c:showCatName val="0"/>
          <c:showSerName val="0"/>
          <c:showPercent val="0"/>
          <c:showBubbleSize val="0"/>
        </c:dLbls>
        <c:gapWidth val="219"/>
        <c:overlap val="100"/>
        <c:axId val="454386576"/>
        <c:axId val="4543904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459</c:v>
                </c:pt>
                <c:pt idx="1">
                  <c:v>433</c:v>
                </c:pt>
                <c:pt idx="2">
                  <c:v>425</c:v>
                </c:pt>
              </c:numCache>
            </c:numRef>
          </c:val>
          <c:smooth val="0"/>
          <c:extLst xmlns:c16r2="http://schemas.microsoft.com/office/drawing/2015/06/chart">
            <c:ext xmlns:c16="http://schemas.microsoft.com/office/drawing/2014/chart" uri="{C3380CC4-5D6E-409C-BE32-E72D297353CC}">
              <c16:uniqueId val="{00000001-3DC8-4752-9FC2-C05B2D0182E4}"/>
            </c:ext>
          </c:extLst>
        </c:ser>
        <c:dLbls>
          <c:showLegendKey val="0"/>
          <c:showVal val="0"/>
          <c:showCatName val="0"/>
          <c:showSerName val="0"/>
          <c:showPercent val="0"/>
          <c:showBubbleSize val="0"/>
        </c:dLbls>
        <c:marker val="1"/>
        <c:smooth val="0"/>
        <c:axId val="454386576"/>
        <c:axId val="454390496"/>
      </c:lineChart>
      <c:catAx>
        <c:axId val="454386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0496"/>
        <c:crosses val="autoZero"/>
        <c:auto val="1"/>
        <c:lblAlgn val="ctr"/>
        <c:lblOffset val="100"/>
        <c:noMultiLvlLbl val="0"/>
      </c:catAx>
      <c:valAx>
        <c:axId val="454390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657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2DB-46B4-A08B-070D721F3199}"/>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2DB-46B4-A08B-070D721F3199}"/>
                </c:ext>
                <c:ext xmlns:c15="http://schemas.microsoft.com/office/drawing/2012/chart" uri="{CE6537A1-D6FC-4f65-9D91-7224C49458BB}"/>
              </c:extLst>
            </c:dLbl>
            <c:dLbl>
              <c:idx val="19"/>
              <c:layout>
                <c:manualLayout>
                  <c:x val="-4.00244693686697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2DB-46B4-A08B-070D721F3199}"/>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2DB-46B4-A08B-070D721F31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c:v>
                </c:pt>
                <c:pt idx="1">
                  <c:v>9</c:v>
                </c:pt>
                <c:pt idx="2">
                  <c:v>7</c:v>
                </c:pt>
                <c:pt idx="3">
                  <c:v>1</c:v>
                </c:pt>
                <c:pt idx="4">
                  <c:v>6</c:v>
                </c:pt>
                <c:pt idx="5">
                  <c:v>3</c:v>
                </c:pt>
                <c:pt idx="6">
                  <c:v>8</c:v>
                </c:pt>
                <c:pt idx="7">
                  <c:v>14</c:v>
                </c:pt>
                <c:pt idx="8">
                  <c:v>11</c:v>
                </c:pt>
                <c:pt idx="9">
                  <c:v>4</c:v>
                </c:pt>
                <c:pt idx="10">
                  <c:v>18</c:v>
                </c:pt>
                <c:pt idx="11">
                  <c:v>14</c:v>
                </c:pt>
                <c:pt idx="12">
                  <c:v>12</c:v>
                </c:pt>
                <c:pt idx="13">
                  <c:v>26</c:v>
                </c:pt>
                <c:pt idx="14">
                  <c:v>18</c:v>
                </c:pt>
                <c:pt idx="15">
                  <c:v>12</c:v>
                </c:pt>
                <c:pt idx="16">
                  <c:v>16</c:v>
                </c:pt>
                <c:pt idx="17">
                  <c:v>7</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4393240"/>
        <c:axId val="4543893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c:v>
                </c:pt>
                <c:pt idx="1">
                  <c:v>9</c:v>
                </c:pt>
                <c:pt idx="2">
                  <c:v>7</c:v>
                </c:pt>
                <c:pt idx="3">
                  <c:v>7</c:v>
                </c:pt>
                <c:pt idx="4">
                  <c:v>4</c:v>
                </c:pt>
                <c:pt idx="5">
                  <c:v>6</c:v>
                </c:pt>
                <c:pt idx="6">
                  <c:v>5</c:v>
                </c:pt>
                <c:pt idx="7">
                  <c:v>11</c:v>
                </c:pt>
                <c:pt idx="8">
                  <c:v>12</c:v>
                </c:pt>
                <c:pt idx="9">
                  <c:v>16</c:v>
                </c:pt>
                <c:pt idx="10">
                  <c:v>17</c:v>
                </c:pt>
                <c:pt idx="11">
                  <c:v>17</c:v>
                </c:pt>
                <c:pt idx="12">
                  <c:v>20</c:v>
                </c:pt>
                <c:pt idx="13">
                  <c:v>31</c:v>
                </c:pt>
                <c:pt idx="14">
                  <c:v>23</c:v>
                </c:pt>
                <c:pt idx="15">
                  <c:v>10</c:v>
                </c:pt>
                <c:pt idx="16">
                  <c:v>17</c:v>
                </c:pt>
                <c:pt idx="17">
                  <c:v>10</c:v>
                </c:pt>
                <c:pt idx="18">
                  <c:v>4</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4392848"/>
        <c:axId val="454388144"/>
      </c:barChart>
      <c:catAx>
        <c:axId val="454393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9320"/>
        <c:crosses val="autoZero"/>
        <c:auto val="1"/>
        <c:lblAlgn val="ctr"/>
        <c:lblOffset val="100"/>
        <c:noMultiLvlLbl val="0"/>
      </c:catAx>
      <c:valAx>
        <c:axId val="4543893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3240"/>
        <c:crosses val="autoZero"/>
        <c:crossBetween val="between"/>
        <c:majorUnit val="25"/>
      </c:valAx>
      <c:valAx>
        <c:axId val="4543881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2848"/>
        <c:crosses val="max"/>
        <c:crossBetween val="between"/>
        <c:majorUnit val="25"/>
      </c:valAx>
      <c:catAx>
        <c:axId val="454392848"/>
        <c:scaling>
          <c:orientation val="minMax"/>
        </c:scaling>
        <c:delete val="1"/>
        <c:axPos val="l"/>
        <c:numFmt formatCode="General" sourceLinked="1"/>
        <c:majorTickMark val="out"/>
        <c:minorTickMark val="none"/>
        <c:tickLblPos val="nextTo"/>
        <c:crossAx val="454388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6047-4FF8-B446-36A95DFD762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6047-4FF8-B446-36A95DFD762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6047-4FF8-B446-36A95DFD762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047-4FF8-B446-36A95DFD762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047-4FF8-B446-36A95DFD762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209</c:v>
                </c:pt>
                <c:pt idx="1">
                  <c:v>191</c:v>
                </c:pt>
                <c:pt idx="2">
                  <c:v>192</c:v>
                </c:pt>
                <c:pt idx="3">
                  <c:v>188</c:v>
                </c:pt>
                <c:pt idx="4">
                  <c:v>185</c:v>
                </c:pt>
                <c:pt idx="5">
                  <c:v>175</c:v>
                </c:pt>
                <c:pt idx="6">
                  <c:v>157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6047-4FF8-B446-36A95DFD762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6047-4FF8-B446-36A95DFD762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6047-4FF8-B446-36A95DFD762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250</c:v>
                </c:pt>
                <c:pt idx="1">
                  <c:v>242</c:v>
                </c:pt>
                <c:pt idx="2">
                  <c:v>233</c:v>
                </c:pt>
                <c:pt idx="3">
                  <c:v>221</c:v>
                </c:pt>
                <c:pt idx="4">
                  <c:v>205</c:v>
                </c:pt>
                <c:pt idx="5">
                  <c:v>188</c:v>
                </c:pt>
                <c:pt idx="6">
                  <c:v>171</c:v>
                </c:pt>
              </c:numCache>
            </c:numRef>
          </c:val>
          <c:extLst xmlns:c16r2="http://schemas.microsoft.com/office/drawing/2015/06/chart">
            <c:ext xmlns:c16="http://schemas.microsoft.com/office/drawing/2014/chart" uri="{C3380CC4-5D6E-409C-BE32-E72D297353CC}">
              <c16:uniqueId val="{00000010-6047-4FF8-B446-36A95DFD7625}"/>
            </c:ext>
          </c:extLst>
        </c:ser>
        <c:dLbls>
          <c:showLegendKey val="0"/>
          <c:showVal val="0"/>
          <c:showCatName val="0"/>
          <c:showSerName val="0"/>
          <c:showPercent val="0"/>
          <c:showBubbleSize val="0"/>
        </c:dLbls>
        <c:gapWidth val="219"/>
        <c:overlap val="100"/>
        <c:axId val="454390888"/>
        <c:axId val="45438696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459</c:v>
                </c:pt>
                <c:pt idx="1">
                  <c:v>433</c:v>
                </c:pt>
                <c:pt idx="2">
                  <c:v>425</c:v>
                </c:pt>
                <c:pt idx="3">
                  <c:v>409</c:v>
                </c:pt>
                <c:pt idx="4">
                  <c:v>390</c:v>
                </c:pt>
                <c:pt idx="5">
                  <c:v>363</c:v>
                </c:pt>
                <c:pt idx="6">
                  <c:v>328</c:v>
                </c:pt>
              </c:numCache>
            </c:numRef>
          </c:val>
          <c:smooth val="0"/>
          <c:extLst xmlns:c16r2="http://schemas.microsoft.com/office/drawing/2015/06/chart">
            <c:ext xmlns:c16="http://schemas.microsoft.com/office/drawing/2014/chart" uri="{C3380CC4-5D6E-409C-BE32-E72D297353CC}">
              <c16:uniqueId val="{00000011-6047-4FF8-B446-36A95DFD7625}"/>
            </c:ext>
          </c:extLst>
        </c:ser>
        <c:dLbls>
          <c:showLegendKey val="0"/>
          <c:showVal val="0"/>
          <c:showCatName val="0"/>
          <c:showSerName val="0"/>
          <c:showPercent val="0"/>
          <c:showBubbleSize val="0"/>
        </c:dLbls>
        <c:marker val="1"/>
        <c:smooth val="0"/>
        <c:axId val="454390888"/>
        <c:axId val="454386968"/>
      </c:lineChart>
      <c:catAx>
        <c:axId val="454390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6968"/>
        <c:crosses val="autoZero"/>
        <c:auto val="1"/>
        <c:lblAlgn val="ctr"/>
        <c:lblOffset val="100"/>
        <c:noMultiLvlLbl val="0"/>
      </c:catAx>
      <c:valAx>
        <c:axId val="454386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9088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17</c:v>
                </c:pt>
                <c:pt idx="1">
                  <c:v>16</c:v>
                </c:pt>
                <c:pt idx="2">
                  <c:v>19</c:v>
                </c:pt>
                <c:pt idx="3">
                  <c:v>21</c:v>
                </c:pt>
                <c:pt idx="4">
                  <c:v>15</c:v>
                </c:pt>
                <c:pt idx="5">
                  <c:v>11</c:v>
                </c:pt>
                <c:pt idx="6">
                  <c:v>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4387752"/>
        <c:axId val="454388536"/>
      </c:barChart>
      <c:catAx>
        <c:axId val="454387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8536"/>
        <c:crosses val="autoZero"/>
        <c:auto val="1"/>
        <c:lblAlgn val="ctr"/>
        <c:lblOffset val="100"/>
        <c:noMultiLvlLbl val="0"/>
      </c:catAx>
      <c:valAx>
        <c:axId val="454388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7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北麓久木野々地域</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8"/>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綾町平均</v>
      </c>
      <c r="C4" s="88" t="str">
        <f>B4</f>
        <v>綾町平均</v>
      </c>
      <c r="D4" s="185">
        <f>SUM(D7:D70)</f>
        <v>2851</v>
      </c>
      <c r="E4" s="186">
        <f>SUM(E7:E70)</f>
        <v>1603</v>
      </c>
      <c r="F4" s="186">
        <f>SUM(F7:F70)</f>
        <v>578</v>
      </c>
      <c r="G4" s="187">
        <f>SUM(G7:G70)</f>
        <v>482</v>
      </c>
      <c r="H4" s="148">
        <f>E4/D4</f>
        <v>0.56225885654156438</v>
      </c>
      <c r="I4" s="149">
        <f>F4/D4</f>
        <v>0.20273588214661523</v>
      </c>
      <c r="J4" s="150">
        <f>G4/D4</f>
        <v>0.16906348649596634</v>
      </c>
      <c r="K4" s="185">
        <f>SUM(K7:K70)</f>
        <v>6934</v>
      </c>
      <c r="L4" s="186">
        <f>SUM(L7:L70)</f>
        <v>939</v>
      </c>
      <c r="M4" s="186">
        <f>SUM(M7:M70)</f>
        <v>2231</v>
      </c>
      <c r="N4" s="187">
        <f>SUM(N7:N70)</f>
        <v>3667</v>
      </c>
      <c r="O4" s="148">
        <f>L4/K4</f>
        <v>0.13541967118546294</v>
      </c>
      <c r="P4" s="149">
        <f>M4/K4</f>
        <v>0.32174790885491777</v>
      </c>
      <c r="Q4" s="150">
        <f>N4/K4</f>
        <v>0.5288433804441881</v>
      </c>
      <c r="R4" s="185">
        <f>SUM(R7:R70)</f>
        <v>6934</v>
      </c>
      <c r="S4" s="145">
        <f>SUM(S7:S70)</f>
        <v>605</v>
      </c>
      <c r="T4" s="145">
        <f>SUM(T7:T70)</f>
        <v>453</v>
      </c>
      <c r="U4" s="144">
        <f>SUM(U7:U70)</f>
        <v>174</v>
      </c>
      <c r="V4" s="144">
        <f>SUM(V7:V70)</f>
        <v>12</v>
      </c>
      <c r="W4" s="146">
        <f>S4+T4+U4+V4</f>
        <v>1244</v>
      </c>
      <c r="X4" s="143">
        <f>SUM(X7:X70)</f>
        <v>3267</v>
      </c>
      <c r="Y4" s="144">
        <f>SUM(Y7:Y70)</f>
        <v>277</v>
      </c>
      <c r="Z4" s="144">
        <f>SUM(Z7:Z70)</f>
        <v>217</v>
      </c>
      <c r="AA4" s="144">
        <f>SUM(AA7:AA70)</f>
        <v>96</v>
      </c>
      <c r="AB4" s="144">
        <f>SUM(AB7:AB70)</f>
        <v>8</v>
      </c>
      <c r="AC4" s="146">
        <f>Y4+Z4+AA4+AB4</f>
        <v>598</v>
      </c>
      <c r="AD4" s="143">
        <f>SUM(AD7:AD70)</f>
        <v>3667</v>
      </c>
      <c r="AE4" s="143">
        <f t="shared" ref="AE4:AH4" si="0">SUM(AE7:AE70)</f>
        <v>328</v>
      </c>
      <c r="AF4" s="143">
        <f t="shared" si="0"/>
        <v>236</v>
      </c>
      <c r="AG4" s="143">
        <f t="shared" si="0"/>
        <v>78</v>
      </c>
      <c r="AH4" s="143">
        <f t="shared" si="0"/>
        <v>4</v>
      </c>
      <c r="AI4" s="146">
        <f>AE4+AF4+AG4+AH4</f>
        <v>646</v>
      </c>
      <c r="AJ4" s="148">
        <f>W4/R4</f>
        <v>0.17940582636284971</v>
      </c>
      <c r="AK4" s="149">
        <f>T4/W4</f>
        <v>0.36414790996784568</v>
      </c>
      <c r="AL4" s="149">
        <f>U4/W4</f>
        <v>0.13987138263665594</v>
      </c>
      <c r="AM4" s="149">
        <f>V4/W4</f>
        <v>9.6463022508038593E-3</v>
      </c>
      <c r="AN4" s="147">
        <f>AC4/W4</f>
        <v>0.48070739549839231</v>
      </c>
      <c r="AO4" s="150">
        <f>AI4/W4</f>
        <v>0.51929260450160775</v>
      </c>
      <c r="AP4" s="143">
        <f>SUM(AP7:AP70)</f>
        <v>3429</v>
      </c>
      <c r="AQ4" s="144">
        <f t="shared" ref="AQ4:BI4" si="1">SUM(AQ7:AQ70)</f>
        <v>737</v>
      </c>
      <c r="AR4" s="144">
        <f t="shared" si="1"/>
        <v>4</v>
      </c>
      <c r="AS4" s="144">
        <f t="shared" si="1"/>
        <v>1</v>
      </c>
      <c r="AT4" s="144">
        <f t="shared" si="1"/>
        <v>298</v>
      </c>
      <c r="AU4" s="144">
        <f t="shared" si="1"/>
        <v>482</v>
      </c>
      <c r="AV4" s="144">
        <f t="shared" si="1"/>
        <v>6</v>
      </c>
      <c r="AW4" s="144">
        <f t="shared" si="1"/>
        <v>31</v>
      </c>
      <c r="AX4" s="144">
        <f t="shared" si="1"/>
        <v>119</v>
      </c>
      <c r="AY4" s="144">
        <f t="shared" si="1"/>
        <v>383</v>
      </c>
      <c r="AZ4" s="144">
        <f t="shared" si="1"/>
        <v>45</v>
      </c>
      <c r="BA4" s="144">
        <f t="shared" si="1"/>
        <v>27</v>
      </c>
      <c r="BB4" s="144">
        <f t="shared" si="1"/>
        <v>43</v>
      </c>
      <c r="BC4" s="144">
        <f t="shared" si="1"/>
        <v>145</v>
      </c>
      <c r="BD4" s="144">
        <f t="shared" si="1"/>
        <v>88</v>
      </c>
      <c r="BE4" s="144">
        <f t="shared" si="1"/>
        <v>116</v>
      </c>
      <c r="BF4" s="144">
        <f t="shared" si="1"/>
        <v>501</v>
      </c>
      <c r="BG4" s="144">
        <f t="shared" si="1"/>
        <v>76</v>
      </c>
      <c r="BH4" s="144">
        <f t="shared" si="1"/>
        <v>190</v>
      </c>
      <c r="BI4" s="146">
        <f t="shared" si="1"/>
        <v>118</v>
      </c>
      <c r="BJ4" s="147">
        <f>IF($AP4=0,0,AQ4/$AP4)</f>
        <v>0.21493146689997084</v>
      </c>
      <c r="BK4" s="149">
        <f t="shared" ref="BK4:CB4" si="2">IF($AP4=0,0,AR4/$AP4)</f>
        <v>1.1665208515602217E-3</v>
      </c>
      <c r="BL4" s="149">
        <f t="shared" si="2"/>
        <v>2.9163021289005544E-4</v>
      </c>
      <c r="BM4" s="149">
        <f t="shared" si="2"/>
        <v>8.6905803441236509E-2</v>
      </c>
      <c r="BN4" s="149">
        <f t="shared" si="2"/>
        <v>0.14056576261300671</v>
      </c>
      <c r="BO4" s="149">
        <f t="shared" si="2"/>
        <v>1.7497812773403325E-3</v>
      </c>
      <c r="BP4" s="149">
        <f t="shared" si="2"/>
        <v>9.0405365995917183E-3</v>
      </c>
      <c r="BQ4" s="149">
        <f t="shared" si="2"/>
        <v>3.4703995333916597E-2</v>
      </c>
      <c r="BR4" s="149">
        <f t="shared" si="2"/>
        <v>0.11169437153689123</v>
      </c>
      <c r="BS4" s="149">
        <f t="shared" si="2"/>
        <v>1.3123359580052493E-2</v>
      </c>
      <c r="BT4" s="149">
        <f t="shared" si="2"/>
        <v>7.874015748031496E-3</v>
      </c>
      <c r="BU4" s="149">
        <f t="shared" si="2"/>
        <v>1.2540099154272382E-2</v>
      </c>
      <c r="BV4" s="149">
        <f t="shared" si="2"/>
        <v>4.2286380869058032E-2</v>
      </c>
      <c r="BW4" s="149">
        <f t="shared" si="2"/>
        <v>2.5663458734324875E-2</v>
      </c>
      <c r="BX4" s="149">
        <f t="shared" si="2"/>
        <v>3.3829104695246429E-2</v>
      </c>
      <c r="BY4" s="149">
        <f t="shared" si="2"/>
        <v>0.14610673665791776</v>
      </c>
      <c r="BZ4" s="149">
        <f t="shared" si="2"/>
        <v>2.2163896179644212E-2</v>
      </c>
      <c r="CA4" s="149">
        <f t="shared" si="2"/>
        <v>5.5409740449110526E-2</v>
      </c>
      <c r="CB4" s="150">
        <f t="shared" si="2"/>
        <v>3.4412365121026536E-2</v>
      </c>
      <c r="CC4" s="143">
        <f>SUM(CC7:CC70)</f>
        <v>3429</v>
      </c>
      <c r="CD4" s="144">
        <f t="shared" ref="CD4:CI4" si="3">SUM(CD7:CD70)</f>
        <v>2035</v>
      </c>
      <c r="CE4" s="144">
        <f t="shared" si="3"/>
        <v>1362</v>
      </c>
      <c r="CF4" s="144">
        <f t="shared" si="3"/>
        <v>13</v>
      </c>
      <c r="CG4" s="143">
        <f t="shared" si="3"/>
        <v>242</v>
      </c>
      <c r="CH4" s="144">
        <f t="shared" si="3"/>
        <v>41</v>
      </c>
      <c r="CI4" s="144">
        <f t="shared" si="3"/>
        <v>193</v>
      </c>
      <c r="CJ4" s="144">
        <f>SUM(CJ7:CJ70)</f>
        <v>4</v>
      </c>
      <c r="CK4" s="148">
        <f t="shared" ref="CK4:CM4" si="4">IF($CC4=0,0,CD4/$CC4)</f>
        <v>0.59346748323126275</v>
      </c>
      <c r="CL4" s="149">
        <f t="shared" si="4"/>
        <v>0.39720034995625547</v>
      </c>
      <c r="CM4" s="150">
        <f t="shared" si="4"/>
        <v>3.7911927675707202E-3</v>
      </c>
      <c r="CN4" s="148">
        <f t="shared" ref="CN4:CP4" si="5">IF($CG4=0,0,CH4/$CG4)</f>
        <v>0.16942148760330578</v>
      </c>
      <c r="CO4" s="149">
        <f t="shared" si="5"/>
        <v>0.7975206611570248</v>
      </c>
      <c r="CP4" s="150">
        <f t="shared" si="5"/>
        <v>1.6528925619834711E-2</v>
      </c>
    </row>
    <row r="5" spans="1:94" s="181" customFormat="1" x14ac:dyDescent="0.15">
      <c r="A5" s="183" t="str">
        <f>管理者入力シート!B2</f>
        <v>45383_1</v>
      </c>
      <c r="B5" s="201" t="str">
        <f>VLOOKUP($A$5,$A$7:$CP$50,2,FALSE)</f>
        <v>綾町</v>
      </c>
      <c r="C5" s="201" t="str">
        <f>VLOOKUP($A$5,$A$7:$CP$50,3,FALSE)</f>
        <v>北麓久木野々地域</v>
      </c>
      <c r="D5" s="188">
        <f>VLOOKUP($A$5,$A$7:$CP$70,4,FALSE)</f>
        <v>176</v>
      </c>
      <c r="E5" s="189">
        <f>VLOOKUP($A$5,$A$7:$CP$70,5,FALSE)</f>
        <v>116</v>
      </c>
      <c r="F5" s="189">
        <f>VLOOKUP($A$5,$A$7:$CP$70,6,FALSE)</f>
        <v>39</v>
      </c>
      <c r="G5" s="190">
        <f>VLOOKUP($A$5,$A$7:$CP$70,7,FALSE)</f>
        <v>33</v>
      </c>
      <c r="H5" s="178">
        <f>VLOOKUP($A$5,$A$7:$CP$70,8,FALSE)</f>
        <v>0.65909090909090906</v>
      </c>
      <c r="I5" s="179">
        <f>VLOOKUP($A$5,$A$7:$CP$70,9,FALSE)</f>
        <v>0.22159090909090909</v>
      </c>
      <c r="J5" s="180">
        <f>VLOOKUP($A$5,$A$7:$CP$70,10,FALSE)</f>
        <v>0.1875</v>
      </c>
      <c r="K5" s="188">
        <f>VLOOKUP($A$5,$A$7:$CP$70,11,FALSE)</f>
        <v>425</v>
      </c>
      <c r="L5" s="189">
        <f>VLOOKUP($A$5,$A$7:$CP$70,12,FALSE)</f>
        <v>45</v>
      </c>
      <c r="M5" s="189">
        <f>VLOOKUP($A$5,$A$7:$CP$70,13,FALSE)</f>
        <v>102</v>
      </c>
      <c r="N5" s="190">
        <f>VLOOKUP($A$5,$A$7:$CP$70,14,FALSE)</f>
        <v>266</v>
      </c>
      <c r="O5" s="178">
        <f>VLOOKUP($A$5,$A$7:$CP$70,15,FALSE)</f>
        <v>0.10588235294117647</v>
      </c>
      <c r="P5" s="179">
        <f>VLOOKUP($A$5,$A$7:$CP$70,16,FALSE)</f>
        <v>0.24</v>
      </c>
      <c r="Q5" s="180">
        <f>VLOOKUP($A$5,$A$7:$CP$70,17,FALSE)</f>
        <v>0.62588235294117645</v>
      </c>
      <c r="R5" s="188">
        <f>VLOOKUP($A$5,$A$7:$CP$70,18,FALSE)</f>
        <v>425</v>
      </c>
      <c r="S5" s="189">
        <f>VLOOKUP($A$5,$A$7:$CP$70,19,FALSE)</f>
        <v>35</v>
      </c>
      <c r="T5" s="189">
        <f>VLOOKUP($A$5,$A$7:$CP$70,20,FALSE)</f>
        <v>22</v>
      </c>
      <c r="U5" s="189">
        <f>VLOOKUP($A$5,$A$7:$CP$70,21,FALSE)</f>
        <v>5</v>
      </c>
      <c r="V5" s="189">
        <f>VLOOKUP($A$5,$A$7:$CP$70,22,FALSE)</f>
        <v>0</v>
      </c>
      <c r="W5" s="190">
        <f>VLOOKUP($A$5,$A$7:$CP$70,23,FALSE)</f>
        <v>62</v>
      </c>
      <c r="X5" s="188">
        <f>VLOOKUP($A$5,$A$7:$CP$70,24,FALSE)</f>
        <v>192</v>
      </c>
      <c r="Y5" s="189">
        <f>VLOOKUP($A$5,$A$7:$CP$70,25,FALSE)</f>
        <v>14</v>
      </c>
      <c r="Z5" s="189">
        <f>VLOOKUP($A$5,$A$7:$CP$70,26,FALSE)</f>
        <v>12</v>
      </c>
      <c r="AA5" s="189">
        <f>VLOOKUP($A$5,$A$7:$CP$70,27,FALSE)</f>
        <v>2</v>
      </c>
      <c r="AB5" s="189">
        <f>VLOOKUP($A$5,$A$7:$CP$70,28,FALSE)</f>
        <v>0</v>
      </c>
      <c r="AC5" s="191">
        <f>VLOOKUP($A$5,$A$7:$CP$70,29,FALSE)</f>
        <v>28</v>
      </c>
      <c r="AD5" s="188">
        <f>VLOOKUP($A$5,$A$7:$CP$70,30,FALSE)</f>
        <v>233</v>
      </c>
      <c r="AE5" s="189">
        <f>VLOOKUP($A$5,$A$7:$CP$70,31,FALSE)</f>
        <v>21</v>
      </c>
      <c r="AF5" s="189">
        <f>VLOOKUP($A$5,$A$7:$CP$70,32,FALSE)</f>
        <v>10</v>
      </c>
      <c r="AG5" s="189">
        <f>VLOOKUP($A$5,$A$7:$CP$70,33,FALSE)</f>
        <v>3</v>
      </c>
      <c r="AH5" s="189">
        <f>VLOOKUP($A$5,$A$7:$CP$70,34,FALSE)</f>
        <v>0</v>
      </c>
      <c r="AI5" s="191">
        <f>VLOOKUP($A$5,$A$7:$CP$70,35,FALSE)</f>
        <v>34</v>
      </c>
      <c r="AJ5" s="178">
        <f>VLOOKUP($A$5,$A$7:$CP$70,36,FALSE)</f>
        <v>0.14588235294117646</v>
      </c>
      <c r="AK5" s="179">
        <f>VLOOKUP($A$5,$A$7:$CP$70,37,FALSE)</f>
        <v>0.35483870967741937</v>
      </c>
      <c r="AL5" s="179">
        <f>VLOOKUP($A$5,$A$7:$CP$70,38,FALSE)</f>
        <v>8.0645161290322578E-2</v>
      </c>
      <c r="AM5" s="179">
        <f>VLOOKUP($A$5,$A$7:$CP$70,39,FALSE)</f>
        <v>0</v>
      </c>
      <c r="AN5" s="182">
        <f>VLOOKUP($A$5,$A$7:$CP$70,40,FALSE)</f>
        <v>0.45161290322580644</v>
      </c>
      <c r="AO5" s="180">
        <f>VLOOKUP($A$5,$A$7:$CP$70,41,FALSE)</f>
        <v>0.54838709677419351</v>
      </c>
      <c r="AP5" s="192">
        <f>VLOOKUP($A$5,$A$7:$CP$70,42,FALSE)</f>
        <v>220</v>
      </c>
      <c r="AQ5" s="189">
        <f>VLOOKUP($A$5,$A$7:$CP$70,43,FALSE)</f>
        <v>65</v>
      </c>
      <c r="AR5" s="189">
        <f>VLOOKUP($A$5,$A$7:$CP$70,44,FALSE)</f>
        <v>0</v>
      </c>
      <c r="AS5" s="189">
        <f>VLOOKUP($A$5,$A$7:$CP$70,45,FALSE)</f>
        <v>0</v>
      </c>
      <c r="AT5" s="189">
        <f>VLOOKUP($A$5,$A$7:$CP$70,46,FALSE)</f>
        <v>13</v>
      </c>
      <c r="AU5" s="189">
        <f>VLOOKUP($A$5,$A$7:$CP$70,47,FALSE)</f>
        <v>32</v>
      </c>
      <c r="AV5" s="189">
        <f>VLOOKUP($A$5,$A$7:$CP$70,48,FALSE)</f>
        <v>0</v>
      </c>
      <c r="AW5" s="189">
        <f>VLOOKUP($A$5,$A$7:$CP$70,49,FALSE)</f>
        <v>1</v>
      </c>
      <c r="AX5" s="189">
        <f>VLOOKUP($A$5,$A$7:$CP$70,50,FALSE)</f>
        <v>9</v>
      </c>
      <c r="AY5" s="189">
        <f>VLOOKUP($A$5,$A$7:$CP$70,51,FALSE)</f>
        <v>16</v>
      </c>
      <c r="AZ5" s="189">
        <f>VLOOKUP($A$5,$A$7:$CP$70,52,FALSE)</f>
        <v>4</v>
      </c>
      <c r="BA5" s="189">
        <f>VLOOKUP($A$5,$A$7:$CP$70,53,FALSE)</f>
        <v>3</v>
      </c>
      <c r="BB5" s="189">
        <f>VLOOKUP($A$5,$A$7:$CP$70,54,FALSE)</f>
        <v>3</v>
      </c>
      <c r="BC5" s="189">
        <f>VLOOKUP($A$5,$A$7:$CP$70,55,FALSE)</f>
        <v>2</v>
      </c>
      <c r="BD5" s="189">
        <f>VLOOKUP($A$5,$A$7:$CP$70,56,FALSE)</f>
        <v>5</v>
      </c>
      <c r="BE5" s="189">
        <f>VLOOKUP($A$5,$A$7:$CP$70,57,FALSE)</f>
        <v>3</v>
      </c>
      <c r="BF5" s="189">
        <f>VLOOKUP($A$5,$A$7:$CP$70,58,FALSE)</f>
        <v>35</v>
      </c>
      <c r="BG5" s="189">
        <f>VLOOKUP($A$5,$A$7:$CP$70,59,FALSE)</f>
        <v>6</v>
      </c>
      <c r="BH5" s="189">
        <f>VLOOKUP($A$5,$A$7:$CP$70,60,FALSE)</f>
        <v>17</v>
      </c>
      <c r="BI5" s="189">
        <f>VLOOKUP($A$5,$A$7:$CP$70,61,FALSE)</f>
        <v>2</v>
      </c>
      <c r="BJ5" s="178">
        <f>VLOOKUP($A$5,$A$7:$CP$70,62,FALSE)</f>
        <v>0.29545454545454547</v>
      </c>
      <c r="BK5" s="179">
        <f>VLOOKUP($A$5,$A$7:$CP$70,63,FALSE)</f>
        <v>0</v>
      </c>
      <c r="BL5" s="179">
        <f>VLOOKUP($A$5,$A$7:$CP$70,64,FALSE)</f>
        <v>0</v>
      </c>
      <c r="BM5" s="179">
        <f>VLOOKUP($A$5,$A$7:$CP$70,65,FALSE)</f>
        <v>5.909090909090909E-2</v>
      </c>
      <c r="BN5" s="179">
        <f>VLOOKUP($A$5,$A$7:$CP$70,66,FALSE)</f>
        <v>0.14545454545454545</v>
      </c>
      <c r="BO5" s="179">
        <f>VLOOKUP($A$5,$A$7:$CP$70,67,FALSE)</f>
        <v>0</v>
      </c>
      <c r="BP5" s="179">
        <f>VLOOKUP($A$5,$A$7:$CP$70,68,FALSE)</f>
        <v>4.5454545454545452E-3</v>
      </c>
      <c r="BQ5" s="179">
        <f>VLOOKUP($A$5,$A$7:$CP$70,69,FALSE)</f>
        <v>4.0909090909090909E-2</v>
      </c>
      <c r="BR5" s="179">
        <f>VLOOKUP($A$5,$A$7:$CP$70,70,FALSE)</f>
        <v>7.2727272727272724E-2</v>
      </c>
      <c r="BS5" s="179">
        <f>VLOOKUP($A$5,$A$7:$CP$70,71,FALSE)</f>
        <v>1.8181818181818181E-2</v>
      </c>
      <c r="BT5" s="179">
        <f>VLOOKUP($A$5,$A$7:$CP$70,72,FALSE)</f>
        <v>1.3636363636363636E-2</v>
      </c>
      <c r="BU5" s="179">
        <f>VLOOKUP($A$5,$A$7:$CP$70,73,FALSE)</f>
        <v>1.3636363636363636E-2</v>
      </c>
      <c r="BV5" s="179">
        <f>VLOOKUP($A$5,$A$7:$CP$70,74,FALSE)</f>
        <v>9.0909090909090905E-3</v>
      </c>
      <c r="BW5" s="179">
        <f>VLOOKUP($A$5,$A$7:$CP$70,75,FALSE)</f>
        <v>2.2727272727272728E-2</v>
      </c>
      <c r="BX5" s="179">
        <f>VLOOKUP($A$5,$A$7:$CP$70,76,FALSE)</f>
        <v>1.3636363636363636E-2</v>
      </c>
      <c r="BY5" s="179">
        <f>VLOOKUP($A$5,$A$7:$CP$70,77,FALSE)</f>
        <v>0.15909090909090909</v>
      </c>
      <c r="BZ5" s="179">
        <f>VLOOKUP($A$5,$A$7:$CP$70,78,FALSE)</f>
        <v>2.7272727272727271E-2</v>
      </c>
      <c r="CA5" s="179">
        <f>VLOOKUP($A$5,$A$7:$CP$70,79,FALSE)</f>
        <v>7.7272727272727271E-2</v>
      </c>
      <c r="CB5" s="180">
        <f>VLOOKUP($A$5,$A$7:$CP$70,80,FALSE)</f>
        <v>9.0909090909090905E-3</v>
      </c>
      <c r="CC5" s="188">
        <f>VLOOKUP($A$5,$A$7:$CP$70,81,FALSE)</f>
        <v>220</v>
      </c>
      <c r="CD5" s="190">
        <f>VLOOKUP($A$5,$A$7:$CP$70,82,FALSE)</f>
        <v>126</v>
      </c>
      <c r="CE5" s="189">
        <f>VLOOKUP($A$5,$A$7:$CP$70,83,FALSE)</f>
        <v>91</v>
      </c>
      <c r="CF5" s="191">
        <f>VLOOKUP($A$5,$A$7:$CP$70,84,FALSE)</f>
        <v>1</v>
      </c>
      <c r="CG5" s="188">
        <f>VLOOKUP($A$5,$A$7:$CP$70,85,FALSE)</f>
        <v>4</v>
      </c>
      <c r="CH5" s="189">
        <f>VLOOKUP($A$5,$A$7:$CP$70,86,FALSE)</f>
        <v>0</v>
      </c>
      <c r="CI5" s="189">
        <f>VLOOKUP($A$5,$A$7:$CP$70,87,FALSE)</f>
        <v>3</v>
      </c>
      <c r="CJ5" s="191">
        <f>VLOOKUP($A$5,$A$7:$CP$70,88,FALSE)</f>
        <v>0</v>
      </c>
      <c r="CK5" s="178">
        <f>VLOOKUP($A$5,$A$7:$CP$70,89,FALSE)</f>
        <v>0.57272727272727275</v>
      </c>
      <c r="CL5" s="179">
        <f>VLOOKUP($A$5,$A$7:$CP$70,90,FALSE)</f>
        <v>0.41363636363636364</v>
      </c>
      <c r="CM5" s="180">
        <f>VLOOKUP($A$5,$A$7:$CP$70,91,FALSE)</f>
        <v>4.5454545454545452E-3</v>
      </c>
      <c r="CN5" s="178">
        <f>VLOOKUP($A$5,$A$7:$CP$70,92,FALSE)</f>
        <v>0</v>
      </c>
      <c r="CO5" s="179">
        <f>VLOOKUP($A$5,$A$7:$CP$70,93,FALSE)</f>
        <v>0.75</v>
      </c>
      <c r="CP5" s="180">
        <f>VLOOKUP($A$5,$A$7:$CP$70,94,FALSE)</f>
        <v>0</v>
      </c>
    </row>
    <row r="6" spans="1:94" s="242" customFormat="1" x14ac:dyDescent="0.15"/>
    <row r="7" spans="1:94" x14ac:dyDescent="0.15">
      <c r="A7" t="s">
        <v>429</v>
      </c>
      <c r="B7" t="s">
        <v>431</v>
      </c>
      <c r="C7" t="s">
        <v>432</v>
      </c>
      <c r="D7">
        <v>176</v>
      </c>
      <c r="E7">
        <v>116</v>
      </c>
      <c r="F7">
        <v>39</v>
      </c>
      <c r="G7">
        <v>33</v>
      </c>
      <c r="H7">
        <v>0.65909090909090906</v>
      </c>
      <c r="I7">
        <v>0.22159090909090909</v>
      </c>
      <c r="J7">
        <v>0.1875</v>
      </c>
      <c r="K7">
        <v>425</v>
      </c>
      <c r="L7">
        <v>45</v>
      </c>
      <c r="M7">
        <v>102</v>
      </c>
      <c r="N7">
        <v>266</v>
      </c>
      <c r="O7">
        <v>0.10588235294117647</v>
      </c>
      <c r="P7">
        <v>0.24</v>
      </c>
      <c r="Q7">
        <v>0.62588235294117645</v>
      </c>
      <c r="R7">
        <v>425</v>
      </c>
      <c r="S7">
        <v>35</v>
      </c>
      <c r="T7">
        <v>22</v>
      </c>
      <c r="U7">
        <v>5</v>
      </c>
      <c r="V7">
        <v>0</v>
      </c>
      <c r="W7">
        <v>62</v>
      </c>
      <c r="X7">
        <v>192</v>
      </c>
      <c r="Y7">
        <v>14</v>
      </c>
      <c r="Z7">
        <v>12</v>
      </c>
      <c r="AA7">
        <v>2</v>
      </c>
      <c r="AB7">
        <v>0</v>
      </c>
      <c r="AC7">
        <v>28</v>
      </c>
      <c r="AD7">
        <v>233</v>
      </c>
      <c r="AE7">
        <v>21</v>
      </c>
      <c r="AF7">
        <v>10</v>
      </c>
      <c r="AG7">
        <v>3</v>
      </c>
      <c r="AH7">
        <v>0</v>
      </c>
      <c r="AI7">
        <v>34</v>
      </c>
      <c r="AJ7">
        <v>0.14588235294117646</v>
      </c>
      <c r="AK7">
        <v>0.35483870967741937</v>
      </c>
      <c r="AL7">
        <v>8.0645161290322578E-2</v>
      </c>
      <c r="AM7">
        <v>0</v>
      </c>
      <c r="AN7">
        <v>0.45161290322580644</v>
      </c>
      <c r="AO7">
        <v>0.54838709677419351</v>
      </c>
      <c r="AP7">
        <v>220</v>
      </c>
      <c r="AQ7">
        <v>65</v>
      </c>
      <c r="AR7">
        <v>0</v>
      </c>
      <c r="AS7">
        <v>0</v>
      </c>
      <c r="AT7">
        <v>13</v>
      </c>
      <c r="AU7">
        <v>32</v>
      </c>
      <c r="AV7">
        <v>0</v>
      </c>
      <c r="AW7">
        <v>1</v>
      </c>
      <c r="AX7">
        <v>9</v>
      </c>
      <c r="AY7">
        <v>16</v>
      </c>
      <c r="AZ7">
        <v>4</v>
      </c>
      <c r="BA7">
        <v>3</v>
      </c>
      <c r="BB7">
        <v>3</v>
      </c>
      <c r="BC7">
        <v>2</v>
      </c>
      <c r="BD7">
        <v>5</v>
      </c>
      <c r="BE7">
        <v>3</v>
      </c>
      <c r="BF7">
        <v>35</v>
      </c>
      <c r="BG7">
        <v>6</v>
      </c>
      <c r="BH7">
        <v>17</v>
      </c>
      <c r="BI7">
        <v>2</v>
      </c>
      <c r="BJ7">
        <v>0.29545454545454547</v>
      </c>
      <c r="BK7">
        <v>0</v>
      </c>
      <c r="BL7">
        <v>0</v>
      </c>
      <c r="BM7">
        <v>5.909090909090909E-2</v>
      </c>
      <c r="BN7">
        <v>0.14545454545454545</v>
      </c>
      <c r="BO7">
        <v>0</v>
      </c>
      <c r="BP7">
        <v>4.5454545454545452E-3</v>
      </c>
      <c r="BQ7">
        <v>4.0909090909090909E-2</v>
      </c>
      <c r="BR7">
        <v>7.2727272727272724E-2</v>
      </c>
      <c r="BS7">
        <v>1.8181818181818181E-2</v>
      </c>
      <c r="BT7">
        <v>1.3636363636363636E-2</v>
      </c>
      <c r="BU7">
        <v>1.3636363636363636E-2</v>
      </c>
      <c r="BV7">
        <v>9.0909090909090905E-3</v>
      </c>
      <c r="BW7">
        <v>2.2727272727272728E-2</v>
      </c>
      <c r="BX7">
        <v>1.3636363636363636E-2</v>
      </c>
      <c r="BY7">
        <v>0.15909090909090909</v>
      </c>
      <c r="BZ7">
        <v>2.7272727272727271E-2</v>
      </c>
      <c r="CA7">
        <v>7.7272727272727271E-2</v>
      </c>
      <c r="CB7">
        <v>9.0909090909090905E-3</v>
      </c>
      <c r="CC7">
        <v>220</v>
      </c>
      <c r="CD7">
        <v>126</v>
      </c>
      <c r="CE7">
        <v>91</v>
      </c>
      <c r="CF7">
        <v>1</v>
      </c>
      <c r="CG7">
        <v>4</v>
      </c>
      <c r="CH7">
        <v>0</v>
      </c>
      <c r="CI7">
        <v>3</v>
      </c>
      <c r="CJ7">
        <v>0</v>
      </c>
      <c r="CK7">
        <v>0.57272727272727275</v>
      </c>
      <c r="CL7">
        <v>0.41363636363636364</v>
      </c>
      <c r="CM7">
        <v>4.5454545454545452E-3</v>
      </c>
      <c r="CN7">
        <v>0</v>
      </c>
      <c r="CO7">
        <v>0.75</v>
      </c>
      <c r="CP7">
        <v>0</v>
      </c>
    </row>
    <row r="8" spans="1:94" x14ac:dyDescent="0.15">
      <c r="A8" t="s">
        <v>433</v>
      </c>
      <c r="B8" t="s">
        <v>431</v>
      </c>
      <c r="C8" t="s">
        <v>434</v>
      </c>
      <c r="D8">
        <v>169</v>
      </c>
      <c r="E8">
        <v>114</v>
      </c>
      <c r="F8">
        <v>37</v>
      </c>
      <c r="G8">
        <v>41</v>
      </c>
      <c r="H8">
        <v>0.67455621301775148</v>
      </c>
      <c r="I8">
        <v>0.21893491124260356</v>
      </c>
      <c r="J8">
        <v>0.24260355029585798</v>
      </c>
      <c r="K8">
        <v>390</v>
      </c>
      <c r="L8">
        <v>52</v>
      </c>
      <c r="M8">
        <v>116</v>
      </c>
      <c r="N8">
        <v>222</v>
      </c>
      <c r="O8">
        <v>0.13333333333333333</v>
      </c>
      <c r="P8">
        <v>0.29743589743589743</v>
      </c>
      <c r="Q8">
        <v>0.56923076923076921</v>
      </c>
      <c r="R8">
        <v>390</v>
      </c>
      <c r="S8">
        <v>20</v>
      </c>
      <c r="T8">
        <v>28</v>
      </c>
      <c r="U8">
        <v>9</v>
      </c>
      <c r="V8">
        <v>2</v>
      </c>
      <c r="W8">
        <v>59</v>
      </c>
      <c r="X8">
        <v>197</v>
      </c>
      <c r="Y8">
        <v>12</v>
      </c>
      <c r="Z8">
        <v>16</v>
      </c>
      <c r="AA8">
        <v>4</v>
      </c>
      <c r="AB8">
        <v>1</v>
      </c>
      <c r="AC8">
        <v>33</v>
      </c>
      <c r="AD8">
        <v>193</v>
      </c>
      <c r="AE8">
        <v>8</v>
      </c>
      <c r="AF8">
        <v>12</v>
      </c>
      <c r="AG8">
        <v>5</v>
      </c>
      <c r="AH8">
        <v>1</v>
      </c>
      <c r="AI8">
        <v>26</v>
      </c>
      <c r="AJ8">
        <v>0.15128205128205127</v>
      </c>
      <c r="AK8">
        <v>0.47457627118644069</v>
      </c>
      <c r="AL8">
        <v>0.15254237288135594</v>
      </c>
      <c r="AM8">
        <v>3.3898305084745763E-2</v>
      </c>
      <c r="AN8">
        <v>0.55932203389830504</v>
      </c>
      <c r="AO8">
        <v>0.44067796610169491</v>
      </c>
      <c r="AP8">
        <v>211</v>
      </c>
      <c r="AQ8">
        <v>101</v>
      </c>
      <c r="AR8">
        <v>4</v>
      </c>
      <c r="AS8">
        <v>0</v>
      </c>
      <c r="AT8">
        <v>9</v>
      </c>
      <c r="AU8">
        <v>21</v>
      </c>
      <c r="AV8">
        <v>0</v>
      </c>
      <c r="AW8">
        <v>2</v>
      </c>
      <c r="AX8">
        <v>8</v>
      </c>
      <c r="AY8">
        <v>14</v>
      </c>
      <c r="AZ8">
        <v>1</v>
      </c>
      <c r="BA8">
        <v>1</v>
      </c>
      <c r="BB8">
        <v>2</v>
      </c>
      <c r="BC8">
        <v>5</v>
      </c>
      <c r="BD8">
        <v>0</v>
      </c>
      <c r="BE8">
        <v>5</v>
      </c>
      <c r="BF8">
        <v>18</v>
      </c>
      <c r="BG8">
        <v>2</v>
      </c>
      <c r="BH8">
        <v>9</v>
      </c>
      <c r="BI8">
        <v>8</v>
      </c>
      <c r="BJ8">
        <v>0.47867298578199052</v>
      </c>
      <c r="BK8">
        <v>1.8957345971563982E-2</v>
      </c>
      <c r="BL8">
        <v>0</v>
      </c>
      <c r="BM8">
        <v>4.2654028436018961E-2</v>
      </c>
      <c r="BN8">
        <v>9.9526066350710901E-2</v>
      </c>
      <c r="BO8">
        <v>0</v>
      </c>
      <c r="BP8">
        <v>9.4786729857819912E-3</v>
      </c>
      <c r="BQ8">
        <v>3.7914691943127965E-2</v>
      </c>
      <c r="BR8">
        <v>6.6350710900473939E-2</v>
      </c>
      <c r="BS8">
        <v>4.7393364928909956E-3</v>
      </c>
      <c r="BT8">
        <v>4.7393364928909956E-3</v>
      </c>
      <c r="BU8">
        <v>9.4786729857819912E-3</v>
      </c>
      <c r="BV8">
        <v>2.3696682464454975E-2</v>
      </c>
      <c r="BW8">
        <v>0</v>
      </c>
      <c r="BX8">
        <v>2.3696682464454975E-2</v>
      </c>
      <c r="BY8">
        <v>8.5308056872037921E-2</v>
      </c>
      <c r="BZ8">
        <v>9.4786729857819912E-3</v>
      </c>
      <c r="CA8">
        <v>4.2654028436018961E-2</v>
      </c>
      <c r="CB8">
        <v>3.7914691943127965E-2</v>
      </c>
      <c r="CC8">
        <v>211</v>
      </c>
      <c r="CD8">
        <v>155</v>
      </c>
      <c r="CE8">
        <v>54</v>
      </c>
      <c r="CF8">
        <v>2</v>
      </c>
      <c r="CG8">
        <v>17</v>
      </c>
      <c r="CH8">
        <v>1</v>
      </c>
      <c r="CI8">
        <v>16</v>
      </c>
      <c r="CJ8">
        <v>0</v>
      </c>
      <c r="CK8">
        <v>0.7345971563981043</v>
      </c>
      <c r="CL8">
        <v>0.25592417061611372</v>
      </c>
      <c r="CM8">
        <v>9.4786729857819912E-3</v>
      </c>
      <c r="CN8">
        <v>5.8823529411764705E-2</v>
      </c>
      <c r="CO8">
        <v>0.94117647058823528</v>
      </c>
      <c r="CP8">
        <v>0</v>
      </c>
    </row>
    <row r="9" spans="1:94" x14ac:dyDescent="0.15">
      <c r="A9" t="s">
        <v>435</v>
      </c>
      <c r="B9" t="s">
        <v>431</v>
      </c>
      <c r="C9" t="s">
        <v>436</v>
      </c>
      <c r="D9">
        <v>233</v>
      </c>
      <c r="E9">
        <v>157</v>
      </c>
      <c r="F9">
        <v>62</v>
      </c>
      <c r="G9">
        <v>48</v>
      </c>
      <c r="H9">
        <v>0.67381974248927035</v>
      </c>
      <c r="I9">
        <v>0.26609442060085836</v>
      </c>
      <c r="J9">
        <v>0.20600858369098712</v>
      </c>
      <c r="K9">
        <v>512</v>
      </c>
      <c r="L9">
        <v>86</v>
      </c>
      <c r="M9">
        <v>110</v>
      </c>
      <c r="N9">
        <v>316</v>
      </c>
      <c r="O9">
        <v>0.16796875</v>
      </c>
      <c r="P9">
        <v>0.21484375</v>
      </c>
      <c r="Q9">
        <v>0.6171875</v>
      </c>
      <c r="R9">
        <v>512</v>
      </c>
      <c r="S9">
        <v>36</v>
      </c>
      <c r="T9">
        <v>15</v>
      </c>
      <c r="U9">
        <v>13</v>
      </c>
      <c r="V9">
        <v>0</v>
      </c>
      <c r="W9">
        <v>64</v>
      </c>
      <c r="X9">
        <v>254</v>
      </c>
      <c r="Y9">
        <v>18</v>
      </c>
      <c r="Z9">
        <v>5</v>
      </c>
      <c r="AA9">
        <v>5</v>
      </c>
      <c r="AB9">
        <v>0</v>
      </c>
      <c r="AC9">
        <v>28</v>
      </c>
      <c r="AD9">
        <v>258</v>
      </c>
      <c r="AE9">
        <v>18</v>
      </c>
      <c r="AF9">
        <v>10</v>
      </c>
      <c r="AG9">
        <v>8</v>
      </c>
      <c r="AH9">
        <v>0</v>
      </c>
      <c r="AI9">
        <v>36</v>
      </c>
      <c r="AJ9">
        <v>0.125</v>
      </c>
      <c r="AK9">
        <v>0.234375</v>
      </c>
      <c r="AL9">
        <v>0.203125</v>
      </c>
      <c r="AM9">
        <v>0</v>
      </c>
      <c r="AN9">
        <v>0.4375</v>
      </c>
      <c r="AO9">
        <v>0.5625</v>
      </c>
      <c r="AP9">
        <v>287</v>
      </c>
      <c r="AQ9">
        <v>110</v>
      </c>
      <c r="AR9">
        <v>0</v>
      </c>
      <c r="AS9">
        <v>0</v>
      </c>
      <c r="AT9">
        <v>24</v>
      </c>
      <c r="AU9">
        <v>34</v>
      </c>
      <c r="AV9">
        <v>1</v>
      </c>
      <c r="AW9">
        <v>5</v>
      </c>
      <c r="AX9">
        <v>9</v>
      </c>
      <c r="AY9">
        <v>18</v>
      </c>
      <c r="AZ9">
        <v>2</v>
      </c>
      <c r="BA9">
        <v>2</v>
      </c>
      <c r="BB9">
        <v>2</v>
      </c>
      <c r="BC9">
        <v>12</v>
      </c>
      <c r="BD9">
        <v>7</v>
      </c>
      <c r="BE9">
        <v>7</v>
      </c>
      <c r="BF9">
        <v>29</v>
      </c>
      <c r="BG9">
        <v>6</v>
      </c>
      <c r="BH9">
        <v>13</v>
      </c>
      <c r="BI9">
        <v>6</v>
      </c>
      <c r="BJ9">
        <v>0.38327526132404183</v>
      </c>
      <c r="BK9">
        <v>0</v>
      </c>
      <c r="BL9">
        <v>0</v>
      </c>
      <c r="BM9">
        <v>8.3623693379790948E-2</v>
      </c>
      <c r="BN9">
        <v>0.11846689895470383</v>
      </c>
      <c r="BO9">
        <v>3.4843205574912892E-3</v>
      </c>
      <c r="BP9">
        <v>1.7421602787456445E-2</v>
      </c>
      <c r="BQ9">
        <v>3.1358885017421602E-2</v>
      </c>
      <c r="BR9">
        <v>6.2717770034843204E-2</v>
      </c>
      <c r="BS9">
        <v>6.9686411149825784E-3</v>
      </c>
      <c r="BT9">
        <v>6.9686411149825784E-3</v>
      </c>
      <c r="BU9">
        <v>6.9686411149825784E-3</v>
      </c>
      <c r="BV9">
        <v>4.1811846689895474E-2</v>
      </c>
      <c r="BW9">
        <v>2.4390243902439025E-2</v>
      </c>
      <c r="BX9">
        <v>2.4390243902439025E-2</v>
      </c>
      <c r="BY9">
        <v>0.10104529616724739</v>
      </c>
      <c r="BZ9">
        <v>2.0905923344947737E-2</v>
      </c>
      <c r="CA9">
        <v>4.5296167247386762E-2</v>
      </c>
      <c r="CB9">
        <v>2.0905923344947737E-2</v>
      </c>
      <c r="CC9">
        <v>287</v>
      </c>
      <c r="CD9">
        <v>204</v>
      </c>
      <c r="CE9">
        <v>83</v>
      </c>
      <c r="CF9">
        <v>0</v>
      </c>
      <c r="CG9">
        <v>7</v>
      </c>
      <c r="CH9">
        <v>1</v>
      </c>
      <c r="CI9">
        <v>6</v>
      </c>
      <c r="CJ9">
        <v>0</v>
      </c>
      <c r="CK9">
        <v>0.71080139372822304</v>
      </c>
      <c r="CL9">
        <v>0.28919860627177701</v>
      </c>
      <c r="CM9">
        <v>0</v>
      </c>
      <c r="CN9">
        <v>0.14285714285714285</v>
      </c>
      <c r="CO9">
        <v>0.8571428571428571</v>
      </c>
      <c r="CP9">
        <v>0</v>
      </c>
    </row>
    <row r="10" spans="1:94" x14ac:dyDescent="0.15">
      <c r="A10" t="s">
        <v>437</v>
      </c>
      <c r="B10" t="s">
        <v>431</v>
      </c>
      <c r="C10" t="s">
        <v>438</v>
      </c>
      <c r="D10">
        <v>302</v>
      </c>
      <c r="E10">
        <v>200</v>
      </c>
      <c r="F10">
        <v>58</v>
      </c>
      <c r="G10">
        <v>68</v>
      </c>
      <c r="H10">
        <v>0.66225165562913912</v>
      </c>
      <c r="I10">
        <v>0.19205298013245034</v>
      </c>
      <c r="J10">
        <v>0.2251655629139073</v>
      </c>
      <c r="K10">
        <v>696</v>
      </c>
      <c r="L10">
        <v>137</v>
      </c>
      <c r="M10">
        <v>152</v>
      </c>
      <c r="N10">
        <v>399</v>
      </c>
      <c r="O10">
        <v>0.19683908045977011</v>
      </c>
      <c r="P10">
        <v>0.21839080459770116</v>
      </c>
      <c r="Q10">
        <v>0.57327586206896552</v>
      </c>
      <c r="R10">
        <v>696</v>
      </c>
      <c r="S10">
        <v>25</v>
      </c>
      <c r="T10">
        <v>49</v>
      </c>
      <c r="U10">
        <v>7</v>
      </c>
      <c r="V10">
        <v>0</v>
      </c>
      <c r="W10">
        <v>81</v>
      </c>
      <c r="X10">
        <v>321</v>
      </c>
      <c r="Y10">
        <v>17</v>
      </c>
      <c r="Z10">
        <v>21</v>
      </c>
      <c r="AA10">
        <v>4</v>
      </c>
      <c r="AB10">
        <v>0</v>
      </c>
      <c r="AC10">
        <v>42</v>
      </c>
      <c r="AD10">
        <v>375</v>
      </c>
      <c r="AE10">
        <v>8</v>
      </c>
      <c r="AF10">
        <v>28</v>
      </c>
      <c r="AG10">
        <v>3</v>
      </c>
      <c r="AH10">
        <v>0</v>
      </c>
      <c r="AI10">
        <v>39</v>
      </c>
      <c r="AJ10">
        <v>0.11637931034482758</v>
      </c>
      <c r="AK10">
        <v>0.60493827160493829</v>
      </c>
      <c r="AL10">
        <v>8.6419753086419748E-2</v>
      </c>
      <c r="AM10">
        <v>0</v>
      </c>
      <c r="AN10">
        <v>0.51851851851851849</v>
      </c>
      <c r="AO10">
        <v>0.48148148148148145</v>
      </c>
      <c r="AP10">
        <v>337</v>
      </c>
      <c r="AQ10">
        <v>99</v>
      </c>
      <c r="AR10">
        <v>0</v>
      </c>
      <c r="AS10">
        <v>0</v>
      </c>
      <c r="AT10">
        <v>27</v>
      </c>
      <c r="AU10">
        <v>37</v>
      </c>
      <c r="AV10">
        <v>1</v>
      </c>
      <c r="AW10">
        <v>3</v>
      </c>
      <c r="AX10">
        <v>10</v>
      </c>
      <c r="AY10">
        <v>38</v>
      </c>
      <c r="AZ10">
        <v>6</v>
      </c>
      <c r="BA10">
        <v>0</v>
      </c>
      <c r="BB10">
        <v>5</v>
      </c>
      <c r="BC10">
        <v>15</v>
      </c>
      <c r="BD10">
        <v>8</v>
      </c>
      <c r="BE10">
        <v>10</v>
      </c>
      <c r="BF10">
        <v>44</v>
      </c>
      <c r="BG10">
        <v>11</v>
      </c>
      <c r="BH10">
        <v>17</v>
      </c>
      <c r="BI10">
        <v>6</v>
      </c>
      <c r="BJ10">
        <v>0.29376854599406527</v>
      </c>
      <c r="BK10">
        <v>0</v>
      </c>
      <c r="BL10">
        <v>0</v>
      </c>
      <c r="BM10">
        <v>8.0118694362017809E-2</v>
      </c>
      <c r="BN10">
        <v>0.10979228486646884</v>
      </c>
      <c r="BO10">
        <v>2.967359050445104E-3</v>
      </c>
      <c r="BP10">
        <v>8.9020771513353119E-3</v>
      </c>
      <c r="BQ10">
        <v>2.967359050445104E-2</v>
      </c>
      <c r="BR10">
        <v>0.11275964391691394</v>
      </c>
      <c r="BS10">
        <v>1.7804154302670624E-2</v>
      </c>
      <c r="BT10">
        <v>0</v>
      </c>
      <c r="BU10">
        <v>1.483679525222552E-2</v>
      </c>
      <c r="BV10">
        <v>4.4510385756676561E-2</v>
      </c>
      <c r="BW10">
        <v>2.3738872403560832E-2</v>
      </c>
      <c r="BX10">
        <v>2.967359050445104E-2</v>
      </c>
      <c r="BY10">
        <v>0.13056379821958458</v>
      </c>
      <c r="BZ10">
        <v>3.2640949554896145E-2</v>
      </c>
      <c r="CA10">
        <v>5.0445103857566766E-2</v>
      </c>
      <c r="CB10">
        <v>1.7804154302670624E-2</v>
      </c>
      <c r="CC10">
        <v>337</v>
      </c>
      <c r="CD10">
        <v>216</v>
      </c>
      <c r="CE10">
        <v>117</v>
      </c>
      <c r="CF10">
        <v>0</v>
      </c>
      <c r="CG10">
        <v>17</v>
      </c>
      <c r="CH10">
        <v>3</v>
      </c>
      <c r="CI10">
        <v>13</v>
      </c>
      <c r="CJ10">
        <v>1</v>
      </c>
      <c r="CK10">
        <v>0.64094955489614247</v>
      </c>
      <c r="CL10">
        <v>0.34718100890207715</v>
      </c>
      <c r="CM10">
        <v>0</v>
      </c>
      <c r="CN10">
        <v>0.17647058823529413</v>
      </c>
      <c r="CO10">
        <v>0.76470588235294112</v>
      </c>
      <c r="CP10">
        <v>5.8823529411764705E-2</v>
      </c>
    </row>
    <row r="11" spans="1:94" x14ac:dyDescent="0.15">
      <c r="A11" t="s">
        <v>439</v>
      </c>
      <c r="B11" t="s">
        <v>431</v>
      </c>
      <c r="C11" t="s">
        <v>440</v>
      </c>
      <c r="D11">
        <v>292</v>
      </c>
      <c r="E11">
        <v>155</v>
      </c>
      <c r="F11">
        <v>54</v>
      </c>
      <c r="G11">
        <v>47</v>
      </c>
      <c r="H11">
        <v>0.53082191780821919</v>
      </c>
      <c r="I11">
        <v>0.18493150684931506</v>
      </c>
      <c r="J11">
        <v>0.16095890410958905</v>
      </c>
      <c r="K11">
        <v>701</v>
      </c>
      <c r="L11">
        <v>87</v>
      </c>
      <c r="M11">
        <v>285</v>
      </c>
      <c r="N11">
        <v>323</v>
      </c>
      <c r="O11">
        <v>0.12410841654778887</v>
      </c>
      <c r="P11">
        <v>0.4065620542082739</v>
      </c>
      <c r="Q11">
        <v>0.4607703281027104</v>
      </c>
      <c r="R11">
        <v>701</v>
      </c>
      <c r="S11">
        <v>84</v>
      </c>
      <c r="T11">
        <v>47</v>
      </c>
      <c r="U11">
        <v>18</v>
      </c>
      <c r="V11">
        <v>8</v>
      </c>
      <c r="W11">
        <v>157</v>
      </c>
      <c r="X11">
        <v>323</v>
      </c>
      <c r="Y11">
        <v>36</v>
      </c>
      <c r="Z11">
        <v>25</v>
      </c>
      <c r="AA11">
        <v>10</v>
      </c>
      <c r="AB11">
        <v>6</v>
      </c>
      <c r="AC11">
        <v>77</v>
      </c>
      <c r="AD11">
        <v>378</v>
      </c>
      <c r="AE11">
        <v>48</v>
      </c>
      <c r="AF11">
        <v>22</v>
      </c>
      <c r="AG11">
        <v>8</v>
      </c>
      <c r="AH11">
        <v>2</v>
      </c>
      <c r="AI11">
        <v>80</v>
      </c>
      <c r="AJ11">
        <v>0.2239657631954351</v>
      </c>
      <c r="AK11">
        <v>0.29936305732484075</v>
      </c>
      <c r="AL11">
        <v>0.11464968152866242</v>
      </c>
      <c r="AM11">
        <v>5.0955414012738856E-2</v>
      </c>
      <c r="AN11">
        <v>0.49044585987261147</v>
      </c>
      <c r="AO11">
        <v>0.50955414012738853</v>
      </c>
      <c r="AP11">
        <v>324</v>
      </c>
      <c r="AQ11">
        <v>50</v>
      </c>
      <c r="AR11">
        <v>0</v>
      </c>
      <c r="AS11">
        <v>0</v>
      </c>
      <c r="AT11">
        <v>33</v>
      </c>
      <c r="AU11">
        <v>42</v>
      </c>
      <c r="AV11">
        <v>0</v>
      </c>
      <c r="AW11">
        <v>2</v>
      </c>
      <c r="AX11">
        <v>7</v>
      </c>
      <c r="AY11">
        <v>31</v>
      </c>
      <c r="AZ11">
        <v>3</v>
      </c>
      <c r="BA11">
        <v>3</v>
      </c>
      <c r="BB11">
        <v>6</v>
      </c>
      <c r="BC11">
        <v>15</v>
      </c>
      <c r="BD11">
        <v>15</v>
      </c>
      <c r="BE11">
        <v>14</v>
      </c>
      <c r="BF11">
        <v>59</v>
      </c>
      <c r="BG11">
        <v>7</v>
      </c>
      <c r="BH11">
        <v>17</v>
      </c>
      <c r="BI11">
        <v>18</v>
      </c>
      <c r="BJ11">
        <v>0.15432098765432098</v>
      </c>
      <c r="BK11">
        <v>0</v>
      </c>
      <c r="BL11">
        <v>0</v>
      </c>
      <c r="BM11">
        <v>0.10185185185185185</v>
      </c>
      <c r="BN11">
        <v>0.12962962962962962</v>
      </c>
      <c r="BO11">
        <v>0</v>
      </c>
      <c r="BP11">
        <v>6.1728395061728392E-3</v>
      </c>
      <c r="BQ11">
        <v>2.1604938271604937E-2</v>
      </c>
      <c r="BR11">
        <v>9.5679012345679007E-2</v>
      </c>
      <c r="BS11">
        <v>9.2592592592592587E-3</v>
      </c>
      <c r="BT11">
        <v>9.2592592592592587E-3</v>
      </c>
      <c r="BU11">
        <v>1.8518518518518517E-2</v>
      </c>
      <c r="BV11">
        <v>4.6296296296296294E-2</v>
      </c>
      <c r="BW11">
        <v>4.6296296296296294E-2</v>
      </c>
      <c r="BX11">
        <v>4.3209876543209874E-2</v>
      </c>
      <c r="BY11">
        <v>0.18209876543209877</v>
      </c>
      <c r="BZ11">
        <v>2.1604938271604937E-2</v>
      </c>
      <c r="CA11">
        <v>5.2469135802469133E-2</v>
      </c>
      <c r="CB11">
        <v>5.5555555555555552E-2</v>
      </c>
      <c r="CC11">
        <v>324</v>
      </c>
      <c r="CD11">
        <v>195</v>
      </c>
      <c r="CE11">
        <v>126</v>
      </c>
      <c r="CF11">
        <v>2</v>
      </c>
      <c r="CG11">
        <v>30</v>
      </c>
      <c r="CH11">
        <v>7</v>
      </c>
      <c r="CI11">
        <v>22</v>
      </c>
      <c r="CJ11">
        <v>1</v>
      </c>
      <c r="CK11">
        <v>0.60185185185185186</v>
      </c>
      <c r="CL11">
        <v>0.3888888888888889</v>
      </c>
      <c r="CM11">
        <v>6.1728395061728392E-3</v>
      </c>
      <c r="CN11">
        <v>0.23333333333333334</v>
      </c>
      <c r="CO11">
        <v>0.73333333333333328</v>
      </c>
      <c r="CP11">
        <v>3.3333333333333333E-2</v>
      </c>
    </row>
    <row r="12" spans="1:94" x14ac:dyDescent="0.15">
      <c r="A12" t="s">
        <v>441</v>
      </c>
      <c r="B12" t="s">
        <v>431</v>
      </c>
      <c r="C12" t="s">
        <v>442</v>
      </c>
      <c r="D12">
        <v>313</v>
      </c>
      <c r="E12">
        <v>180</v>
      </c>
      <c r="F12">
        <v>66</v>
      </c>
      <c r="G12">
        <v>55</v>
      </c>
      <c r="H12">
        <v>0.57507987220447288</v>
      </c>
      <c r="I12">
        <v>0.2108626198083067</v>
      </c>
      <c r="J12">
        <v>0.1757188498402556</v>
      </c>
      <c r="K12">
        <v>752</v>
      </c>
      <c r="L12">
        <v>102</v>
      </c>
      <c r="M12">
        <v>238</v>
      </c>
      <c r="N12">
        <v>408</v>
      </c>
      <c r="O12">
        <v>0.13563829787234041</v>
      </c>
      <c r="P12">
        <v>0.31648936170212766</v>
      </c>
      <c r="Q12">
        <v>0.54255319148936165</v>
      </c>
      <c r="R12">
        <v>752</v>
      </c>
      <c r="S12">
        <v>59</v>
      </c>
      <c r="T12">
        <v>43</v>
      </c>
      <c r="U12">
        <v>22</v>
      </c>
      <c r="V12">
        <v>0</v>
      </c>
      <c r="W12">
        <v>124</v>
      </c>
      <c r="X12">
        <v>355</v>
      </c>
      <c r="Y12">
        <v>26</v>
      </c>
      <c r="Z12">
        <v>22</v>
      </c>
      <c r="AA12">
        <v>13</v>
      </c>
      <c r="AB12">
        <v>0</v>
      </c>
      <c r="AC12">
        <v>61</v>
      </c>
      <c r="AD12">
        <v>397</v>
      </c>
      <c r="AE12">
        <v>33</v>
      </c>
      <c r="AF12">
        <v>21</v>
      </c>
      <c r="AG12">
        <v>9</v>
      </c>
      <c r="AH12">
        <v>0</v>
      </c>
      <c r="AI12">
        <v>63</v>
      </c>
      <c r="AJ12">
        <v>0.16489361702127658</v>
      </c>
      <c r="AK12">
        <v>0.34677419354838712</v>
      </c>
      <c r="AL12">
        <v>0.17741935483870969</v>
      </c>
      <c r="AM12">
        <v>0</v>
      </c>
      <c r="AN12">
        <v>0.49193548387096775</v>
      </c>
      <c r="AO12">
        <v>0.50806451612903225</v>
      </c>
      <c r="AP12">
        <v>390</v>
      </c>
      <c r="AQ12">
        <v>86</v>
      </c>
      <c r="AR12">
        <v>0</v>
      </c>
      <c r="AS12">
        <v>0</v>
      </c>
      <c r="AT12">
        <v>38</v>
      </c>
      <c r="AU12">
        <v>54</v>
      </c>
      <c r="AV12">
        <v>0</v>
      </c>
      <c r="AW12">
        <v>4</v>
      </c>
      <c r="AX12">
        <v>11</v>
      </c>
      <c r="AY12">
        <v>39</v>
      </c>
      <c r="AZ12">
        <v>3</v>
      </c>
      <c r="BA12">
        <v>5</v>
      </c>
      <c r="BB12">
        <v>5</v>
      </c>
      <c r="BC12">
        <v>15</v>
      </c>
      <c r="BD12">
        <v>8</v>
      </c>
      <c r="BE12">
        <v>14</v>
      </c>
      <c r="BF12">
        <v>58</v>
      </c>
      <c r="BG12">
        <v>14</v>
      </c>
      <c r="BH12">
        <v>25</v>
      </c>
      <c r="BI12">
        <v>11</v>
      </c>
      <c r="BJ12">
        <v>0.22051282051282051</v>
      </c>
      <c r="BK12">
        <v>0</v>
      </c>
      <c r="BL12">
        <v>0</v>
      </c>
      <c r="BM12">
        <v>9.7435897435897437E-2</v>
      </c>
      <c r="BN12">
        <v>0.13846153846153847</v>
      </c>
      <c r="BO12">
        <v>0</v>
      </c>
      <c r="BP12">
        <v>1.0256410256410256E-2</v>
      </c>
      <c r="BQ12">
        <v>2.8205128205128206E-2</v>
      </c>
      <c r="BR12">
        <v>0.1</v>
      </c>
      <c r="BS12">
        <v>7.6923076923076927E-3</v>
      </c>
      <c r="BT12">
        <v>1.282051282051282E-2</v>
      </c>
      <c r="BU12">
        <v>1.282051282051282E-2</v>
      </c>
      <c r="BV12">
        <v>3.8461538461538464E-2</v>
      </c>
      <c r="BW12">
        <v>2.0512820512820513E-2</v>
      </c>
      <c r="BX12">
        <v>3.5897435897435895E-2</v>
      </c>
      <c r="BY12">
        <v>0.14871794871794872</v>
      </c>
      <c r="BZ12">
        <v>3.5897435897435895E-2</v>
      </c>
      <c r="CA12">
        <v>6.4102564102564097E-2</v>
      </c>
      <c r="CB12">
        <v>2.8205128205128206E-2</v>
      </c>
      <c r="CC12">
        <v>390</v>
      </c>
      <c r="CD12">
        <v>222</v>
      </c>
      <c r="CE12">
        <v>165</v>
      </c>
      <c r="CF12">
        <v>1</v>
      </c>
      <c r="CG12">
        <v>26</v>
      </c>
      <c r="CH12">
        <v>3</v>
      </c>
      <c r="CI12">
        <v>20</v>
      </c>
      <c r="CJ12">
        <v>2</v>
      </c>
      <c r="CK12">
        <v>0.56923076923076921</v>
      </c>
      <c r="CL12">
        <v>0.42307692307692307</v>
      </c>
      <c r="CM12">
        <v>2.5641025641025641E-3</v>
      </c>
      <c r="CN12">
        <v>0.11538461538461539</v>
      </c>
      <c r="CO12">
        <v>0.76923076923076927</v>
      </c>
      <c r="CP12">
        <v>7.6923076923076927E-2</v>
      </c>
    </row>
    <row r="13" spans="1:94" x14ac:dyDescent="0.15">
      <c r="A13" t="s">
        <v>443</v>
      </c>
      <c r="B13" t="s">
        <v>431</v>
      </c>
      <c r="C13" t="s">
        <v>444</v>
      </c>
      <c r="D13">
        <v>177</v>
      </c>
      <c r="E13">
        <v>84</v>
      </c>
      <c r="F13">
        <v>35</v>
      </c>
      <c r="G13">
        <v>16</v>
      </c>
      <c r="H13">
        <v>0.47457627118644069</v>
      </c>
      <c r="I13">
        <v>0.19774011299435029</v>
      </c>
      <c r="J13">
        <v>9.03954802259887E-2</v>
      </c>
      <c r="K13">
        <v>452</v>
      </c>
      <c r="L13">
        <v>75</v>
      </c>
      <c r="M13">
        <v>136</v>
      </c>
      <c r="N13">
        <v>241</v>
      </c>
      <c r="O13">
        <v>0.16592920353982302</v>
      </c>
      <c r="P13">
        <v>0.30088495575221241</v>
      </c>
      <c r="Q13">
        <v>0.5331858407079646</v>
      </c>
      <c r="R13">
        <v>452</v>
      </c>
      <c r="S13">
        <v>23</v>
      </c>
      <c r="T13">
        <v>37</v>
      </c>
      <c r="U13">
        <v>9</v>
      </c>
      <c r="V13">
        <v>0</v>
      </c>
      <c r="W13">
        <v>69</v>
      </c>
      <c r="X13">
        <v>228</v>
      </c>
      <c r="Y13">
        <v>14</v>
      </c>
      <c r="Z13">
        <v>18</v>
      </c>
      <c r="AA13">
        <v>6</v>
      </c>
      <c r="AB13">
        <v>0</v>
      </c>
      <c r="AC13">
        <v>38</v>
      </c>
      <c r="AD13">
        <v>224</v>
      </c>
      <c r="AE13">
        <v>9</v>
      </c>
      <c r="AF13">
        <v>19</v>
      </c>
      <c r="AG13">
        <v>3</v>
      </c>
      <c r="AH13">
        <v>0</v>
      </c>
      <c r="AI13">
        <v>31</v>
      </c>
      <c r="AJ13">
        <v>0.15265486725663716</v>
      </c>
      <c r="AK13">
        <v>0.53623188405797106</v>
      </c>
      <c r="AL13">
        <v>0.13043478260869565</v>
      </c>
      <c r="AM13">
        <v>0</v>
      </c>
      <c r="AN13">
        <v>0.55072463768115942</v>
      </c>
      <c r="AO13">
        <v>0.44927536231884058</v>
      </c>
      <c r="AP13">
        <v>242</v>
      </c>
      <c r="AQ13">
        <v>61</v>
      </c>
      <c r="AR13">
        <v>0</v>
      </c>
      <c r="AS13">
        <v>0</v>
      </c>
      <c r="AT13">
        <v>28</v>
      </c>
      <c r="AU13">
        <v>28</v>
      </c>
      <c r="AV13">
        <v>3</v>
      </c>
      <c r="AW13">
        <v>0</v>
      </c>
      <c r="AX13">
        <v>15</v>
      </c>
      <c r="AY13">
        <v>13</v>
      </c>
      <c r="AZ13">
        <v>3</v>
      </c>
      <c r="BA13">
        <v>0</v>
      </c>
      <c r="BB13">
        <v>2</v>
      </c>
      <c r="BC13">
        <v>4</v>
      </c>
      <c r="BD13">
        <v>7</v>
      </c>
      <c r="BE13">
        <v>6</v>
      </c>
      <c r="BF13">
        <v>39</v>
      </c>
      <c r="BG13">
        <v>3</v>
      </c>
      <c r="BH13">
        <v>13</v>
      </c>
      <c r="BI13">
        <v>15</v>
      </c>
      <c r="BJ13">
        <v>0.25206611570247933</v>
      </c>
      <c r="BK13">
        <v>0</v>
      </c>
      <c r="BL13">
        <v>0</v>
      </c>
      <c r="BM13">
        <v>0.11570247933884298</v>
      </c>
      <c r="BN13">
        <v>0.11570247933884298</v>
      </c>
      <c r="BO13">
        <v>1.2396694214876033E-2</v>
      </c>
      <c r="BP13">
        <v>0</v>
      </c>
      <c r="BQ13">
        <v>6.1983471074380167E-2</v>
      </c>
      <c r="BR13">
        <v>5.3719008264462811E-2</v>
      </c>
      <c r="BS13">
        <v>1.2396694214876033E-2</v>
      </c>
      <c r="BT13">
        <v>0</v>
      </c>
      <c r="BU13">
        <v>8.2644628099173556E-3</v>
      </c>
      <c r="BV13">
        <v>1.6528925619834711E-2</v>
      </c>
      <c r="BW13">
        <v>2.8925619834710745E-2</v>
      </c>
      <c r="BX13">
        <v>2.4793388429752067E-2</v>
      </c>
      <c r="BY13">
        <v>0.16115702479338842</v>
      </c>
      <c r="BZ13">
        <v>1.2396694214876033E-2</v>
      </c>
      <c r="CA13">
        <v>5.3719008264462811E-2</v>
      </c>
      <c r="CB13">
        <v>6.1983471074380167E-2</v>
      </c>
      <c r="CC13">
        <v>242</v>
      </c>
      <c r="CD13">
        <v>141</v>
      </c>
      <c r="CE13">
        <v>98</v>
      </c>
      <c r="CF13">
        <v>1</v>
      </c>
      <c r="CG13">
        <v>21</v>
      </c>
      <c r="CH13">
        <v>7</v>
      </c>
      <c r="CI13">
        <v>14</v>
      </c>
      <c r="CJ13">
        <v>0</v>
      </c>
      <c r="CK13">
        <v>0.5826446280991735</v>
      </c>
      <c r="CL13">
        <v>0.4049586776859504</v>
      </c>
      <c r="CM13">
        <v>4.1322314049586778E-3</v>
      </c>
      <c r="CN13">
        <v>0.33333333333333331</v>
      </c>
      <c r="CO13">
        <v>0.66666666666666663</v>
      </c>
      <c r="CP13">
        <v>0</v>
      </c>
    </row>
    <row r="14" spans="1:94" x14ac:dyDescent="0.15">
      <c r="A14" t="s">
        <v>445</v>
      </c>
      <c r="B14" t="s">
        <v>431</v>
      </c>
      <c r="C14" t="s">
        <v>446</v>
      </c>
      <c r="D14">
        <v>362</v>
      </c>
      <c r="E14">
        <v>128</v>
      </c>
      <c r="F14">
        <v>54</v>
      </c>
      <c r="G14">
        <v>35</v>
      </c>
      <c r="H14">
        <v>0.35359116022099446</v>
      </c>
      <c r="I14">
        <v>0.14917127071823205</v>
      </c>
      <c r="J14">
        <v>9.668508287292818E-2</v>
      </c>
      <c r="K14">
        <v>912</v>
      </c>
      <c r="L14">
        <v>129</v>
      </c>
      <c r="M14">
        <v>376</v>
      </c>
      <c r="N14">
        <v>394</v>
      </c>
      <c r="O14">
        <v>0.14144736842105263</v>
      </c>
      <c r="P14">
        <v>0.41228070175438597</v>
      </c>
      <c r="Q14">
        <v>0.43201754385964913</v>
      </c>
      <c r="R14">
        <v>912</v>
      </c>
      <c r="S14">
        <v>87</v>
      </c>
      <c r="T14">
        <v>102</v>
      </c>
      <c r="U14">
        <v>40</v>
      </c>
      <c r="V14">
        <v>0</v>
      </c>
      <c r="W14">
        <v>229</v>
      </c>
      <c r="X14">
        <v>424</v>
      </c>
      <c r="Y14">
        <v>41</v>
      </c>
      <c r="Z14">
        <v>47</v>
      </c>
      <c r="AA14">
        <v>21</v>
      </c>
      <c r="AB14">
        <v>0</v>
      </c>
      <c r="AC14">
        <v>109</v>
      </c>
      <c r="AD14">
        <v>488</v>
      </c>
      <c r="AE14">
        <v>46</v>
      </c>
      <c r="AF14">
        <v>55</v>
      </c>
      <c r="AG14">
        <v>19</v>
      </c>
      <c r="AH14">
        <v>0</v>
      </c>
      <c r="AI14">
        <v>120</v>
      </c>
      <c r="AJ14">
        <v>0.25109649122807015</v>
      </c>
      <c r="AK14">
        <v>0.44541484716157204</v>
      </c>
      <c r="AL14">
        <v>0.17467248908296942</v>
      </c>
      <c r="AM14">
        <v>0</v>
      </c>
      <c r="AN14">
        <v>0.4759825327510917</v>
      </c>
      <c r="AO14">
        <v>0.5240174672489083</v>
      </c>
      <c r="AP14">
        <v>461</v>
      </c>
      <c r="AQ14">
        <v>57</v>
      </c>
      <c r="AR14">
        <v>0</v>
      </c>
      <c r="AS14">
        <v>1</v>
      </c>
      <c r="AT14">
        <v>33</v>
      </c>
      <c r="AU14">
        <v>76</v>
      </c>
      <c r="AV14">
        <v>0</v>
      </c>
      <c r="AW14">
        <v>6</v>
      </c>
      <c r="AX14">
        <v>17</v>
      </c>
      <c r="AY14">
        <v>66</v>
      </c>
      <c r="AZ14">
        <v>12</v>
      </c>
      <c r="BA14">
        <v>4</v>
      </c>
      <c r="BB14">
        <v>6</v>
      </c>
      <c r="BC14">
        <v>20</v>
      </c>
      <c r="BD14">
        <v>8</v>
      </c>
      <c r="BE14">
        <v>21</v>
      </c>
      <c r="BF14">
        <v>74</v>
      </c>
      <c r="BG14">
        <v>9</v>
      </c>
      <c r="BH14">
        <v>32</v>
      </c>
      <c r="BI14">
        <v>16</v>
      </c>
      <c r="BJ14">
        <v>0.12364425162689804</v>
      </c>
      <c r="BK14">
        <v>0</v>
      </c>
      <c r="BL14">
        <v>2.1691973969631237E-3</v>
      </c>
      <c r="BM14">
        <v>7.1583514099783085E-2</v>
      </c>
      <c r="BN14">
        <v>0.16485900216919741</v>
      </c>
      <c r="BO14">
        <v>0</v>
      </c>
      <c r="BP14">
        <v>1.3015184381778741E-2</v>
      </c>
      <c r="BQ14">
        <v>3.6876355748373099E-2</v>
      </c>
      <c r="BR14">
        <v>0.14316702819956617</v>
      </c>
      <c r="BS14">
        <v>2.6030368763557483E-2</v>
      </c>
      <c r="BT14">
        <v>8.6767895878524948E-3</v>
      </c>
      <c r="BU14">
        <v>1.3015184381778741E-2</v>
      </c>
      <c r="BV14">
        <v>4.3383947939262472E-2</v>
      </c>
      <c r="BW14">
        <v>1.735357917570499E-2</v>
      </c>
      <c r="BX14">
        <v>4.5553145336225599E-2</v>
      </c>
      <c r="BY14">
        <v>0.16052060737527116</v>
      </c>
      <c r="BZ14">
        <v>1.9522776572668113E-2</v>
      </c>
      <c r="CA14">
        <v>6.9414316702819959E-2</v>
      </c>
      <c r="CB14">
        <v>3.4707158351409979E-2</v>
      </c>
      <c r="CC14">
        <v>461</v>
      </c>
      <c r="CD14">
        <v>248</v>
      </c>
      <c r="CE14">
        <v>206</v>
      </c>
      <c r="CF14">
        <v>5</v>
      </c>
      <c r="CG14">
        <v>40</v>
      </c>
      <c r="CH14">
        <v>8</v>
      </c>
      <c r="CI14">
        <v>32</v>
      </c>
      <c r="CJ14">
        <v>0</v>
      </c>
      <c r="CK14">
        <v>0.53796095444685466</v>
      </c>
      <c r="CL14">
        <v>0.44685466377440347</v>
      </c>
      <c r="CM14">
        <v>1.0845986984815618E-2</v>
      </c>
      <c r="CN14">
        <v>0.2</v>
      </c>
      <c r="CO14">
        <v>0.8</v>
      </c>
      <c r="CP14">
        <v>0</v>
      </c>
    </row>
    <row r="15" spans="1:94" x14ac:dyDescent="0.15">
      <c r="A15" t="s">
        <v>447</v>
      </c>
      <c r="B15" t="s">
        <v>431</v>
      </c>
      <c r="C15" t="s">
        <v>448</v>
      </c>
      <c r="D15" s="202">
        <v>198</v>
      </c>
      <c r="E15" s="202">
        <v>102</v>
      </c>
      <c r="F15" s="202">
        <v>38</v>
      </c>
      <c r="G15" s="202">
        <v>28</v>
      </c>
      <c r="H15" s="202">
        <v>0.51515151515151514</v>
      </c>
      <c r="I15" s="202">
        <v>0.19191919191919191</v>
      </c>
      <c r="J15" s="202">
        <v>0.14141414141414141</v>
      </c>
      <c r="K15" s="202">
        <v>484</v>
      </c>
      <c r="L15" s="202">
        <v>63</v>
      </c>
      <c r="M15" s="202">
        <v>180</v>
      </c>
      <c r="N15" s="202">
        <v>213</v>
      </c>
      <c r="O15" s="202">
        <v>0.13016528925619836</v>
      </c>
      <c r="P15" s="202">
        <v>0.37190082644628097</v>
      </c>
      <c r="Q15" s="202">
        <v>0.44008264462809915</v>
      </c>
      <c r="R15" s="202">
        <v>484</v>
      </c>
      <c r="S15" s="202">
        <v>76</v>
      </c>
      <c r="T15" s="202">
        <v>21</v>
      </c>
      <c r="U15" s="202">
        <v>22</v>
      </c>
      <c r="V15" s="202">
        <v>0</v>
      </c>
      <c r="W15" s="202">
        <v>119</v>
      </c>
      <c r="X15" s="202">
        <v>223</v>
      </c>
      <c r="Y15" s="202">
        <v>30</v>
      </c>
      <c r="Z15" s="202">
        <v>9</v>
      </c>
      <c r="AA15" s="202">
        <v>11</v>
      </c>
      <c r="AB15" s="202">
        <v>0</v>
      </c>
      <c r="AC15" s="202">
        <v>50</v>
      </c>
      <c r="AD15" s="202">
        <v>261</v>
      </c>
      <c r="AE15" s="202">
        <v>46</v>
      </c>
      <c r="AF15" s="202">
        <v>12</v>
      </c>
      <c r="AG15" s="202">
        <v>11</v>
      </c>
      <c r="AH15" s="202">
        <v>0</v>
      </c>
      <c r="AI15" s="202">
        <v>69</v>
      </c>
      <c r="AJ15" s="202">
        <v>0.24586776859504134</v>
      </c>
      <c r="AK15" s="202">
        <v>0.17647058823529413</v>
      </c>
      <c r="AL15" s="202">
        <v>0.18487394957983194</v>
      </c>
      <c r="AM15" s="202">
        <v>0</v>
      </c>
      <c r="AN15" s="202">
        <v>0.42016806722689076</v>
      </c>
      <c r="AO15" s="202">
        <v>0.57983193277310929</v>
      </c>
      <c r="AP15" s="202">
        <v>238</v>
      </c>
      <c r="AQ15" s="202">
        <v>29</v>
      </c>
      <c r="AR15" s="202">
        <v>0</v>
      </c>
      <c r="AS15" s="202">
        <v>0</v>
      </c>
      <c r="AT15" s="202">
        <v>18</v>
      </c>
      <c r="AU15" s="202">
        <v>43</v>
      </c>
      <c r="AV15" s="202">
        <v>0</v>
      </c>
      <c r="AW15" s="202">
        <v>0</v>
      </c>
      <c r="AX15" s="202">
        <v>5</v>
      </c>
      <c r="AY15" s="202">
        <v>35</v>
      </c>
      <c r="AZ15" s="202">
        <v>0</v>
      </c>
      <c r="BA15" s="202">
        <v>5</v>
      </c>
      <c r="BB15" s="202">
        <v>0</v>
      </c>
      <c r="BC15" s="202">
        <v>12</v>
      </c>
      <c r="BD15" s="202">
        <v>3</v>
      </c>
      <c r="BE15" s="202">
        <v>11</v>
      </c>
      <c r="BF15" s="202">
        <v>42</v>
      </c>
      <c r="BG15" s="202">
        <v>7</v>
      </c>
      <c r="BH15" s="202">
        <v>12</v>
      </c>
      <c r="BI15" s="202">
        <v>10</v>
      </c>
      <c r="BJ15" s="202">
        <v>0.12184873949579832</v>
      </c>
      <c r="BK15" s="202">
        <v>0</v>
      </c>
      <c r="BL15" s="202">
        <v>0</v>
      </c>
      <c r="BM15" s="202">
        <v>7.5630252100840331E-2</v>
      </c>
      <c r="BN15" s="202">
        <v>0.18067226890756302</v>
      </c>
      <c r="BO15" s="202">
        <v>0</v>
      </c>
      <c r="BP15" s="202">
        <v>0</v>
      </c>
      <c r="BQ15" s="202">
        <v>2.100840336134454E-2</v>
      </c>
      <c r="BR15" s="202">
        <v>0.14705882352941177</v>
      </c>
      <c r="BS15" s="202">
        <v>0</v>
      </c>
      <c r="BT15" s="202">
        <v>2.100840336134454E-2</v>
      </c>
      <c r="BU15" s="202">
        <v>0</v>
      </c>
      <c r="BV15" s="202">
        <v>5.0420168067226892E-2</v>
      </c>
      <c r="BW15" s="202">
        <v>1.2605042016806723E-2</v>
      </c>
      <c r="BX15" s="202">
        <v>4.6218487394957986E-2</v>
      </c>
      <c r="BY15" s="202">
        <v>0.17647058823529413</v>
      </c>
      <c r="BZ15" s="202">
        <v>2.9411764705882353E-2</v>
      </c>
      <c r="CA15" s="202">
        <v>5.0420168067226892E-2</v>
      </c>
      <c r="CB15" s="202">
        <v>4.2016806722689079E-2</v>
      </c>
      <c r="CC15" s="202">
        <v>238</v>
      </c>
      <c r="CD15" s="202">
        <v>144</v>
      </c>
      <c r="CE15" s="202">
        <v>91</v>
      </c>
      <c r="CF15" s="202">
        <v>0</v>
      </c>
      <c r="CG15" s="202">
        <v>11</v>
      </c>
      <c r="CH15" s="202">
        <v>0</v>
      </c>
      <c r="CI15" s="202">
        <v>11</v>
      </c>
      <c r="CJ15" s="202">
        <v>0</v>
      </c>
      <c r="CK15" s="202">
        <v>0.60504201680672265</v>
      </c>
      <c r="CL15" s="202">
        <v>0.38235294117647056</v>
      </c>
      <c r="CM15" s="202">
        <v>0</v>
      </c>
      <c r="CN15" s="202">
        <v>0</v>
      </c>
      <c r="CO15" s="202">
        <v>1</v>
      </c>
      <c r="CP15" s="202">
        <v>0</v>
      </c>
    </row>
    <row r="16" spans="1:94" x14ac:dyDescent="0.15">
      <c r="A16" t="s">
        <v>449</v>
      </c>
      <c r="B16" t="s">
        <v>431</v>
      </c>
      <c r="C16" t="s">
        <v>450</v>
      </c>
      <c r="D16">
        <v>122</v>
      </c>
      <c r="E16">
        <v>68</v>
      </c>
      <c r="F16">
        <v>22</v>
      </c>
      <c r="G16">
        <v>22</v>
      </c>
      <c r="H16">
        <v>0.55737704918032782</v>
      </c>
      <c r="I16">
        <v>0.18032786885245902</v>
      </c>
      <c r="J16">
        <v>0.18032786885245902</v>
      </c>
      <c r="K16">
        <v>300</v>
      </c>
      <c r="L16">
        <v>40</v>
      </c>
      <c r="M16">
        <v>68</v>
      </c>
      <c r="N16">
        <v>169</v>
      </c>
      <c r="O16">
        <v>0.13333333333333333</v>
      </c>
      <c r="P16">
        <v>0.22666666666666666</v>
      </c>
      <c r="Q16">
        <v>0.56333333333333335</v>
      </c>
      <c r="R16">
        <v>300</v>
      </c>
      <c r="S16">
        <v>23</v>
      </c>
      <c r="T16">
        <v>7</v>
      </c>
      <c r="U16">
        <v>2</v>
      </c>
      <c r="V16">
        <v>0</v>
      </c>
      <c r="W16">
        <v>32</v>
      </c>
      <c r="X16">
        <v>144</v>
      </c>
      <c r="Y16">
        <v>9</v>
      </c>
      <c r="Z16">
        <v>4</v>
      </c>
      <c r="AA16">
        <v>2</v>
      </c>
      <c r="AB16">
        <v>0</v>
      </c>
      <c r="AC16">
        <v>15</v>
      </c>
      <c r="AD16">
        <v>156</v>
      </c>
      <c r="AE16">
        <v>14</v>
      </c>
      <c r="AF16">
        <v>3</v>
      </c>
      <c r="AG16">
        <v>0</v>
      </c>
      <c r="AH16">
        <v>0</v>
      </c>
      <c r="AI16">
        <v>17</v>
      </c>
      <c r="AJ16">
        <v>0.10666666666666667</v>
      </c>
      <c r="AK16">
        <v>0.21875</v>
      </c>
      <c r="AL16">
        <v>6.25E-2</v>
      </c>
      <c r="AM16">
        <v>0</v>
      </c>
      <c r="AN16">
        <v>0.46875</v>
      </c>
      <c r="AO16">
        <v>0.53125</v>
      </c>
      <c r="AP16">
        <v>131</v>
      </c>
      <c r="AQ16">
        <v>10</v>
      </c>
      <c r="AR16">
        <v>0</v>
      </c>
      <c r="AS16">
        <v>0</v>
      </c>
      <c r="AT16">
        <v>15</v>
      </c>
      <c r="AU16">
        <v>22</v>
      </c>
      <c r="AV16">
        <v>1</v>
      </c>
      <c r="AW16">
        <v>1</v>
      </c>
      <c r="AX16">
        <v>8</v>
      </c>
      <c r="AY16">
        <v>22</v>
      </c>
      <c r="AZ16">
        <v>1</v>
      </c>
      <c r="BA16">
        <v>1</v>
      </c>
      <c r="BB16">
        <v>0</v>
      </c>
      <c r="BC16">
        <v>3</v>
      </c>
      <c r="BD16">
        <v>3</v>
      </c>
      <c r="BE16">
        <v>4</v>
      </c>
      <c r="BF16">
        <v>21</v>
      </c>
      <c r="BG16">
        <v>2</v>
      </c>
      <c r="BH16">
        <v>13</v>
      </c>
      <c r="BI16">
        <v>4</v>
      </c>
      <c r="BJ16">
        <v>7.6335877862595422E-2</v>
      </c>
      <c r="BK16">
        <v>0</v>
      </c>
      <c r="BL16">
        <v>0</v>
      </c>
      <c r="BM16">
        <v>0.11450381679389313</v>
      </c>
      <c r="BN16">
        <v>0.16793893129770993</v>
      </c>
      <c r="BO16">
        <v>7.6335877862595417E-3</v>
      </c>
      <c r="BP16">
        <v>7.6335877862595417E-3</v>
      </c>
      <c r="BQ16">
        <v>6.1068702290076333E-2</v>
      </c>
      <c r="BR16">
        <v>0.16793893129770993</v>
      </c>
      <c r="BS16">
        <v>7.6335877862595417E-3</v>
      </c>
      <c r="BT16">
        <v>7.6335877862595417E-3</v>
      </c>
      <c r="BU16">
        <v>0</v>
      </c>
      <c r="BV16">
        <v>2.2900763358778626E-2</v>
      </c>
      <c r="BW16">
        <v>2.2900763358778626E-2</v>
      </c>
      <c r="BX16">
        <v>3.0534351145038167E-2</v>
      </c>
      <c r="BY16">
        <v>0.16030534351145037</v>
      </c>
      <c r="BZ16">
        <v>1.5267175572519083E-2</v>
      </c>
      <c r="CA16">
        <v>9.9236641221374045E-2</v>
      </c>
      <c r="CB16">
        <v>3.0534351145038167E-2</v>
      </c>
      <c r="CC16">
        <v>131</v>
      </c>
      <c r="CD16">
        <v>63</v>
      </c>
      <c r="CE16">
        <v>68</v>
      </c>
      <c r="CF16">
        <v>0</v>
      </c>
      <c r="CG16">
        <v>15</v>
      </c>
      <c r="CH16">
        <v>2</v>
      </c>
      <c r="CI16">
        <v>12</v>
      </c>
      <c r="CJ16">
        <v>0</v>
      </c>
      <c r="CK16">
        <v>0.48091603053435117</v>
      </c>
      <c r="CL16">
        <v>0.51908396946564883</v>
      </c>
      <c r="CM16">
        <v>0</v>
      </c>
      <c r="CN16">
        <v>0.13333333333333333</v>
      </c>
      <c r="CO16">
        <v>0.8</v>
      </c>
      <c r="CP16">
        <v>0</v>
      </c>
    </row>
    <row r="17" spans="1:94" x14ac:dyDescent="0.15">
      <c r="A17" t="s">
        <v>451</v>
      </c>
      <c r="B17" t="s">
        <v>431</v>
      </c>
      <c r="C17" t="s">
        <v>452</v>
      </c>
      <c r="D17">
        <v>181</v>
      </c>
      <c r="E17">
        <v>117</v>
      </c>
      <c r="F17">
        <v>47</v>
      </c>
      <c r="G17">
        <v>38</v>
      </c>
      <c r="H17">
        <v>0.64640883977900554</v>
      </c>
      <c r="I17">
        <v>0.25966850828729282</v>
      </c>
      <c r="J17">
        <v>0.20994475138121546</v>
      </c>
      <c r="K17">
        <v>471</v>
      </c>
      <c r="L17">
        <v>46</v>
      </c>
      <c r="M17">
        <v>181</v>
      </c>
      <c r="N17">
        <v>241</v>
      </c>
      <c r="O17">
        <v>9.7664543524416142E-2</v>
      </c>
      <c r="P17">
        <v>0.38428874734607221</v>
      </c>
      <c r="Q17">
        <v>0.51167728237791932</v>
      </c>
      <c r="R17">
        <v>471</v>
      </c>
      <c r="S17">
        <v>56</v>
      </c>
      <c r="T17">
        <v>28</v>
      </c>
      <c r="U17">
        <v>12</v>
      </c>
      <c r="V17">
        <v>2</v>
      </c>
      <c r="W17">
        <v>98</v>
      </c>
      <c r="X17">
        <v>212</v>
      </c>
      <c r="Y17">
        <v>25</v>
      </c>
      <c r="Z17">
        <v>13</v>
      </c>
      <c r="AA17">
        <v>7</v>
      </c>
      <c r="AB17">
        <v>1</v>
      </c>
      <c r="AC17">
        <v>46</v>
      </c>
      <c r="AD17">
        <v>259</v>
      </c>
      <c r="AE17">
        <v>31</v>
      </c>
      <c r="AF17">
        <v>15</v>
      </c>
      <c r="AG17">
        <v>5</v>
      </c>
      <c r="AH17">
        <v>1</v>
      </c>
      <c r="AI17">
        <v>52</v>
      </c>
      <c r="AJ17">
        <v>0.20806794055201699</v>
      </c>
      <c r="AK17">
        <v>0.2857142857142857</v>
      </c>
      <c r="AL17">
        <v>0.12244897959183673</v>
      </c>
      <c r="AM17">
        <v>2.0408163265306121E-2</v>
      </c>
      <c r="AN17">
        <v>0.46938775510204084</v>
      </c>
      <c r="AO17">
        <v>0.53061224489795922</v>
      </c>
      <c r="AP17">
        <v>194</v>
      </c>
      <c r="AQ17">
        <v>22</v>
      </c>
      <c r="AR17">
        <v>0</v>
      </c>
      <c r="AS17">
        <v>0</v>
      </c>
      <c r="AT17">
        <v>17</v>
      </c>
      <c r="AU17">
        <v>26</v>
      </c>
      <c r="AV17">
        <v>0</v>
      </c>
      <c r="AW17">
        <v>2</v>
      </c>
      <c r="AX17">
        <v>7</v>
      </c>
      <c r="AY17">
        <v>31</v>
      </c>
      <c r="AZ17">
        <v>5</v>
      </c>
      <c r="BA17">
        <v>0</v>
      </c>
      <c r="BB17">
        <v>4</v>
      </c>
      <c r="BC17">
        <v>19</v>
      </c>
      <c r="BD17">
        <v>14</v>
      </c>
      <c r="BE17">
        <v>4</v>
      </c>
      <c r="BF17">
        <v>23</v>
      </c>
      <c r="BG17">
        <v>3</v>
      </c>
      <c r="BH17">
        <v>3</v>
      </c>
      <c r="BI17">
        <v>13</v>
      </c>
      <c r="BJ17">
        <v>0.1134020618556701</v>
      </c>
      <c r="BK17">
        <v>0</v>
      </c>
      <c r="BL17">
        <v>0</v>
      </c>
      <c r="BM17">
        <v>8.7628865979381437E-2</v>
      </c>
      <c r="BN17">
        <v>0.13402061855670103</v>
      </c>
      <c r="BO17">
        <v>0</v>
      </c>
      <c r="BP17">
        <v>1.0309278350515464E-2</v>
      </c>
      <c r="BQ17">
        <v>3.608247422680412E-2</v>
      </c>
      <c r="BR17">
        <v>0.15979381443298968</v>
      </c>
      <c r="BS17">
        <v>2.5773195876288658E-2</v>
      </c>
      <c r="BT17">
        <v>0</v>
      </c>
      <c r="BU17">
        <v>2.0618556701030927E-2</v>
      </c>
      <c r="BV17">
        <v>9.7938144329896906E-2</v>
      </c>
      <c r="BW17">
        <v>7.2164948453608241E-2</v>
      </c>
      <c r="BX17">
        <v>2.0618556701030927E-2</v>
      </c>
      <c r="BY17">
        <v>0.11855670103092783</v>
      </c>
      <c r="BZ17">
        <v>1.5463917525773196E-2</v>
      </c>
      <c r="CA17">
        <v>1.5463917525773196E-2</v>
      </c>
      <c r="CB17">
        <v>6.7010309278350513E-2</v>
      </c>
      <c r="CC17">
        <v>194</v>
      </c>
      <c r="CD17">
        <v>117</v>
      </c>
      <c r="CE17">
        <v>74</v>
      </c>
      <c r="CF17">
        <v>0</v>
      </c>
      <c r="CG17">
        <v>12</v>
      </c>
      <c r="CH17">
        <v>6</v>
      </c>
      <c r="CI17">
        <v>6</v>
      </c>
      <c r="CJ17">
        <v>0</v>
      </c>
      <c r="CK17">
        <v>0.60309278350515461</v>
      </c>
      <c r="CL17">
        <v>0.38144329896907214</v>
      </c>
      <c r="CM17">
        <v>0</v>
      </c>
      <c r="CN17">
        <v>0.5</v>
      </c>
      <c r="CO17">
        <v>0.5</v>
      </c>
      <c r="CP17">
        <v>0</v>
      </c>
    </row>
    <row r="18" spans="1:94" x14ac:dyDescent="0.15">
      <c r="A18" t="s">
        <v>453</v>
      </c>
      <c r="B18" t="s">
        <v>431</v>
      </c>
      <c r="C18" t="s">
        <v>454</v>
      </c>
      <c r="D18">
        <v>326</v>
      </c>
      <c r="E18">
        <v>182</v>
      </c>
      <c r="F18">
        <v>66</v>
      </c>
      <c r="G18">
        <v>51</v>
      </c>
      <c r="H18">
        <v>0.55828220858895705</v>
      </c>
      <c r="I18">
        <v>0.20245398773006135</v>
      </c>
      <c r="J18">
        <v>0.15644171779141106</v>
      </c>
      <c r="K18">
        <v>839</v>
      </c>
      <c r="L18">
        <v>77</v>
      </c>
      <c r="M18">
        <v>287</v>
      </c>
      <c r="N18">
        <v>475</v>
      </c>
      <c r="O18">
        <v>9.1775923718712751E-2</v>
      </c>
      <c r="P18">
        <v>0.34207389749702027</v>
      </c>
      <c r="Q18">
        <v>0.56615017878426699</v>
      </c>
      <c r="R18">
        <v>839</v>
      </c>
      <c r="S18">
        <v>81</v>
      </c>
      <c r="T18">
        <v>54</v>
      </c>
      <c r="U18">
        <v>15</v>
      </c>
      <c r="V18">
        <v>0</v>
      </c>
      <c r="W18">
        <v>150</v>
      </c>
      <c r="X18">
        <v>394</v>
      </c>
      <c r="Y18">
        <v>35</v>
      </c>
      <c r="Z18">
        <v>25</v>
      </c>
      <c r="AA18">
        <v>11</v>
      </c>
      <c r="AB18">
        <v>0</v>
      </c>
      <c r="AC18">
        <v>71</v>
      </c>
      <c r="AD18">
        <v>445</v>
      </c>
      <c r="AE18">
        <v>46</v>
      </c>
      <c r="AF18">
        <v>29</v>
      </c>
      <c r="AG18">
        <v>4</v>
      </c>
      <c r="AH18">
        <v>0</v>
      </c>
      <c r="AI18">
        <v>79</v>
      </c>
      <c r="AJ18">
        <v>0.17878426698450536</v>
      </c>
      <c r="AK18">
        <v>0.36</v>
      </c>
      <c r="AL18">
        <v>0.1</v>
      </c>
      <c r="AM18">
        <v>0</v>
      </c>
      <c r="AN18">
        <v>0.47333333333333333</v>
      </c>
      <c r="AO18">
        <v>0.52666666666666662</v>
      </c>
      <c r="AP18">
        <v>394</v>
      </c>
      <c r="AQ18">
        <v>47</v>
      </c>
      <c r="AR18">
        <v>0</v>
      </c>
      <c r="AS18">
        <v>0</v>
      </c>
      <c r="AT18">
        <v>43</v>
      </c>
      <c r="AU18">
        <v>67</v>
      </c>
      <c r="AV18">
        <v>0</v>
      </c>
      <c r="AW18">
        <v>5</v>
      </c>
      <c r="AX18">
        <v>13</v>
      </c>
      <c r="AY18">
        <v>60</v>
      </c>
      <c r="AZ18">
        <v>5</v>
      </c>
      <c r="BA18">
        <v>3</v>
      </c>
      <c r="BB18">
        <v>8</v>
      </c>
      <c r="BC18">
        <v>23</v>
      </c>
      <c r="BD18">
        <v>10</v>
      </c>
      <c r="BE18">
        <v>17</v>
      </c>
      <c r="BF18">
        <v>59</v>
      </c>
      <c r="BG18">
        <v>6</v>
      </c>
      <c r="BH18">
        <v>19</v>
      </c>
      <c r="BI18">
        <v>9</v>
      </c>
      <c r="BJ18">
        <v>0.11928934010152284</v>
      </c>
      <c r="BK18">
        <v>0</v>
      </c>
      <c r="BL18">
        <v>0</v>
      </c>
      <c r="BM18">
        <v>0.10913705583756345</v>
      </c>
      <c r="BN18">
        <v>0.17005076142131981</v>
      </c>
      <c r="BO18">
        <v>0</v>
      </c>
      <c r="BP18">
        <v>1.2690355329949238E-2</v>
      </c>
      <c r="BQ18">
        <v>3.2994923857868022E-2</v>
      </c>
      <c r="BR18">
        <v>0.15228426395939088</v>
      </c>
      <c r="BS18">
        <v>1.2690355329949238E-2</v>
      </c>
      <c r="BT18">
        <v>7.6142131979695434E-3</v>
      </c>
      <c r="BU18">
        <v>2.030456852791878E-2</v>
      </c>
      <c r="BV18">
        <v>5.8375634517766499E-2</v>
      </c>
      <c r="BW18">
        <v>2.5380710659898477E-2</v>
      </c>
      <c r="BX18">
        <v>4.3147208121827409E-2</v>
      </c>
      <c r="BY18">
        <v>0.14974619289340102</v>
      </c>
      <c r="BZ18">
        <v>1.5228426395939087E-2</v>
      </c>
      <c r="CA18">
        <v>4.8223350253807105E-2</v>
      </c>
      <c r="CB18">
        <v>2.2842639593908629E-2</v>
      </c>
      <c r="CC18">
        <v>394</v>
      </c>
      <c r="CD18">
        <v>204</v>
      </c>
      <c r="CE18">
        <v>189</v>
      </c>
      <c r="CF18">
        <v>1</v>
      </c>
      <c r="CG18">
        <v>42</v>
      </c>
      <c r="CH18">
        <v>3</v>
      </c>
      <c r="CI18">
        <v>38</v>
      </c>
      <c r="CJ18">
        <v>0</v>
      </c>
      <c r="CK18">
        <v>0.51776649746192893</v>
      </c>
      <c r="CL18">
        <v>0.47969543147208121</v>
      </c>
      <c r="CM18">
        <v>2.5380710659898475E-3</v>
      </c>
      <c r="CN18">
        <v>7.1428571428571425E-2</v>
      </c>
      <c r="CO18">
        <v>0.90476190476190477</v>
      </c>
      <c r="CP18">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北麓久木野々地域</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425</v>
      </c>
      <c r="F6" s="257"/>
      <c r="G6" s="20" t="s">
        <v>54</v>
      </c>
    </row>
    <row r="7" spans="1:10" ht="22.5" customHeight="1" x14ac:dyDescent="0.15">
      <c r="A7" s="249">
        <f>管理者用グラフシート!B4</f>
        <v>2010</v>
      </c>
      <c r="B7" s="249"/>
      <c r="C7" s="82" t="s">
        <v>226</v>
      </c>
      <c r="D7" s="251">
        <f>E6-管理者用グラフシート!E4</f>
        <v>-34</v>
      </c>
      <c r="E7" s="251"/>
      <c r="F7" s="20" t="s">
        <v>356</v>
      </c>
    </row>
    <row r="8" spans="1:10" ht="22.5" customHeight="1" x14ac:dyDescent="0.15">
      <c r="A8" s="248" t="s">
        <v>380</v>
      </c>
      <c r="B8" s="248"/>
      <c r="C8" s="204">
        <f>管理者用グラフシート!C6-管理者用グラフシート!C4</f>
        <v>-17</v>
      </c>
      <c r="D8" s="207" t="s">
        <v>381</v>
      </c>
      <c r="F8" s="204">
        <f>管理者用グラフシート!D6-管理者用グラフシート!D4</f>
        <v>-17</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19</v>
      </c>
      <c r="G36" s="250"/>
      <c r="H36" s="20" t="s">
        <v>54</v>
      </c>
    </row>
    <row r="37" spans="1:9" ht="22.5" customHeight="1" x14ac:dyDescent="0.15">
      <c r="A37" s="20" t="s">
        <v>66</v>
      </c>
      <c r="F37" s="250">
        <f>管理者用グラフシート!C16</f>
        <v>7</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2</v>
      </c>
      <c r="E40" s="251"/>
      <c r="F40" s="20" t="s">
        <v>60</v>
      </c>
    </row>
    <row r="41" spans="1:9" ht="22.5" customHeight="1" x14ac:dyDescent="0.15">
      <c r="B41" s="20" t="s">
        <v>69</v>
      </c>
      <c r="D41" s="251">
        <f>F37-管理者用グラフシート!C14</f>
        <v>-5</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176</v>
      </c>
      <c r="D70" s="250"/>
      <c r="E70" s="20" t="s">
        <v>76</v>
      </c>
      <c r="F70" s="37"/>
      <c r="G70" s="255">
        <f>管理者用グラフシート!C32</f>
        <v>0.41</v>
      </c>
      <c r="H70" s="255"/>
      <c r="I70" s="20" t="s">
        <v>77</v>
      </c>
    </row>
    <row r="71" spans="1:9" ht="22.5" customHeight="1" x14ac:dyDescent="0.15">
      <c r="A71" s="20" t="s">
        <v>78</v>
      </c>
      <c r="C71" s="250">
        <f>管理者用グラフシート!C26</f>
        <v>78</v>
      </c>
      <c r="D71" s="250"/>
      <c r="E71" s="20" t="s">
        <v>76</v>
      </c>
      <c r="F71" s="37"/>
      <c r="G71" s="255">
        <f>管理者用グラフシート!C36</f>
        <v>0.18</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-25</v>
      </c>
      <c r="G135" s="208" t="s">
        <v>386</v>
      </c>
      <c r="H135" s="111"/>
    </row>
    <row r="136" spans="1:8" ht="22.5" customHeight="1" x14ac:dyDescent="0.15">
      <c r="A136" s="35" t="s">
        <v>387</v>
      </c>
      <c r="C136" s="206">
        <f>SUM(管理者用グラフシート!B95:C96)-SUM(管理者用グラフシート!B47:C48)</f>
        <v>3</v>
      </c>
      <c r="D136" s="20" t="s">
        <v>388</v>
      </c>
      <c r="E136" s="34"/>
      <c r="F136" s="206">
        <f>SUM(管理者用グラフシート!B97:C98)-SUM(管理者用グラフシート!B49:C50)</f>
        <v>-12</v>
      </c>
      <c r="G136" s="20" t="s">
        <v>386</v>
      </c>
    </row>
    <row r="137" spans="1:8" ht="18.75" x14ac:dyDescent="0.15">
      <c r="A137" s="20" t="s">
        <v>389</v>
      </c>
      <c r="C137" s="206">
        <f>SUM(管理者用グラフシート!B99:C100)-SUM(管理者用グラフシート!B51:C52)</f>
        <v>-17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北麓久木野々地域</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390</v>
      </c>
      <c r="E6" s="250"/>
      <c r="F6" s="20" t="s">
        <v>231</v>
      </c>
      <c r="H6" s="34"/>
      <c r="I6" s="34"/>
    </row>
    <row r="7" spans="1:9" ht="22.5" customHeight="1" x14ac:dyDescent="0.15">
      <c r="A7" s="249">
        <f>管理者入力シート!B5</f>
        <v>2020</v>
      </c>
      <c r="B7" s="249"/>
      <c r="C7" s="195" t="s">
        <v>362</v>
      </c>
      <c r="D7" s="251">
        <f>D6-現況シート!E6</f>
        <v>-35</v>
      </c>
      <c r="E7" s="251"/>
      <c r="F7" s="20" t="s">
        <v>232</v>
      </c>
      <c r="I7" s="34"/>
    </row>
    <row r="8" spans="1:9" ht="22.5" customHeight="1" x14ac:dyDescent="0.15">
      <c r="A8" s="248" t="s">
        <v>397</v>
      </c>
      <c r="B8" s="248"/>
      <c r="C8" s="206">
        <f>管理者用グラフシート!I8-管理者用グラフシート!C6</f>
        <v>-7</v>
      </c>
      <c r="D8" s="207" t="s">
        <v>398</v>
      </c>
      <c r="F8" s="261">
        <f>管理者用グラフシート!J8-管理者用グラフシート!D6</f>
        <v>-28</v>
      </c>
      <c r="G8" s="261"/>
      <c r="H8" s="20" t="s">
        <v>399</v>
      </c>
    </row>
    <row r="10" spans="1:9" ht="22.5" customHeight="1" x14ac:dyDescent="0.15">
      <c r="A10" s="249">
        <f>管理者入力シート!B11</f>
        <v>2040</v>
      </c>
      <c r="B10" s="249"/>
      <c r="C10" s="20" t="s">
        <v>361</v>
      </c>
      <c r="D10" s="250">
        <f>管理者用グラフシート!K10</f>
        <v>328</v>
      </c>
      <c r="E10" s="250"/>
      <c r="F10" s="20" t="s">
        <v>231</v>
      </c>
      <c r="H10" s="34"/>
    </row>
    <row r="11" spans="1:9" ht="22.5" customHeight="1" x14ac:dyDescent="0.15">
      <c r="A11" s="249">
        <f>管理者入力シート!B5</f>
        <v>2020</v>
      </c>
      <c r="B11" s="249"/>
      <c r="C11" s="195" t="s">
        <v>362</v>
      </c>
      <c r="D11" s="251">
        <f>D10-現況シート!E6</f>
        <v>-97</v>
      </c>
      <c r="E11" s="251"/>
      <c r="F11" s="20" t="s">
        <v>232</v>
      </c>
      <c r="H11" s="34"/>
    </row>
    <row r="12" spans="1:9" ht="22.5" customHeight="1" x14ac:dyDescent="0.15">
      <c r="A12" s="248" t="s">
        <v>397</v>
      </c>
      <c r="B12" s="248"/>
      <c r="C12" s="206">
        <f>管理者用グラフシート!I10-管理者用グラフシート!C6</f>
        <v>-35</v>
      </c>
      <c r="D12" s="207" t="s">
        <v>398</v>
      </c>
      <c r="F12" s="261">
        <f>管理者用グラフシート!J10-管理者用グラフシート!D6</f>
        <v>-62</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9</v>
      </c>
      <c r="G36" s="250"/>
      <c r="H36" s="82" t="s">
        <v>233</v>
      </c>
      <c r="I36" s="34"/>
    </row>
    <row r="37" spans="1:9" ht="22.5" customHeight="1" x14ac:dyDescent="0.15">
      <c r="A37" s="20" t="s">
        <v>234</v>
      </c>
      <c r="F37" s="250">
        <f>管理者用グラフシート!I28</f>
        <v>5</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-10</v>
      </c>
      <c r="G40" s="251"/>
      <c r="H40" s="35" t="s">
        <v>60</v>
      </c>
    </row>
    <row r="41" spans="1:9" ht="22.5" customHeight="1" x14ac:dyDescent="0.15">
      <c r="A41" s="20" t="s">
        <v>69</v>
      </c>
      <c r="C41" s="199">
        <f>管理者入力シート!B5</f>
        <v>2020</v>
      </c>
      <c r="D41" s="20" t="s">
        <v>374</v>
      </c>
      <c r="F41" s="251">
        <f>F37-現況シート!F37</f>
        <v>-2</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148</v>
      </c>
      <c r="D70" s="250"/>
      <c r="E70" s="82" t="s">
        <v>239</v>
      </c>
      <c r="F70" s="34"/>
      <c r="G70" s="255">
        <f>管理者用グラフシート!I56</f>
        <v>0.45</v>
      </c>
      <c r="H70" s="255"/>
      <c r="I70" s="110" t="s">
        <v>240</v>
      </c>
    </row>
    <row r="71" spans="1:9" ht="22.5" customHeight="1" x14ac:dyDescent="0.15">
      <c r="A71" s="20" t="s">
        <v>241</v>
      </c>
      <c r="C71" s="250">
        <f>管理者用グラフシート!I46</f>
        <v>81</v>
      </c>
      <c r="D71" s="250"/>
      <c r="E71" s="20" t="s">
        <v>239</v>
      </c>
      <c r="G71" s="259">
        <f>管理者用グラフシート!I64</f>
        <v>0.25</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-10</v>
      </c>
      <c r="H103" s="208" t="s">
        <v>60</v>
      </c>
    </row>
    <row r="104" spans="1:8" ht="22.5" customHeight="1" x14ac:dyDescent="0.15">
      <c r="A104" s="35" t="s">
        <v>387</v>
      </c>
      <c r="C104" s="206">
        <f>SUM(管理者用グラフシート!H99:I100)-SUM(管理者用グラフシート!B95:C96)</f>
        <v>-22</v>
      </c>
      <c r="D104" s="20" t="s">
        <v>423</v>
      </c>
      <c r="E104" s="34"/>
      <c r="G104" s="206">
        <f>SUM(管理者用グラフシート!H101:I102)-SUM(管理者用グラフシート!B97:C98)</f>
        <v>3</v>
      </c>
      <c r="H104" s="20" t="s">
        <v>60</v>
      </c>
    </row>
    <row r="105" spans="1:8" ht="22.5" customHeight="1" x14ac:dyDescent="0.15">
      <c r="A105" s="20" t="s">
        <v>389</v>
      </c>
      <c r="C105" s="206">
        <f>SUM(管理者用グラフシート!H103:I104)-SUM(管理者用グラフシート!B99:C100)</f>
        <v>2</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-5</v>
      </c>
      <c r="H137" s="208" t="s">
        <v>60</v>
      </c>
    </row>
    <row r="138" spans="1:8" ht="22.5" customHeight="1" x14ac:dyDescent="0.15">
      <c r="A138" s="35" t="s">
        <v>387</v>
      </c>
      <c r="C138" s="206">
        <f>SUM(管理者用グラフシート!H147:I148)-SUM(管理者用グラフシート!B95:C96)</f>
        <v>-29</v>
      </c>
      <c r="D138" s="20" t="s">
        <v>423</v>
      </c>
      <c r="E138" s="34"/>
      <c r="G138" s="206">
        <f>SUM(管理者用グラフシート!H149:I150)-SUM(管理者用グラフシート!B97:C98)</f>
        <v>-23</v>
      </c>
      <c r="H138" s="20" t="s">
        <v>60</v>
      </c>
    </row>
    <row r="139" spans="1:8" ht="22.5" customHeight="1" x14ac:dyDescent="0.15">
      <c r="A139" s="20" t="s">
        <v>389</v>
      </c>
      <c r="C139" s="206">
        <f>SUM(管理者用グラフシート!H151:I152)-SUM(管理者用グラフシート!B99:C100)</f>
        <v>-3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北麓久木野々地域</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427</v>
      </c>
      <c r="I36" s="267"/>
    </row>
    <row r="37" spans="1:9" s="130" customFormat="1" ht="17.25" customHeight="1" x14ac:dyDescent="0.15">
      <c r="A37" s="165"/>
      <c r="B37" s="226" t="s">
        <v>5</v>
      </c>
      <c r="C37" s="227">
        <f>管理者用人口入力シート!DX1</f>
        <v>3</v>
      </c>
      <c r="D37" s="228">
        <f>C37</f>
        <v>3</v>
      </c>
      <c r="F37" s="162"/>
      <c r="G37" s="238">
        <f>管理者入力シート!B9</f>
        <v>2030</v>
      </c>
      <c r="H37" s="266">
        <f>管理者用人口入力シート!EU25</f>
        <v>433</v>
      </c>
      <c r="I37" s="267"/>
    </row>
    <row r="38" spans="1:9" s="132" customFormat="1" ht="17.25" customHeight="1" x14ac:dyDescent="0.15">
      <c r="A38" s="160"/>
      <c r="B38" s="226" t="s">
        <v>6</v>
      </c>
      <c r="C38" s="227">
        <f>C37</f>
        <v>3</v>
      </c>
      <c r="D38" s="228">
        <f>C37</f>
        <v>3</v>
      </c>
      <c r="F38" s="162"/>
      <c r="G38" s="238">
        <f>管理者入力シート!B10</f>
        <v>2035</v>
      </c>
      <c r="H38" s="266">
        <f>管理者用人口入力シート!EU28</f>
        <v>434</v>
      </c>
      <c r="I38" s="267"/>
    </row>
    <row r="39" spans="1:9" ht="17.25" customHeight="1" thickBot="1" x14ac:dyDescent="0.2">
      <c r="A39" s="166"/>
      <c r="B39" s="229" t="s">
        <v>7</v>
      </c>
      <c r="C39" s="230">
        <f>C37</f>
        <v>3</v>
      </c>
      <c r="D39" s="231">
        <f>C37</f>
        <v>3</v>
      </c>
      <c r="F39" s="162"/>
      <c r="G39" s="239">
        <f>管理者入力シート!B11</f>
        <v>2040</v>
      </c>
      <c r="H39" s="268">
        <f>管理者用人口入力シート!EU31</f>
        <v>429</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410</v>
      </c>
      <c r="E43" s="250"/>
      <c r="F43" s="20" t="s">
        <v>231</v>
      </c>
      <c r="H43" s="34"/>
      <c r="I43" s="34"/>
    </row>
    <row r="44" spans="1:9" ht="22.5" customHeight="1" x14ac:dyDescent="0.15">
      <c r="A44" s="249">
        <f>管理者入力シート!B11</f>
        <v>2040</v>
      </c>
      <c r="B44" s="249"/>
      <c r="C44" s="20" t="s">
        <v>417</v>
      </c>
      <c r="D44" s="250">
        <f>管理者用グラフシート!U10</f>
        <v>369</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41</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17</v>
      </c>
      <c r="G78" s="250"/>
      <c r="H78" s="82" t="s">
        <v>264</v>
      </c>
      <c r="I78" s="34"/>
    </row>
    <row r="79" spans="1:9" ht="22.5" customHeight="1" x14ac:dyDescent="0.15">
      <c r="A79" s="20" t="s">
        <v>234</v>
      </c>
      <c r="F79" s="250">
        <f>管理者用グラフシート!Q28</f>
        <v>9</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8</v>
      </c>
      <c r="D82" s="251"/>
      <c r="E82" s="20" t="s">
        <v>60</v>
      </c>
    </row>
    <row r="83" spans="1:13" ht="22.5" customHeight="1" x14ac:dyDescent="0.15">
      <c r="A83" s="20" t="s">
        <v>69</v>
      </c>
      <c r="C83" s="251">
        <f>F79-将来予測シート①!F37</f>
        <v>4</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148</v>
      </c>
      <c r="D112" s="250"/>
      <c r="E112" s="20" t="s">
        <v>270</v>
      </c>
      <c r="F112" s="36"/>
      <c r="G112" s="111">
        <f>管理者用グラフシート!Q56</f>
        <v>0.4</v>
      </c>
      <c r="H112" s="82" t="s">
        <v>271</v>
      </c>
      <c r="I112" s="34"/>
    </row>
    <row r="113" spans="1:9" ht="22.5" customHeight="1" x14ac:dyDescent="0.15">
      <c r="A113" s="20" t="s">
        <v>268</v>
      </c>
      <c r="C113" s="250">
        <f>管理者用グラフシート!Q46</f>
        <v>81</v>
      </c>
      <c r="D113" s="250"/>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5ポイント低下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北麓久木野々地域</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0.65909090909090906</v>
      </c>
      <c r="G7" s="280"/>
      <c r="H7" s="20" t="s">
        <v>282</v>
      </c>
    </row>
    <row r="8" spans="1:8" ht="22.5" customHeight="1" x14ac:dyDescent="0.15">
      <c r="A8" s="86" t="str">
        <f>管理者入力シート!B3</f>
        <v>綾町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北麓久木野々地域</v>
      </c>
      <c r="B11" s="283"/>
      <c r="C11" s="257">
        <f>管理者用地域特徴シート!D5</f>
        <v>176</v>
      </c>
      <c r="D11" s="252"/>
      <c r="E11" s="20" t="s">
        <v>413</v>
      </c>
    </row>
    <row r="12" spans="1:8" ht="22.5" customHeight="1" x14ac:dyDescent="0.15">
      <c r="A12" s="252" t="str">
        <f>A8</f>
        <v>綾町</v>
      </c>
      <c r="B12" s="252"/>
      <c r="C12" s="257">
        <f>管理者用地域特徴シート!D4</f>
        <v>2851</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0.1875</v>
      </c>
      <c r="H23" s="35" t="s">
        <v>286</v>
      </c>
    </row>
    <row r="24" spans="1:8" ht="22.5" customHeight="1" x14ac:dyDescent="0.15">
      <c r="A24" s="86" t="str">
        <f>管理者入力シート!B3</f>
        <v>綾町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0.24</v>
      </c>
      <c r="G37" s="280"/>
      <c r="H37" s="20" t="s">
        <v>286</v>
      </c>
    </row>
    <row r="38" spans="1:8" ht="22.5" customHeight="1" x14ac:dyDescent="0.15">
      <c r="A38" s="86" t="str">
        <f>管理者入力シート!B3</f>
        <v>綾町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86" t="str">
        <f>管理者入力シート!B3</f>
        <v>綾町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62</v>
      </c>
      <c r="F70" s="282"/>
      <c r="G70" s="20" t="s">
        <v>290</v>
      </c>
    </row>
    <row r="71" spans="1:8" ht="22.5" customHeight="1" x14ac:dyDescent="0.15">
      <c r="A71" s="20" t="s">
        <v>295</v>
      </c>
      <c r="F71" s="280">
        <f>管理者用地域特徴シート!AK5</f>
        <v>0.35483870967741937</v>
      </c>
      <c r="G71" s="280"/>
      <c r="H71" s="20" t="s">
        <v>271</v>
      </c>
    </row>
    <row r="72" spans="1:8" ht="22.5" customHeight="1" x14ac:dyDescent="0.15">
      <c r="A72" s="20" t="s">
        <v>296</v>
      </c>
      <c r="F72" s="280">
        <f>管理者用地域特徴シート!AL5</f>
        <v>8.0645161290322578E-2</v>
      </c>
      <c r="G72" s="280"/>
      <c r="H72" s="20" t="s">
        <v>297</v>
      </c>
    </row>
    <row r="73" spans="1:8" ht="22.5" customHeight="1" x14ac:dyDescent="0.15">
      <c r="A73" s="20" t="s">
        <v>298</v>
      </c>
      <c r="E73" s="280"/>
      <c r="F73" s="280"/>
    </row>
    <row r="74" spans="1:8" ht="22.5" customHeight="1" x14ac:dyDescent="0.15">
      <c r="A74" s="20" t="s">
        <v>339</v>
      </c>
      <c r="C74" s="177">
        <f>管理者用地域特徴シート!AN5</f>
        <v>0.45161290322580644</v>
      </c>
      <c r="D74" s="156" t="s">
        <v>299</v>
      </c>
      <c r="E74" s="177">
        <f>管理者用地域特徴シート!AO5</f>
        <v>0.54838709677419351</v>
      </c>
      <c r="F74" s="20" t="s">
        <v>291</v>
      </c>
    </row>
    <row r="76" spans="1:8" ht="22.5" customHeight="1" x14ac:dyDescent="0.15">
      <c r="A76" s="86" t="str">
        <f>管理者入力シート!B3</f>
        <v>綾町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0.57272727272727275</v>
      </c>
      <c r="D139" s="280"/>
      <c r="E139" s="20" t="s">
        <v>316</v>
      </c>
      <c r="F139" s="157" t="str">
        <f>管理者入力シート!B3</f>
        <v>綾町</v>
      </c>
      <c r="G139" s="158" t="s">
        <v>317</v>
      </c>
    </row>
    <row r="140" spans="1:8" ht="22.5" customHeight="1" x14ac:dyDescent="0.15">
      <c r="A140" s="20" t="s">
        <v>318</v>
      </c>
    </row>
    <row r="141" spans="1:8" ht="22.5" customHeight="1" x14ac:dyDescent="0.15">
      <c r="C141" s="280">
        <f>管理者用地域特徴シート!CN5</f>
        <v>0</v>
      </c>
      <c r="D141" s="280"/>
      <c r="E141" s="20" t="s">
        <v>316</v>
      </c>
      <c r="F141" s="157" t="str">
        <f>管理者入力シート!B3</f>
        <v>綾町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3" t="s">
        <v>292</v>
      </c>
      <c r="B3" s="32" t="str">
        <f>管理者用地域特徴シート!B5</f>
        <v>綾町</v>
      </c>
    </row>
    <row r="4" spans="1:3" x14ac:dyDescent="0.15">
      <c r="A4" s="153" t="s">
        <v>24</v>
      </c>
      <c r="B4" s="154" t="str">
        <f>管理者用地域特徴シート!C5</f>
        <v>北麓久木野々地域</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45383_1</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455</v>
      </c>
      <c r="DW1" s="290"/>
      <c r="DX1" s="285">
        <f>DW17</f>
        <v>3</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5</v>
      </c>
      <c r="E3" s="9">
        <v>6</v>
      </c>
      <c r="F3" s="9">
        <v>12</v>
      </c>
      <c r="G3" s="9">
        <v>9</v>
      </c>
      <c r="H3" s="9">
        <v>19</v>
      </c>
      <c r="I3" s="9">
        <v>14</v>
      </c>
      <c r="J3" s="9">
        <v>4</v>
      </c>
      <c r="K3" s="9">
        <v>15</v>
      </c>
      <c r="L3" s="9">
        <v>15</v>
      </c>
      <c r="M3" s="9">
        <v>13</v>
      </c>
      <c r="N3" s="9">
        <v>25</v>
      </c>
      <c r="O3" s="9">
        <v>18</v>
      </c>
      <c r="P3" s="9">
        <v>10</v>
      </c>
      <c r="Q3" s="9">
        <v>21</v>
      </c>
      <c r="R3" s="9">
        <v>18</v>
      </c>
      <c r="S3" s="9">
        <v>14</v>
      </c>
      <c r="T3" s="9">
        <v>7</v>
      </c>
      <c r="U3" s="9">
        <v>4</v>
      </c>
      <c r="V3" s="9">
        <v>2</v>
      </c>
      <c r="W3" s="9">
        <v>1</v>
      </c>
      <c r="X3" s="9">
        <v>0</v>
      </c>
      <c r="Y3" s="9">
        <f>SUM(D3:X3)</f>
        <v>232</v>
      </c>
      <c r="Z3" s="9">
        <f>E3*3/5+F3*3/5</f>
        <v>10.8</v>
      </c>
      <c r="AA3" s="9">
        <f>F3*2/5+G3*1/5</f>
        <v>6.6</v>
      </c>
      <c r="AB3" s="9">
        <f t="shared" ref="AB3:AB20" si="0">SUM(Q3:X3)</f>
        <v>67</v>
      </c>
      <c r="AC3" s="9">
        <f>SUM(S3:X3)</f>
        <v>28</v>
      </c>
      <c r="AD3" s="13">
        <f>AB3/Y3</f>
        <v>0.28879310344827586</v>
      </c>
      <c r="AE3" s="13">
        <f>AC3/Y3</f>
        <v>0.1206896551724138</v>
      </c>
      <c r="AF3" s="9">
        <f>SUM(H3:K3)</f>
        <v>52</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2.25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0.875</v>
      </c>
      <c r="AO3" s="6">
        <f t="shared" si="1"/>
        <v>1</v>
      </c>
      <c r="AP3" s="6">
        <f t="shared" si="1"/>
        <v>1.2</v>
      </c>
      <c r="AQ3" s="6">
        <f t="shared" si="1"/>
        <v>0.6</v>
      </c>
      <c r="AR3" s="6">
        <f t="shared" si="1"/>
        <v>1.6</v>
      </c>
      <c r="AS3" s="6">
        <f t="shared" si="1"/>
        <v>0.93333333333333335</v>
      </c>
      <c r="AT3" s="6">
        <f t="shared" si="1"/>
        <v>0.91666666666666663</v>
      </c>
      <c r="AU3" s="6">
        <f t="shared" si="1"/>
        <v>4</v>
      </c>
      <c r="AV3" s="6">
        <f t="shared" si="1"/>
        <v>1.2</v>
      </c>
      <c r="AW3" s="6">
        <f t="shared" si="1"/>
        <v>1.0769230769230769</v>
      </c>
      <c r="AX3" s="6">
        <f t="shared" si="1"/>
        <v>1.2</v>
      </c>
      <c r="AY3" s="6">
        <f t="shared" si="1"/>
        <v>1</v>
      </c>
      <c r="AZ3" s="6">
        <f t="shared" si="1"/>
        <v>0.9</v>
      </c>
      <c r="BA3" s="6">
        <f t="shared" si="1"/>
        <v>1</v>
      </c>
      <c r="BB3" s="6">
        <f t="shared" si="1"/>
        <v>0.76190476190476186</v>
      </c>
      <c r="BC3" s="6">
        <f t="shared" si="1"/>
        <v>0.46666666666666667</v>
      </c>
      <c r="BD3" s="6">
        <f t="shared" si="1"/>
        <v>0.5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3.9840210620142718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8.4187291202413679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5.5339859052946645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0.7385489458759964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3.6742346141747668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3.5645311547160272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7.7287342646343671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9.4780448054086204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21.301408404140794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4.5607017003965513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17.81018801705353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15.336231610144651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12.311740225021847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24.665765749313358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19.442222095223581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10.141851056742199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5.8423739467217715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187.03331267711837</v>
      </c>
      <c r="CG3" s="9">
        <f>BL3*3/5+BM3*3/5</f>
        <v>10.451237472144822</v>
      </c>
      <c r="CH3" s="9">
        <f>BM3*2/5+BN3*1/5</f>
        <v>4.4742888291554799</v>
      </c>
      <c r="CI3" s="9">
        <f t="shared" ref="CI3:CI14" si="3">SUM(BX3:CE3)</f>
        <v>75.903953073022763</v>
      </c>
      <c r="CJ3" s="9">
        <f>SUM(BZ3:CE3)</f>
        <v>38.926447098687554</v>
      </c>
      <c r="CK3" s="13">
        <f>CI3/CF3</f>
        <v>0.40583119652090105</v>
      </c>
      <c r="CL3" s="13">
        <f>CJ3/CF3</f>
        <v>0.20812574263648706</v>
      </c>
      <c r="CM3" s="9">
        <f>SUM(BO3:BR3)</f>
        <v>15.706048979401157</v>
      </c>
      <c r="CO3" s="7" t="str">
        <f>CP3&amp;"_"&amp;IF(CQ3="男性",1,IF(CQ3="女性",2,IF(CQ3="合計",3)))</f>
        <v>2025_1</v>
      </c>
      <c r="CP3" s="28">
        <f>管理者入力シート!B8</f>
        <v>2025</v>
      </c>
      <c r="CQ3" s="3" t="s">
        <v>21</v>
      </c>
      <c r="CR3" s="9">
        <f>BK3+将来予測シート②!$G17</f>
        <v>4.9840210620142713</v>
      </c>
      <c r="CS3" s="9">
        <f>BL3+将来予測シート②!$G18</f>
        <v>9</v>
      </c>
      <c r="CT3" s="9">
        <f>BM3+将来予測シート②!$G19</f>
        <v>9.4187291202413679</v>
      </c>
      <c r="CU3" s="9">
        <f>BN3+将来予測シート②!$G20</f>
        <v>5.5339859052946645</v>
      </c>
      <c r="CV3" s="9">
        <f>BO3+将来予測シート②!$G21</f>
        <v>0.7385489458759964</v>
      </c>
      <c r="CW3" s="9">
        <f>BP3+将来予測シート②!$G22</f>
        <v>5.6742346141747664</v>
      </c>
      <c r="CX3" s="9">
        <f>BQ3+将来予測シート②!$G23</f>
        <v>3.5645311547160272</v>
      </c>
      <c r="CY3" s="9">
        <f>BR3+将来予測シート②!$G24</f>
        <v>7.7287342646343671</v>
      </c>
      <c r="CZ3" s="9">
        <f>BS3+将来予測シート②!$G25</f>
        <v>9.4780448054086204</v>
      </c>
      <c r="DA3" s="9">
        <f>BT3+将来予測シート②!$G26</f>
        <v>21.301408404140794</v>
      </c>
      <c r="DB3" s="9">
        <f>BU3+将来予測シート②!$G27</f>
        <v>4.5607017003965513</v>
      </c>
      <c r="DC3" s="9">
        <f>BV3+将来予測シート②!$G28</f>
        <v>17.81018801705353</v>
      </c>
      <c r="DD3" s="9">
        <f>BW3+将来予測シート②!$G29</f>
        <v>15.336231610144651</v>
      </c>
      <c r="DE3" s="9">
        <f>BX3</f>
        <v>12.311740225021847</v>
      </c>
      <c r="DF3" s="9">
        <f t="shared" ref="DF3:DL3" si="4">BY3</f>
        <v>24.665765749313358</v>
      </c>
      <c r="DG3" s="9">
        <f t="shared" si="4"/>
        <v>19.442222095223581</v>
      </c>
      <c r="DH3" s="9">
        <f t="shared" si="4"/>
        <v>10.141851056742199</v>
      </c>
      <c r="DI3" s="9">
        <f t="shared" si="4"/>
        <v>5.8423739467217715</v>
      </c>
      <c r="DJ3" s="9">
        <f t="shared" si="4"/>
        <v>3.5</v>
      </c>
      <c r="DK3" s="9">
        <f t="shared" si="4"/>
        <v>0</v>
      </c>
      <c r="DL3" s="9">
        <f t="shared" si="4"/>
        <v>0</v>
      </c>
      <c r="DM3" s="9">
        <f t="shared" ref="DM3:DM4" si="5">SUM(CR3:DL3)</f>
        <v>191.03331267711837</v>
      </c>
      <c r="DN3" s="9">
        <f>CS3*3/5+CT3*3/5</f>
        <v>11.051237472144821</v>
      </c>
      <c r="DO3" s="9">
        <f>CT3*2/5+CU3*1/5</f>
        <v>4.8742888291554802</v>
      </c>
      <c r="DP3" s="9">
        <f t="shared" ref="DP3:DP14" si="6">SUM(DE3:DL3)</f>
        <v>75.903953073022763</v>
      </c>
      <c r="DQ3" s="9">
        <f>SUM(DG3:DL3)</f>
        <v>38.926447098687554</v>
      </c>
      <c r="DR3" s="13">
        <f>DP3/DM3</f>
        <v>0.39733359595409667</v>
      </c>
      <c r="DS3" s="13">
        <f>DQ3/DM3</f>
        <v>0.20376784840914342</v>
      </c>
      <c r="DT3" s="9">
        <f>SUM(CV3:CY3)</f>
        <v>17.706048979401157</v>
      </c>
      <c r="DV3" s="289"/>
      <c r="DW3" s="290"/>
      <c r="DX3" s="28">
        <f>管理者入力シート!B8</f>
        <v>2025</v>
      </c>
      <c r="DY3" s="3" t="s">
        <v>21</v>
      </c>
      <c r="DZ3" s="9">
        <f>BK$3</f>
        <v>3.9840210620142718</v>
      </c>
      <c r="EA3" s="9">
        <f>BL$3</f>
        <v>9</v>
      </c>
      <c r="EB3" s="9">
        <f t="shared" ref="EB3:ED3" si="7">BM$3</f>
        <v>8.4187291202413679</v>
      </c>
      <c r="EC3" s="9">
        <f t="shared" si="7"/>
        <v>5.5339859052946645</v>
      </c>
      <c r="ED3" s="9">
        <f t="shared" si="7"/>
        <v>0.7385489458759964</v>
      </c>
      <c r="EE3" s="9">
        <f>BP$3+DX1</f>
        <v>6.6742346141747664</v>
      </c>
      <c r="EF3" s="9">
        <f>BQ$3+DX1</f>
        <v>6.5645311547160272</v>
      </c>
      <c r="EG3" s="9">
        <f>BR$3+DX1</f>
        <v>10.728734264634367</v>
      </c>
      <c r="EH3" s="9">
        <f t="shared" ref="EH3:ET3" si="8">BS$3</f>
        <v>9.4780448054086204</v>
      </c>
      <c r="EI3" s="9">
        <f t="shared" si="8"/>
        <v>21.301408404140794</v>
      </c>
      <c r="EJ3" s="9">
        <f t="shared" si="8"/>
        <v>4.5607017003965513</v>
      </c>
      <c r="EK3" s="9">
        <f t="shared" si="8"/>
        <v>17.81018801705353</v>
      </c>
      <c r="EL3" s="9">
        <f t="shared" si="8"/>
        <v>15.336231610144651</v>
      </c>
      <c r="EM3" s="9">
        <f t="shared" si="8"/>
        <v>12.311740225021847</v>
      </c>
      <c r="EN3" s="9">
        <f t="shared" si="8"/>
        <v>24.665765749313358</v>
      </c>
      <c r="EO3" s="9">
        <f t="shared" si="8"/>
        <v>19.442222095223581</v>
      </c>
      <c r="EP3" s="9">
        <f t="shared" si="8"/>
        <v>10.141851056742199</v>
      </c>
      <c r="EQ3" s="9">
        <f t="shared" si="8"/>
        <v>5.8423739467217715</v>
      </c>
      <c r="ER3" s="9">
        <f t="shared" si="8"/>
        <v>3.5</v>
      </c>
      <c r="ES3" s="9">
        <f t="shared" si="8"/>
        <v>0</v>
      </c>
      <c r="ET3" s="9">
        <f t="shared" si="8"/>
        <v>0</v>
      </c>
      <c r="EU3" s="9">
        <f t="shared" ref="EU3:EU4" si="9">SUM(DZ3:ET3)</f>
        <v>196.03331267711837</v>
      </c>
      <c r="EV3" s="9">
        <f>EA3*3/5+EB3*3/5</f>
        <v>10.451237472144822</v>
      </c>
      <c r="EW3" s="9">
        <f>EB3*2/5+EC3*1/5</f>
        <v>4.4742888291554799</v>
      </c>
      <c r="EX3" s="9">
        <f t="shared" ref="EX3:EX14" si="10">SUM(EM3:ET3)</f>
        <v>75.903953073022763</v>
      </c>
      <c r="EY3" s="9">
        <f>SUM(EO3:ET3)</f>
        <v>38.926447098687554</v>
      </c>
      <c r="EZ3" s="13">
        <f>EX3/EU3</f>
        <v>0.38719925729175575</v>
      </c>
      <c r="FA3" s="13">
        <f>EY3/EU3</f>
        <v>0.19857057235370165</v>
      </c>
      <c r="FB3" s="9">
        <f>SUM(ED3:EG3)</f>
        <v>24.706048979401157</v>
      </c>
    </row>
    <row r="4" spans="1:158" x14ac:dyDescent="0.15">
      <c r="A4" s="7" t="str">
        <f t="shared" ref="A4:A14" si="11">B4&amp;"_"&amp;IF(C4="男性",1,IF(C4="女性",2,IF(C4="合計",3)))</f>
        <v>2005_2</v>
      </c>
      <c r="B4" s="29">
        <v>2005</v>
      </c>
      <c r="C4" s="4" t="s">
        <v>22</v>
      </c>
      <c r="D4" s="10">
        <v>9</v>
      </c>
      <c r="E4" s="10">
        <v>9</v>
      </c>
      <c r="F4" s="10">
        <v>9</v>
      </c>
      <c r="G4" s="10">
        <v>16</v>
      </c>
      <c r="H4" s="10">
        <v>18</v>
      </c>
      <c r="I4" s="10">
        <v>15</v>
      </c>
      <c r="J4" s="10">
        <v>10</v>
      </c>
      <c r="K4" s="10">
        <v>12</v>
      </c>
      <c r="L4" s="10">
        <v>15</v>
      </c>
      <c r="M4" s="10">
        <v>17</v>
      </c>
      <c r="N4" s="10">
        <v>30</v>
      </c>
      <c r="O4" s="10">
        <v>20</v>
      </c>
      <c r="P4" s="10">
        <v>15</v>
      </c>
      <c r="Q4" s="10">
        <v>27</v>
      </c>
      <c r="R4" s="10">
        <v>18</v>
      </c>
      <c r="S4" s="10">
        <v>11</v>
      </c>
      <c r="T4" s="10">
        <v>11</v>
      </c>
      <c r="U4" s="10">
        <v>8</v>
      </c>
      <c r="V4" s="10">
        <v>2</v>
      </c>
      <c r="W4" s="10">
        <v>0</v>
      </c>
      <c r="X4" s="10">
        <v>0</v>
      </c>
      <c r="Y4" s="10">
        <f>SUM(D4:X4)</f>
        <v>272</v>
      </c>
      <c r="Z4" s="10">
        <f t="shared" ref="Z4:Z11" si="12">E4*3/5+F4*3/5</f>
        <v>10.8</v>
      </c>
      <c r="AA4" s="10">
        <f t="shared" ref="AA4:AA11" si="13">F4*2/5+G4*1/5</f>
        <v>6.8000000000000007</v>
      </c>
      <c r="AB4" s="10">
        <f t="shared" si="0"/>
        <v>77</v>
      </c>
      <c r="AC4" s="10">
        <f t="shared" ref="AC4:AC11" si="14">SUM(S4:X4)</f>
        <v>32</v>
      </c>
      <c r="AD4" s="14">
        <f t="shared" ref="AD4:AD11" si="15">AB4/Y4</f>
        <v>0.28308823529411764</v>
      </c>
      <c r="AE4" s="14">
        <f t="shared" ref="AE4:AE11" si="16">AC4/Y4</f>
        <v>0.11764705882352941</v>
      </c>
      <c r="AF4" s="10">
        <f t="shared" ref="AF4:AF20" si="17">SUM(H4:K4)</f>
        <v>55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1.1666666666666667</v>
      </c>
      <c r="AO4" s="193">
        <f t="shared" si="18"/>
        <v>0.63636363636363635</v>
      </c>
      <c r="AP4" s="193">
        <f t="shared" si="18"/>
        <v>0.44444444444444442</v>
      </c>
      <c r="AQ4" s="193">
        <f t="shared" si="18"/>
        <v>1.2</v>
      </c>
      <c r="AR4" s="193">
        <f t="shared" si="18"/>
        <v>1</v>
      </c>
      <c r="AS4" s="193">
        <f t="shared" si="18"/>
        <v>0.91666666666666663</v>
      </c>
      <c r="AT4" s="193">
        <f t="shared" si="18"/>
        <v>1.5</v>
      </c>
      <c r="AU4" s="193">
        <f t="shared" si="18"/>
        <v>1.4545454545454546</v>
      </c>
      <c r="AV4" s="193">
        <f t="shared" si="18"/>
        <v>1.3076923076923077</v>
      </c>
      <c r="AW4" s="193">
        <f t="shared" si="18"/>
        <v>0.94444444444444442</v>
      </c>
      <c r="AX4" s="193">
        <f t="shared" si="18"/>
        <v>1.0526315789473684</v>
      </c>
      <c r="AY4" s="193">
        <f t="shared" si="18"/>
        <v>1</v>
      </c>
      <c r="AZ4" s="193">
        <f t="shared" si="18"/>
        <v>0.85185185185185186</v>
      </c>
      <c r="BA4" s="193">
        <f t="shared" si="18"/>
        <v>0.66666666666666663</v>
      </c>
      <c r="BB4" s="193">
        <f t="shared" si="18"/>
        <v>0.77272727272727271</v>
      </c>
      <c r="BC4" s="193">
        <f t="shared" si="18"/>
        <v>0.76923076923076927</v>
      </c>
      <c r="BD4" s="193">
        <f t="shared" si="18"/>
        <v>0.66666666666666663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3.3200175516785597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5.3033008588991057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12.186057606953941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4.8359449579543021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3.4783279649996728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3.7032803990902057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4.0824829046386304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14.129755836531642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15.063501947060349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20.043030632194245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16.97374515807746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18.352234503683619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22.156468376279893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29.615927718090727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16.951637817372042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7.9236412658001445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11.011754685732027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7.4535599249992988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0.08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2E-3</v>
      </c>
      <c r="CF4" s="10">
        <f t="shared" si="2"/>
        <v>222.66667011003588</v>
      </c>
      <c r="CG4" s="10">
        <f t="shared" ref="CG4:CG14" si="20">BL4*3/5+BM4*3/5</f>
        <v>10.493615079511828</v>
      </c>
      <c r="CH4" s="10">
        <f t="shared" ref="CH4:CH14" si="21">BM4*2/5+BN4*1/5</f>
        <v>5.8416120343724369</v>
      </c>
      <c r="CI4" s="10">
        <f t="shared" si="3"/>
        <v>95.194989788274128</v>
      </c>
      <c r="CJ4" s="10">
        <f t="shared" ref="CJ4:CJ14" si="22">SUM(BZ4:CE4)</f>
        <v>43.422593693903515</v>
      </c>
      <c r="CK4" s="14">
        <f t="shared" ref="CK4:CK14" si="23">CI4/CF4</f>
        <v>0.42752240261746999</v>
      </c>
      <c r="CL4" s="14">
        <f t="shared" ref="CL4:CL14" si="24">CJ4/CF4</f>
        <v>0.19501164531020848</v>
      </c>
      <c r="CM4" s="10">
        <f t="shared" ref="CM4:CM14" si="25">SUM(BO4:BR4)</f>
        <v>17.26409126872851</v>
      </c>
      <c r="CO4" s="7" t="str">
        <f t="shared" ref="CO4:CO20" si="26">CP4&amp;"_"&amp;IF(CQ4="男性",1,IF(CQ4="女性",2,IF(CQ4="合計",3)))</f>
        <v>2025_2</v>
      </c>
      <c r="CP4" s="29">
        <f>CP3</f>
        <v>2025</v>
      </c>
      <c r="CQ4" s="4" t="s">
        <v>22</v>
      </c>
      <c r="CR4" s="10">
        <f>BK4+将来予測シート②!$H17</f>
        <v>4.3200175516785597</v>
      </c>
      <c r="CS4" s="10">
        <f>BL4+将来予測シート②!$H18</f>
        <v>5.3033008588991057</v>
      </c>
      <c r="CT4" s="10">
        <f>BM4+将来予測シート②!$H19</f>
        <v>13.186057606953941</v>
      </c>
      <c r="CU4" s="10">
        <f>BN4+将来予測シート②!$H20</f>
        <v>4.8359449579543021</v>
      </c>
      <c r="CV4" s="10">
        <f>BO4+将来予測シート②!$H21</f>
        <v>3.4783279649996728</v>
      </c>
      <c r="CW4" s="10">
        <f>BP4+将来予測シート②!$H22</f>
        <v>5.7032803990902057</v>
      </c>
      <c r="CX4" s="10">
        <f>BQ4+将来予測シート②!$H23</f>
        <v>6</v>
      </c>
      <c r="CY4" s="10">
        <f>BR4+将来予測シート②!$H24</f>
        <v>4.0824829046386304</v>
      </c>
      <c r="CZ4" s="10">
        <f>BS4+将来予測シート②!$H25</f>
        <v>15.129755836531642</v>
      </c>
      <c r="DA4" s="10">
        <f>BT4+将来予測シート②!$H26</f>
        <v>15.063501947060349</v>
      </c>
      <c r="DB4" s="10">
        <f>BU4+将来予測シート②!$H27</f>
        <v>20.043030632194245</v>
      </c>
      <c r="DC4" s="10">
        <f>BV4+将来予測シート②!$H28</f>
        <v>16.97374515807746</v>
      </c>
      <c r="DD4" s="10">
        <f>BW4+将来予測シート②!$H29</f>
        <v>18.352234503683619</v>
      </c>
      <c r="DE4" s="10">
        <f>BX4</f>
        <v>22.156468376279893</v>
      </c>
      <c r="DF4" s="10">
        <f t="shared" ref="DF4" si="27">BY4</f>
        <v>29.615927718090727</v>
      </c>
      <c r="DG4" s="10">
        <f t="shared" ref="DG4" si="28">BZ4</f>
        <v>16.951637817372042</v>
      </c>
      <c r="DH4" s="10">
        <f t="shared" ref="DH4" si="29">CA4</f>
        <v>7.9236412658001445</v>
      </c>
      <c r="DI4" s="10">
        <f t="shared" ref="DI4" si="30">CB4</f>
        <v>11.011754685732027</v>
      </c>
      <c r="DJ4" s="10">
        <f t="shared" ref="DJ4" si="31">CC4</f>
        <v>7.4535599249992988</v>
      </c>
      <c r="DK4" s="10">
        <f t="shared" ref="DK4" si="32">CD4</f>
        <v>0.08</v>
      </c>
      <c r="DL4" s="10">
        <f t="shared" ref="DL4" si="33">CE4</f>
        <v>2E-3</v>
      </c>
      <c r="DM4" s="10">
        <f t="shared" si="5"/>
        <v>227.66667011003588</v>
      </c>
      <c r="DN4" s="10">
        <f t="shared" ref="DN4:DN14" si="34">CS4*3/5+CT4*3/5</f>
        <v>11.093615079511828</v>
      </c>
      <c r="DO4" s="10">
        <f t="shared" ref="DO4:DO14" si="35">CT4*2/5+CU4*1/5</f>
        <v>6.2416120343724364</v>
      </c>
      <c r="DP4" s="10">
        <f t="shared" si="6"/>
        <v>95.194989788274128</v>
      </c>
      <c r="DQ4" s="10">
        <f t="shared" ref="DQ4:DQ14" si="36">SUM(DG4:DL4)</f>
        <v>43.422593693903515</v>
      </c>
      <c r="DR4" s="14">
        <f t="shared" ref="DR4:DR14" si="37">DP4/DM4</f>
        <v>0.41813318454679588</v>
      </c>
      <c r="DS4" s="14">
        <f t="shared" ref="DS4:DS14" si="38">DQ4/DM4</f>
        <v>0.19072881275470188</v>
      </c>
      <c r="DT4" s="10">
        <f>SUM(CV4:CY4)</f>
        <v>19.26409126872851</v>
      </c>
      <c r="DV4" s="289"/>
      <c r="DW4" s="290"/>
      <c r="DX4" s="29">
        <f>DX3</f>
        <v>2025</v>
      </c>
      <c r="DY4" s="4" t="s">
        <v>22</v>
      </c>
      <c r="DZ4" s="10">
        <f>BK$4</f>
        <v>3.3200175516785597</v>
      </c>
      <c r="EA4" s="10">
        <f>BL$4</f>
        <v>5.3033008588991057</v>
      </c>
      <c r="EB4" s="10">
        <f t="shared" ref="EB4:ED4" si="39">BM$4</f>
        <v>12.186057606953941</v>
      </c>
      <c r="EC4" s="10">
        <f t="shared" si="39"/>
        <v>4.8359449579543021</v>
      </c>
      <c r="ED4" s="10">
        <f t="shared" si="39"/>
        <v>3.4783279649996728</v>
      </c>
      <c r="EE4" s="10">
        <f>BP$4+DX1</f>
        <v>6.7032803990902057</v>
      </c>
      <c r="EF4" s="10">
        <f>BQ$4+DX1</f>
        <v>9</v>
      </c>
      <c r="EG4" s="10">
        <f>BR$4+DX1</f>
        <v>7.0824829046386304</v>
      </c>
      <c r="EH4" s="10">
        <f t="shared" ref="EH4:ET4" si="40">BS$4</f>
        <v>14.129755836531642</v>
      </c>
      <c r="EI4" s="10">
        <f t="shared" si="40"/>
        <v>15.063501947060349</v>
      </c>
      <c r="EJ4" s="10">
        <f t="shared" si="40"/>
        <v>20.043030632194245</v>
      </c>
      <c r="EK4" s="10">
        <f t="shared" si="40"/>
        <v>16.97374515807746</v>
      </c>
      <c r="EL4" s="10">
        <f t="shared" si="40"/>
        <v>18.352234503683619</v>
      </c>
      <c r="EM4" s="10">
        <f t="shared" si="40"/>
        <v>22.156468376279893</v>
      </c>
      <c r="EN4" s="10">
        <f t="shared" si="40"/>
        <v>29.615927718090727</v>
      </c>
      <c r="EO4" s="10">
        <f t="shared" si="40"/>
        <v>16.951637817372042</v>
      </c>
      <c r="EP4" s="10">
        <f t="shared" si="40"/>
        <v>7.9236412658001445</v>
      </c>
      <c r="EQ4" s="10">
        <f t="shared" si="40"/>
        <v>11.011754685732027</v>
      </c>
      <c r="ER4" s="10">
        <f t="shared" si="40"/>
        <v>7.4535599249992988</v>
      </c>
      <c r="ES4" s="10">
        <f t="shared" si="40"/>
        <v>0.08</v>
      </c>
      <c r="ET4" s="10">
        <f t="shared" si="40"/>
        <v>2E-3</v>
      </c>
      <c r="EU4" s="10">
        <f t="shared" si="9"/>
        <v>231.66667011003585</v>
      </c>
      <c r="EV4" s="10">
        <f t="shared" ref="EV4:EV14" si="41">EA4*3/5+EB4*3/5</f>
        <v>10.493615079511828</v>
      </c>
      <c r="EW4" s="10">
        <f t="shared" ref="EW4:EW14" si="42">EB4*2/5+EC4*1/5</f>
        <v>5.8416120343724369</v>
      </c>
      <c r="EX4" s="10">
        <f t="shared" si="10"/>
        <v>95.194989788274128</v>
      </c>
      <c r="EY4" s="10">
        <f t="shared" ref="EY4:EY14" si="43">SUM(EO4:ET4)</f>
        <v>43.422593693903515</v>
      </c>
      <c r="EZ4" s="14">
        <f t="shared" ref="EZ4:EZ14" si="44">EX4/EU4</f>
        <v>0.41091361887775613</v>
      </c>
      <c r="FA4" s="14">
        <f t="shared" ref="FA4:FA14" si="45">EY4/EU4</f>
        <v>0.18743565344673394</v>
      </c>
      <c r="FB4" s="10">
        <f>SUM(ED4:EG4)</f>
        <v>26.26409126872851</v>
      </c>
    </row>
    <row r="5" spans="1:158" x14ac:dyDescent="0.15">
      <c r="A5" s="7" t="str">
        <f t="shared" si="11"/>
        <v>2005_3</v>
      </c>
      <c r="B5" s="30">
        <v>2005</v>
      </c>
      <c r="C5" s="5" t="s">
        <v>23</v>
      </c>
      <c r="D5" s="11">
        <v>14</v>
      </c>
      <c r="E5" s="11">
        <v>15</v>
      </c>
      <c r="F5" s="11">
        <v>21</v>
      </c>
      <c r="G5" s="11">
        <v>25</v>
      </c>
      <c r="H5" s="11">
        <v>37</v>
      </c>
      <c r="I5" s="11">
        <v>29</v>
      </c>
      <c r="J5" s="11">
        <v>14</v>
      </c>
      <c r="K5" s="11">
        <v>27</v>
      </c>
      <c r="L5" s="11">
        <v>30</v>
      </c>
      <c r="M5" s="11">
        <v>30</v>
      </c>
      <c r="N5" s="11">
        <v>55</v>
      </c>
      <c r="O5" s="11">
        <v>38</v>
      </c>
      <c r="P5" s="11">
        <v>25</v>
      </c>
      <c r="Q5" s="11">
        <v>48</v>
      </c>
      <c r="R5" s="11">
        <v>36</v>
      </c>
      <c r="S5" s="11">
        <v>25</v>
      </c>
      <c r="T5" s="11">
        <v>18</v>
      </c>
      <c r="U5" s="11">
        <v>12</v>
      </c>
      <c r="V5" s="11">
        <v>4</v>
      </c>
      <c r="W5" s="11">
        <v>1</v>
      </c>
      <c r="X5" s="11">
        <v>0</v>
      </c>
      <c r="Y5" s="11">
        <f>SUM(D5:X5)</f>
        <v>504</v>
      </c>
      <c r="Z5" s="11">
        <f t="shared" si="12"/>
        <v>21.6</v>
      </c>
      <c r="AA5" s="11">
        <f t="shared" si="13"/>
        <v>13.4</v>
      </c>
      <c r="AB5" s="11">
        <f t="shared" si="0"/>
        <v>144</v>
      </c>
      <c r="AC5" s="11">
        <f t="shared" si="14"/>
        <v>60</v>
      </c>
      <c r="AD5" s="15">
        <f t="shared" si="15"/>
        <v>0.2857142857142857</v>
      </c>
      <c r="AE5" s="15">
        <f t="shared" si="16"/>
        <v>0.11904761904761904</v>
      </c>
      <c r="AF5" s="11">
        <f t="shared" si="17"/>
        <v>107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v>
      </c>
      <c r="AO5" s="6">
        <f t="shared" si="1"/>
        <v>0.625</v>
      </c>
      <c r="AP5" s="6">
        <f t="shared" si="1"/>
        <v>0.45454545454545453</v>
      </c>
      <c r="AQ5" s="6">
        <f t="shared" si="1"/>
        <v>0.625</v>
      </c>
      <c r="AR5" s="6">
        <f t="shared" si="1"/>
        <v>0.88235294117647056</v>
      </c>
      <c r="AS5" s="6">
        <f t="shared" si="1"/>
        <v>1</v>
      </c>
      <c r="AT5" s="6">
        <f t="shared" si="1"/>
        <v>0.5</v>
      </c>
      <c r="AU5" s="6">
        <f t="shared" si="1"/>
        <v>0.9375</v>
      </c>
      <c r="AV5" s="6">
        <f t="shared" si="1"/>
        <v>1.0833333333333333</v>
      </c>
      <c r="AW5" s="6">
        <f t="shared" si="1"/>
        <v>0.90909090909090906</v>
      </c>
      <c r="AX5" s="6">
        <f t="shared" si="1"/>
        <v>1</v>
      </c>
      <c r="AY5" s="6">
        <f t="shared" si="1"/>
        <v>1.0526315789473684</v>
      </c>
      <c r="AZ5" s="6">
        <f t="shared" si="1"/>
        <v>1</v>
      </c>
      <c r="BA5" s="6">
        <f t="shared" si="1"/>
        <v>1.1666666666666667</v>
      </c>
      <c r="BB5" s="6">
        <f t="shared" si="1"/>
        <v>0.9375</v>
      </c>
      <c r="BC5" s="6">
        <f t="shared" si="1"/>
        <v>0.2857142857142857</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7.3040386136928319</v>
      </c>
      <c r="BL5" s="16">
        <f t="shared" ref="BL5:CE5" si="46">BL3+BL4</f>
        <v>14.303300858899107</v>
      </c>
      <c r="BM5" s="16">
        <f t="shared" si="46"/>
        <v>20.604786727195311</v>
      </c>
      <c r="BN5" s="16">
        <f t="shared" si="46"/>
        <v>10.369930863248968</v>
      </c>
      <c r="BO5" s="16">
        <f t="shared" si="46"/>
        <v>4.2168769108756692</v>
      </c>
      <c r="BP5" s="16">
        <f t="shared" si="46"/>
        <v>7.3775150132649721</v>
      </c>
      <c r="BQ5" s="16">
        <f t="shared" si="46"/>
        <v>9.5645311547160272</v>
      </c>
      <c r="BR5" s="16">
        <f t="shared" si="46"/>
        <v>11.811217169272997</v>
      </c>
      <c r="BS5" s="16">
        <f t="shared" si="46"/>
        <v>23.607800641940262</v>
      </c>
      <c r="BT5" s="16">
        <f t="shared" si="46"/>
        <v>36.364910351201146</v>
      </c>
      <c r="BU5" s="16">
        <f t="shared" si="46"/>
        <v>24.603732332590795</v>
      </c>
      <c r="BV5" s="16">
        <f t="shared" si="46"/>
        <v>34.78393317513099</v>
      </c>
      <c r="BW5" s="16">
        <f t="shared" si="46"/>
        <v>33.688466113828269</v>
      </c>
      <c r="BX5" s="16">
        <f t="shared" si="46"/>
        <v>34.46820860130174</v>
      </c>
      <c r="BY5" s="16">
        <f t="shared" si="46"/>
        <v>54.281693467404082</v>
      </c>
      <c r="BZ5" s="16">
        <f t="shared" si="46"/>
        <v>36.393859912595623</v>
      </c>
      <c r="CA5" s="16">
        <f t="shared" si="46"/>
        <v>18.065492322542344</v>
      </c>
      <c r="CB5" s="16">
        <f t="shared" si="46"/>
        <v>16.854128632453801</v>
      </c>
      <c r="CC5" s="16">
        <f t="shared" si="46"/>
        <v>10.953559924999299</v>
      </c>
      <c r="CD5" s="16">
        <f t="shared" si="46"/>
        <v>0.08</v>
      </c>
      <c r="CE5" s="16">
        <f t="shared" si="46"/>
        <v>2E-3</v>
      </c>
      <c r="CF5" s="11">
        <f>SUM(BK5:CE5)</f>
        <v>409.69998278715423</v>
      </c>
      <c r="CG5" s="11">
        <f t="shared" si="20"/>
        <v>20.944852551656652</v>
      </c>
      <c r="CH5" s="11">
        <f t="shared" si="21"/>
        <v>10.315900863527919</v>
      </c>
      <c r="CI5" s="11">
        <f t="shared" si="3"/>
        <v>171.09894286129693</v>
      </c>
      <c r="CJ5" s="11">
        <f t="shared" si="22"/>
        <v>82.349040792591069</v>
      </c>
      <c r="CK5" s="15">
        <f t="shared" si="23"/>
        <v>0.41762008799054701</v>
      </c>
      <c r="CL5" s="15">
        <f t="shared" si="24"/>
        <v>0.20099839944433859</v>
      </c>
      <c r="CM5" s="11">
        <f t="shared" si="25"/>
        <v>32.970140248129667</v>
      </c>
      <c r="CO5" s="7" t="str">
        <f t="shared" si="26"/>
        <v>2025_3</v>
      </c>
      <c r="CP5" s="30">
        <f>CP4</f>
        <v>2025</v>
      </c>
      <c r="CQ5" s="5" t="s">
        <v>23</v>
      </c>
      <c r="CR5" s="16">
        <f>CR3+CR4</f>
        <v>9.3040386136928319</v>
      </c>
      <c r="CS5" s="16">
        <f t="shared" ref="CS5" si="47">CS3+CS4</f>
        <v>14.303300858899107</v>
      </c>
      <c r="CT5" s="16">
        <f t="shared" ref="CT5" si="48">CT3+CT4</f>
        <v>22.604786727195311</v>
      </c>
      <c r="CU5" s="16">
        <f t="shared" ref="CU5" si="49">CU3+CU4</f>
        <v>10.369930863248968</v>
      </c>
      <c r="CV5" s="16">
        <f t="shared" ref="CV5" si="50">CV3+CV4</f>
        <v>4.2168769108756692</v>
      </c>
      <c r="CW5" s="16">
        <f t="shared" ref="CW5" si="51">CW3+CW4</f>
        <v>11.377515013264972</v>
      </c>
      <c r="CX5" s="16">
        <f t="shared" ref="CX5" si="52">CX3+CX4</f>
        <v>9.5645311547160272</v>
      </c>
      <c r="CY5" s="16">
        <f t="shared" ref="CY5" si="53">CY3+CY4</f>
        <v>11.811217169272997</v>
      </c>
      <c r="CZ5" s="16">
        <f t="shared" ref="CZ5" si="54">CZ3+CZ4</f>
        <v>24.607800641940262</v>
      </c>
      <c r="DA5" s="16">
        <f t="shared" ref="DA5" si="55">DA3+DA4</f>
        <v>36.364910351201146</v>
      </c>
      <c r="DB5" s="16">
        <f t="shared" ref="DB5" si="56">DB3+DB4</f>
        <v>24.603732332590795</v>
      </c>
      <c r="DC5" s="16">
        <f t="shared" ref="DC5" si="57">DC3+DC4</f>
        <v>34.78393317513099</v>
      </c>
      <c r="DD5" s="16">
        <f t="shared" ref="DD5" si="58">DD3+DD4</f>
        <v>33.688466113828269</v>
      </c>
      <c r="DE5" s="16">
        <f t="shared" ref="DE5" si="59">DE3+DE4</f>
        <v>34.46820860130174</v>
      </c>
      <c r="DF5" s="16">
        <f t="shared" ref="DF5" si="60">DF3+DF4</f>
        <v>54.281693467404082</v>
      </c>
      <c r="DG5" s="16">
        <f t="shared" ref="DG5" si="61">DG3+DG4</f>
        <v>36.393859912595623</v>
      </c>
      <c r="DH5" s="16">
        <f t="shared" ref="DH5" si="62">DH3+DH4</f>
        <v>18.065492322542344</v>
      </c>
      <c r="DI5" s="16">
        <f t="shared" ref="DI5" si="63">DI3+DI4</f>
        <v>16.854128632453801</v>
      </c>
      <c r="DJ5" s="16">
        <f t="shared" ref="DJ5" si="64">DJ3+DJ4</f>
        <v>10.953559924999299</v>
      </c>
      <c r="DK5" s="16">
        <f t="shared" ref="DK5" si="65">DK3+DK4</f>
        <v>0.08</v>
      </c>
      <c r="DL5" s="16">
        <f t="shared" ref="DL5" si="66">DL3+DL4</f>
        <v>2E-3</v>
      </c>
      <c r="DM5" s="11">
        <f>SUM(CR5:DL5)</f>
        <v>418.69998278715423</v>
      </c>
      <c r="DN5" s="11">
        <f t="shared" si="34"/>
        <v>22.144852551656648</v>
      </c>
      <c r="DO5" s="11">
        <f t="shared" si="35"/>
        <v>11.115900863527919</v>
      </c>
      <c r="DP5" s="11">
        <f t="shared" si="6"/>
        <v>171.09894286129693</v>
      </c>
      <c r="DQ5" s="11">
        <f t="shared" si="36"/>
        <v>82.349040792591069</v>
      </c>
      <c r="DR5" s="15">
        <f t="shared" si="37"/>
        <v>0.40864330044234781</v>
      </c>
      <c r="DS5" s="15">
        <f t="shared" si="38"/>
        <v>0.19667791778833946</v>
      </c>
      <c r="DT5" s="11">
        <f>SUM(CV5:CY5)</f>
        <v>36.970140248129667</v>
      </c>
      <c r="DV5" s="289"/>
      <c r="DW5" s="290"/>
      <c r="DX5" s="30">
        <f>DX4</f>
        <v>2025</v>
      </c>
      <c r="DY5" s="5" t="s">
        <v>23</v>
      </c>
      <c r="DZ5" s="16">
        <f>DZ3+DZ4</f>
        <v>7.3040386136928319</v>
      </c>
      <c r="EA5" s="16">
        <f t="shared" ref="EA5:ET5" si="67">EA3+EA4</f>
        <v>14.303300858899107</v>
      </c>
      <c r="EB5" s="16">
        <f t="shared" si="67"/>
        <v>20.604786727195311</v>
      </c>
      <c r="EC5" s="16">
        <f t="shared" si="67"/>
        <v>10.369930863248968</v>
      </c>
      <c r="ED5" s="16">
        <f t="shared" si="67"/>
        <v>4.2168769108756692</v>
      </c>
      <c r="EE5" s="16">
        <f t="shared" si="67"/>
        <v>13.377515013264972</v>
      </c>
      <c r="EF5" s="16">
        <f t="shared" si="67"/>
        <v>15.564531154716027</v>
      </c>
      <c r="EG5" s="16">
        <f t="shared" si="67"/>
        <v>17.811217169272997</v>
      </c>
      <c r="EH5" s="16">
        <f t="shared" si="67"/>
        <v>23.607800641940262</v>
      </c>
      <c r="EI5" s="16">
        <f t="shared" si="67"/>
        <v>36.364910351201146</v>
      </c>
      <c r="EJ5" s="16">
        <f t="shared" si="67"/>
        <v>24.603732332590795</v>
      </c>
      <c r="EK5" s="16">
        <f t="shared" si="67"/>
        <v>34.78393317513099</v>
      </c>
      <c r="EL5" s="16">
        <f t="shared" si="67"/>
        <v>33.688466113828269</v>
      </c>
      <c r="EM5" s="16">
        <f t="shared" si="67"/>
        <v>34.46820860130174</v>
      </c>
      <c r="EN5" s="16">
        <f t="shared" si="67"/>
        <v>54.281693467404082</v>
      </c>
      <c r="EO5" s="16">
        <f t="shared" si="67"/>
        <v>36.393859912595623</v>
      </c>
      <c r="EP5" s="16">
        <f t="shared" si="67"/>
        <v>18.065492322542344</v>
      </c>
      <c r="EQ5" s="16">
        <f t="shared" si="67"/>
        <v>16.854128632453801</v>
      </c>
      <c r="ER5" s="16">
        <f t="shared" si="67"/>
        <v>10.953559924999299</v>
      </c>
      <c r="ES5" s="16">
        <f t="shared" si="67"/>
        <v>0.08</v>
      </c>
      <c r="ET5" s="16">
        <f t="shared" si="67"/>
        <v>2E-3</v>
      </c>
      <c r="EU5" s="11">
        <f>SUM(DZ5:ET5)</f>
        <v>427.69998278715423</v>
      </c>
      <c r="EV5" s="11">
        <f t="shared" si="41"/>
        <v>20.944852551656652</v>
      </c>
      <c r="EW5" s="11">
        <f t="shared" si="42"/>
        <v>10.315900863527919</v>
      </c>
      <c r="EX5" s="11">
        <f t="shared" si="10"/>
        <v>171.09894286129693</v>
      </c>
      <c r="EY5" s="11">
        <f t="shared" si="43"/>
        <v>82.349040792591069</v>
      </c>
      <c r="EZ5" s="15">
        <f t="shared" si="44"/>
        <v>0.40004430616599923</v>
      </c>
      <c r="FA5" s="15">
        <f t="shared" si="45"/>
        <v>0.19253926609010932</v>
      </c>
      <c r="FB5" s="11">
        <f>SUM(ED5:EG5)</f>
        <v>50.970140248129667</v>
      </c>
    </row>
    <row r="6" spans="1:158" x14ac:dyDescent="0.15">
      <c r="A6" s="7" t="str">
        <f t="shared" si="11"/>
        <v>2010_1</v>
      </c>
      <c r="B6" s="28">
        <v>2010</v>
      </c>
      <c r="C6" s="3" t="s">
        <v>21</v>
      </c>
      <c r="D6" s="9">
        <v>8</v>
      </c>
      <c r="E6" s="9">
        <v>1</v>
      </c>
      <c r="F6" s="9">
        <v>8</v>
      </c>
      <c r="G6" s="9">
        <v>11</v>
      </c>
      <c r="H6" s="9">
        <v>8</v>
      </c>
      <c r="I6" s="9">
        <v>17</v>
      </c>
      <c r="J6" s="9">
        <v>12</v>
      </c>
      <c r="K6" s="9">
        <v>2</v>
      </c>
      <c r="L6" s="9">
        <v>16</v>
      </c>
      <c r="M6" s="9">
        <v>12</v>
      </c>
      <c r="N6" s="9">
        <v>11</v>
      </c>
      <c r="O6" s="9">
        <v>26</v>
      </c>
      <c r="P6" s="9">
        <v>19</v>
      </c>
      <c r="Q6" s="9">
        <v>12</v>
      </c>
      <c r="R6" s="9">
        <v>18</v>
      </c>
      <c r="S6" s="9">
        <v>16</v>
      </c>
      <c r="T6" s="9">
        <v>7</v>
      </c>
      <c r="U6" s="9">
        <v>2</v>
      </c>
      <c r="V6" s="9">
        <v>2</v>
      </c>
      <c r="W6" s="9">
        <v>1</v>
      </c>
      <c r="X6" s="9">
        <v>0</v>
      </c>
      <c r="Y6" s="9">
        <f t="shared" ref="Y6:Y11" si="68">SUM(D6:X6)</f>
        <v>209</v>
      </c>
      <c r="Z6" s="9">
        <f t="shared" si="12"/>
        <v>5.3999999999999995</v>
      </c>
      <c r="AA6" s="9">
        <f t="shared" si="13"/>
        <v>5.4</v>
      </c>
      <c r="AB6" s="9">
        <f t="shared" si="0"/>
        <v>58</v>
      </c>
      <c r="AC6" s="9">
        <f t="shared" si="14"/>
        <v>28</v>
      </c>
      <c r="AD6" s="13">
        <f t="shared" si="15"/>
        <v>0.27751196172248804</v>
      </c>
      <c r="AE6" s="13">
        <f t="shared" si="16"/>
        <v>0.13397129186602871</v>
      </c>
      <c r="AF6" s="9">
        <f t="shared" si="17"/>
        <v>39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0.75</v>
      </c>
      <c r="AN6" s="193">
        <f t="shared" si="18"/>
        <v>1.5714285714285714</v>
      </c>
      <c r="AO6" s="193">
        <f t="shared" si="18"/>
        <v>0.75</v>
      </c>
      <c r="AP6" s="193">
        <f t="shared" si="18"/>
        <v>0.55555555555555558</v>
      </c>
      <c r="AQ6" s="193">
        <f t="shared" si="18"/>
        <v>0.7142857142857143</v>
      </c>
      <c r="AR6" s="193">
        <f t="shared" si="18"/>
        <v>1</v>
      </c>
      <c r="AS6" s="193">
        <f t="shared" si="18"/>
        <v>0.72727272727272729</v>
      </c>
      <c r="AT6" s="193">
        <f t="shared" si="18"/>
        <v>1.1000000000000001</v>
      </c>
      <c r="AU6" s="193">
        <f t="shared" si="18"/>
        <v>1.0833333333333333</v>
      </c>
      <c r="AV6" s="193">
        <f t="shared" si="18"/>
        <v>1.2</v>
      </c>
      <c r="AW6" s="193">
        <f t="shared" si="18"/>
        <v>1.0555555555555556</v>
      </c>
      <c r="AX6" s="193">
        <f t="shared" si="18"/>
        <v>1.1071428571428572</v>
      </c>
      <c r="AY6" s="193">
        <f t="shared" si="18"/>
        <v>1.2272727272727273</v>
      </c>
      <c r="AZ6" s="193">
        <f t="shared" si="18"/>
        <v>1.0714285714285714</v>
      </c>
      <c r="BA6" s="193">
        <f t="shared" si="18"/>
        <v>0.81481481481481477</v>
      </c>
      <c r="BB6" s="193">
        <f t="shared" si="18"/>
        <v>0.8125</v>
      </c>
      <c r="BC6" s="193">
        <f t="shared" si="18"/>
        <v>0.54545454545454541</v>
      </c>
      <c r="BD6" s="193">
        <f t="shared" si="18"/>
        <v>0.83333333333333337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3.2828229686449819</v>
      </c>
      <c r="BL6" s="9">
        <f>IF(管理者入力シート!$B$14=1,BK3*管理者用人口入力シート!AM$3,IF(管理者入力シート!$B$14=2,BK3*管理者用人口入力シート!AM$7))</f>
        <v>5.9760315930214079</v>
      </c>
      <c r="BM6" s="9">
        <f>IF(管理者入力シート!$B$14=1,BL3*管理者用人口入力シート!AN$3,IF(管理者入力シート!$B$14=2,BL3*管理者用人口入力シート!AN$7))</f>
        <v>8.4187291202413679</v>
      </c>
      <c r="BN6" s="9">
        <f>IF(管理者入力シート!$B$14=1,BM3*管理者用人口入力シート!AO$3,IF(管理者入力シート!$B$14=2,BM3*管理者用人口入力シート!AO$7))</f>
        <v>6.6555897559870685</v>
      </c>
      <c r="BO6" s="9">
        <f>IF(管理者入力シート!$B$14=1,BN3*管理者用人口入力シート!AP$3,IF(管理者入力シート!$B$14=2,BN3*管理者用人口入力シート!AP$7))</f>
        <v>4.0871194568479963</v>
      </c>
      <c r="BP6" s="9">
        <f>IF(管理者入力シート!$B$14=1,BO3*管理者用人口入力シート!AQ$3,IF(管理者入力シート!$B$14=2,BO3*管理者用人口入力シート!AQ$7))</f>
        <v>0.45226701686664539</v>
      </c>
      <c r="BQ6" s="9">
        <f>IF(管理者入力シート!$B$14=1,BP3*管理者用人口入力シート!AR$3,IF(管理者入力シート!$B$14=2,BP3*管理者用人口入力シート!AR$7))</f>
        <v>4.3656412506539928</v>
      </c>
      <c r="BR6" s="9">
        <f>IF(管理者入力シート!$B$14=1,BQ3*管理者用人口入力シート!AS$3,IF(管理者入力シート!$B$14=2,BQ3*管理者用人口入力シート!AS$7))</f>
        <v>3.4436642591013085</v>
      </c>
      <c r="BS6" s="9">
        <f>IF(管理者入力シート!$B$14=1,BR3*管理者用人口入力シート!AT$3,IF(管理者入力シート!$B$14=2,BR3*管理者用人口入力シート!AT$7))</f>
        <v>5.232377832092955</v>
      </c>
      <c r="BT6" s="9">
        <f>IF(管理者入力シート!$B$14=1,BS3*管理者用人口入力シート!AU$3,IF(管理者入力シート!$B$14=2,BS3*管理者用人口入力シート!AU$7))</f>
        <v>18.354154842977653</v>
      </c>
      <c r="BU6" s="9">
        <f>IF(管理者入力シート!$B$14=1,BT3*管理者用人口入力シート!AV$3,IF(管理者入力シート!$B$14=2,BT3*管理者用人口入力シート!AV$7))</f>
        <v>24.287342382401576</v>
      </c>
      <c r="BV6" s="9">
        <f>IF(管理者入力シート!$B$14=1,BU3*管理者用人口入力シート!AW$3,IF(管理者入力シート!$B$14=2,BU3*管理者用人口入力シート!AW$7))</f>
        <v>4.5126085985421289</v>
      </c>
      <c r="BW6" s="9">
        <f>IF(管理者入力シート!$B$14=1,BV3*管理者用人口入力シート!AX$3,IF(管理者入力シート!$B$14=2,BV3*管理者用人口入力シート!AX$7))</f>
        <v>19.510083460696844</v>
      </c>
      <c r="BX6" s="9">
        <f>IF(管理者入力シート!$B$14=1,BW3*管理者用人口入力シート!AY$3,IF(管理者入力シート!$B$14=2,BW3*管理者用人口入力シート!AY$7))</f>
        <v>15.734641634572457</v>
      </c>
      <c r="BY6" s="9">
        <f>IF(管理者入力シート!$B$14=1,BX3*管理者用人口入力シート!AZ$3,IF(管理者入力シート!$B$14=2,BX3*管理者用人口入力シート!AZ$7))</f>
        <v>11.679942321414901</v>
      </c>
      <c r="BZ6" s="9">
        <f>IF(管理者入力シート!$B$14=1,BY3*管理者用人口入力シート!BA$3,IF(管理者入力シート!$B$14=2,BY3*管理者用人口入力シート!BA$7))</f>
        <v>26.642071991494959</v>
      </c>
      <c r="CA6" s="9">
        <f>IF(管理者入力シート!$B$14=1,BZ3*管理者用人口入力シート!BB$3,IF(管理者入力シート!$B$14=2,BZ3*管理者用人口入力シート!BB$7))</f>
        <v>16.431676725154983</v>
      </c>
      <c r="CB6" s="9">
        <f>IF(管理者入力シート!$B$14=1,CA3*管理者用人口入力シート!BC$3,IF(管理者入力シート!$B$14=2,CA3*管理者用人口入力シート!BC$7))</f>
        <v>3.7032803990902057</v>
      </c>
      <c r="CC6" s="9">
        <f>IF(管理者入力シート!$B$14=1,CB3*管理者用人口入力シート!BD$3,IF(管理者入力シート!$B$14=2,CB3*管理者用人口入力シート!BD$7))</f>
        <v>2.9211869733608857</v>
      </c>
      <c r="CD6" s="9">
        <f>IF(管理者入力シート!$B$14=1,CC3*管理者用人口入力シート!BE$3,IF(管理者入力シート!$B$14=2,CC3*管理者用人口入力シート!BE$7))</f>
        <v>3.5000000000000001E-3</v>
      </c>
      <c r="CE6" s="9">
        <f>IF(管理者入力シート!$B$14=1,CD3*管理者用人口入力シート!BF$3,IF(管理者入力シート!$B$14=2,CD3*管理者用人口入力シート!BF$7))</f>
        <v>0</v>
      </c>
      <c r="CF6" s="9">
        <f t="shared" si="2"/>
        <v>185.6947325831643</v>
      </c>
      <c r="CG6" s="9">
        <f t="shared" si="20"/>
        <v>8.6368564279576674</v>
      </c>
      <c r="CH6" s="9">
        <f t="shared" si="21"/>
        <v>4.6986095992939614</v>
      </c>
      <c r="CI6" s="9">
        <f t="shared" si="3"/>
        <v>77.116300045088394</v>
      </c>
      <c r="CJ6" s="9">
        <f t="shared" si="22"/>
        <v>49.701716089101041</v>
      </c>
      <c r="CK6" s="13">
        <f t="shared" si="23"/>
        <v>0.41528533939729001</v>
      </c>
      <c r="CL6" s="13">
        <f t="shared" si="24"/>
        <v>0.26765280521267282</v>
      </c>
      <c r="CM6" s="9">
        <f t="shared" si="25"/>
        <v>12.348691983469941</v>
      </c>
      <c r="CO6" s="7" t="str">
        <f t="shared" si="26"/>
        <v>2030_1</v>
      </c>
      <c r="CP6" s="28">
        <f>管理者入力シート!B9</f>
        <v>2030</v>
      </c>
      <c r="CQ6" s="3" t="s">
        <v>21</v>
      </c>
      <c r="CR6" s="9">
        <f>DT7*$AK$13+将来予測シート②!$G17</f>
        <v>5.2058998917219057</v>
      </c>
      <c r="CS6" s="9">
        <f>IF(管理者入力シート!$B$14=1,CR3*管理者用人口入力シート!AM$3,IF(管理者入力シート!$B$14=2,CR3*管理者用人口入力シート!AM$7))+将来予測シート②!$G18</f>
        <v>7.476031593021407</v>
      </c>
      <c r="CT6" s="9">
        <f>IF(管理者入力シート!$B$14=1,CS3*管理者用人口入力シート!AN$3,IF(管理者入力シート!$B$14=2,CS3*管理者用人口入力シート!AN$7))+将来予測シート②!$G19</f>
        <v>9.4187291202413679</v>
      </c>
      <c r="CU6" s="9">
        <f>IF(管理者入力シート!$B$14=1,CT3*管理者用人口入力シート!AO$3,IF(管理者入力シート!$B$14=2,CT3*管理者用人口入力シート!AO$7))+将来予測シート②!$G20</f>
        <v>7.446159171029163</v>
      </c>
      <c r="CV6" s="9">
        <f>IF(管理者入力シート!$B$14=1,CU3*管理者用人口入力シート!AP$3,IF(管理者入力シート!$B$14=2,CU3*管理者用人口入力シート!AP$7))+将来予測シート②!$G21</f>
        <v>4.0871194568479963</v>
      </c>
      <c r="CW6" s="9">
        <f>IF(管理者入力シート!$B$14=1,CV3*管理者用人口入力シート!AQ$3,IF(管理者入力シート!$B$14=2,CV3*管理者用人口入力シート!AQ$7))+将来予測シート②!$G22</f>
        <v>2.4522670168666454</v>
      </c>
      <c r="CX6" s="9">
        <f>IF(管理者入力シート!$B$14=1,CW3*管理者用人口入力シート!AR$3,IF(管理者入力シート!$B$14=2,CW3*管理者用人口入力シート!AR$7))+将来予測シート②!$G23</f>
        <v>6.7419953537980106</v>
      </c>
      <c r="CY6" s="9">
        <f>IF(管理者入力シート!$B$14=1,CX3*管理者用人口入力シート!AS$3,IF(管理者入力シート!$B$14=2,CX3*管理者用人口入力シート!AS$7))+将来予測シート②!$G24</f>
        <v>3.4436642591013085</v>
      </c>
      <c r="CZ6" s="9">
        <f>IF(管理者入力シート!$B$14=1,CY3*管理者用人口入力シート!AT$3,IF(管理者入力シート!$B$14=2,CY3*管理者用人口入力シート!AT$7))+将来予測シート②!$G25</f>
        <v>5.232377832092955</v>
      </c>
      <c r="DA6" s="9">
        <f>IF(管理者入力シート!$B$14=1,CZ3*管理者用人口入力シート!AU$3,IF(管理者入力シート!$B$14=2,CZ3*管理者用人口入力シート!AU$7))+将来予測シート②!$G26</f>
        <v>18.354154842977653</v>
      </c>
      <c r="DB6" s="9">
        <f>IF(管理者入力シート!$B$14=1,DA3*管理者用人口入力シート!AV$3,IF(管理者入力シート!$B$14=2,DA3*管理者用人口入力シート!AV$7))+将来予測シート②!$G27</f>
        <v>24.287342382401576</v>
      </c>
      <c r="DC6" s="9">
        <f>IF(管理者入力シート!$B$14=1,DB3*管理者用人口入力シート!AW$3,IF(管理者入力シート!$B$14=2,DB3*管理者用人口入力シート!AW$7))+将来予測シート②!$G28</f>
        <v>4.5126085985421289</v>
      </c>
      <c r="DD6" s="9">
        <f>IF(管理者入力シート!$B$14=1,DC3*管理者用人口入力シート!AX$3,IF(管理者入力シート!$B$14=2,DC3*管理者用人口入力シート!AX$7))+将来予測シート②!$G29</f>
        <v>19.510083460696844</v>
      </c>
      <c r="DE6" s="9">
        <f>IF(管理者入力シート!$B$14=1,DD3*管理者用人口入力シート!AY$3,IF(管理者入力シート!$B$14=2,DD3*管理者用人口入力シート!AY$7))</f>
        <v>15.734641634572457</v>
      </c>
      <c r="DF6" s="9">
        <f>IF(管理者入力シート!$B$14=1,DE3*管理者用人口入力シート!AZ$3,IF(管理者入力シート!$B$14=2,DE3*管理者用人口入力シート!AZ$7))</f>
        <v>11.679942321414901</v>
      </c>
      <c r="DG6" s="9">
        <f>IF(管理者入力シート!$B$14=1,DF3*管理者用人口入力シート!BA$3,IF(管理者入力シート!$B$14=2,DF3*管理者用人口入力シート!BA$7))</f>
        <v>26.642071991494959</v>
      </c>
      <c r="DH6" s="9">
        <f>IF(管理者入力シート!$B$14=1,DG3*管理者用人口入力シート!BB$3,IF(管理者入力シート!$B$14=2,DG3*管理者用人口入力シート!BB$7))</f>
        <v>16.431676725154983</v>
      </c>
      <c r="DI6" s="9">
        <f>IF(管理者入力シート!$B$14=1,DH3*管理者用人口入力シート!BC$3,IF(管理者入力シート!$B$14=2,DH3*管理者用人口入力シート!BC$7))</f>
        <v>3.7032803990902057</v>
      </c>
      <c r="DJ6" s="9">
        <f>IF(管理者入力シート!$B$14=1,DI3*管理者用人口入力シート!BD$3,IF(管理者入力シート!$B$14=2,DI3*管理者用人口入力シート!BD$7))</f>
        <v>2.9211869733608857</v>
      </c>
      <c r="DK6" s="9">
        <f>IF(管理者入力シート!$B$14=1,DJ3*管理者用人口入力シート!BE$3,IF(管理者入力シート!$B$14=2,DJ3*管理者用人口入力シート!BE$7))</f>
        <v>3.5000000000000001E-3</v>
      </c>
      <c r="DL6" s="9">
        <f>IF(管理者入力シート!$B$14=1,DK3*管理者用人口入力シート!BF$3,IF(管理者入力シート!$B$14=2,DK3*管理者用人口入力シート!BF$7))</f>
        <v>0</v>
      </c>
      <c r="DM6" s="9">
        <f t="shared" ref="DM6:DM14" si="69">SUM(CR6:DL6)</f>
        <v>195.28473302442734</v>
      </c>
      <c r="DN6" s="9">
        <f t="shared" si="34"/>
        <v>10.136856427957666</v>
      </c>
      <c r="DO6" s="9">
        <f t="shared" si="35"/>
        <v>5.2567234823023803</v>
      </c>
      <c r="DP6" s="9">
        <f t="shared" si="6"/>
        <v>77.116300045088394</v>
      </c>
      <c r="DQ6" s="9">
        <f t="shared" si="36"/>
        <v>49.701716089101041</v>
      </c>
      <c r="DR6" s="13">
        <f t="shared" si="37"/>
        <v>0.39489159675089525</v>
      </c>
      <c r="DS6" s="13">
        <f t="shared" si="38"/>
        <v>0.25450896913116122</v>
      </c>
      <c r="DT6" s="9">
        <f t="shared" ref="DT6:DT14" si="70">SUM(CV6:CY6)</f>
        <v>16.725046086613961</v>
      </c>
      <c r="DV6" s="7" t="s">
        <v>400</v>
      </c>
      <c r="DX6" s="28">
        <f>管理者入力シート!B9</f>
        <v>2030</v>
      </c>
      <c r="DY6" s="3" t="s">
        <v>21</v>
      </c>
      <c r="DZ6" s="9">
        <f>FB7*$AK$13</f>
        <v>6.6173206015949466</v>
      </c>
      <c r="EA6" s="129">
        <f>IF(管理者入力シート!$B$14=1,DZ3*管理者用人口入力シート!AM$3,IF(管理者入力シート!$B$14=2,DZ3*管理者用人口入力シート!AM$7))</f>
        <v>5.9760315930214079</v>
      </c>
      <c r="EB6" s="9">
        <f>IF(管理者入力シート!$B$14=1,EA3*管理者用人口入力シート!AN$3,IF(管理者入力シート!$B$14=2,EA3*管理者用人口入力シート!AN$7))</f>
        <v>8.4187291202413679</v>
      </c>
      <c r="EC6" s="9">
        <f>IF(管理者入力シート!$B$14=1,EB3*管理者用人口入力シート!AO$3,IF(管理者入力シート!$B$14=2,EB3*管理者用人口入力シート!AO$7))</f>
        <v>6.6555897559870685</v>
      </c>
      <c r="ED6" s="9">
        <f>IF(管理者入力シート!$B$14=1,EC3*管理者用人口入力シート!AP$3,IF(管理者入力シート!$B$14=2,EC3*管理者用人口入力シート!AP$7))</f>
        <v>4.0871194568479963</v>
      </c>
      <c r="EE6" s="9">
        <f>IF(管理者入力シート!$B$14=1,ED3*管理者用人口入力シート!AQ$3,IF(管理者入力シート!$B$14=2,ED3*管理者用人口入力シート!AQ$7))+DX1</f>
        <v>3.4522670168666454</v>
      </c>
      <c r="EF6" s="9">
        <f>IF(管理者入力シート!$B$14=1,EE3*管理者用人口入力シート!AR$3,IF(管理者入力シート!$B$14=2,EE3*管理者用人口入力シート!AR$7))+DX1</f>
        <v>10.930172405370019</v>
      </c>
      <c r="EG6" s="9">
        <f>IF(管理者入力シート!$B$14=1,EF3*管理者用人口入力シート!AS$3,IF(管理者入力シート!$B$14=2,EF3*管理者用人口入力シート!AS$7))+DX1</f>
        <v>9.3419396083391959</v>
      </c>
      <c r="EH6" s="9">
        <f>IF(管理者入力シート!$B$14=1,EG3*管理者用人口入力シート!AT$3,IF(管理者入力シート!$B$14=2,EG3*管理者用人口入力シート!AT$7))</f>
        <v>7.2633874332519452</v>
      </c>
      <c r="EI6" s="9">
        <f>IF(管理者入力シート!$B$14=1,EH3*管理者用人口入力シート!AU$3,IF(管理者入力シート!$B$14=2,EH3*管理者用人口入力シート!AU$7))</f>
        <v>18.354154842977653</v>
      </c>
      <c r="EJ6" s="9">
        <f>IF(管理者入力シート!$B$14=1,EI3*管理者用人口入力シート!AV$3,IF(管理者入力シート!$B$14=2,EI3*管理者用人口入力シート!AV$7))</f>
        <v>24.287342382401576</v>
      </c>
      <c r="EK6" s="9">
        <f>IF(管理者入力シート!$B$14=1,EJ3*管理者用人口入力シート!AW$3,IF(管理者入力シート!$B$14=2,EJ3*管理者用人口入力シート!AW$7))</f>
        <v>4.5126085985421289</v>
      </c>
      <c r="EL6" s="9">
        <f>IF(管理者入力シート!$B$14=1,EK3*管理者用人口入力シート!AX$3,IF(管理者入力シート!$B$14=2,EK3*管理者用人口入力シート!AX$7))</f>
        <v>19.510083460696844</v>
      </c>
      <c r="EM6" s="9">
        <f>IF(管理者入力シート!$B$14=1,EL3*管理者用人口入力シート!AY$3,IF(管理者入力シート!$B$14=2,EL3*管理者用人口入力シート!AY$7))</f>
        <v>15.734641634572457</v>
      </c>
      <c r="EN6" s="9">
        <f>IF(管理者入力シート!$B$14=1,EM3*管理者用人口入力シート!AZ$3,IF(管理者入力シート!$B$14=2,EM3*管理者用人口入力シート!AZ$7))</f>
        <v>11.679942321414901</v>
      </c>
      <c r="EO6" s="9">
        <f>IF(管理者入力シート!$B$14=1,EN3*管理者用人口入力シート!BA$3,IF(管理者入力シート!$B$14=2,EN3*管理者用人口入力シート!BA$7))</f>
        <v>26.642071991494959</v>
      </c>
      <c r="EP6" s="9">
        <f>IF(管理者入力シート!$B$14=1,EO3*管理者用人口入力シート!BB$3,IF(管理者入力シート!$B$14=2,EO3*管理者用人口入力シート!BB$7))</f>
        <v>16.431676725154983</v>
      </c>
      <c r="EQ6" s="9">
        <f>IF(管理者入力シート!$B$14=1,EP3*管理者用人口入力シート!BC$3,IF(管理者入力シート!$B$14=2,EP3*管理者用人口入力シート!BC$7))</f>
        <v>3.7032803990902057</v>
      </c>
      <c r="ER6" s="9">
        <f>IF(管理者入力シート!$B$14=1,EQ3*管理者用人口入力シート!BD$3,IF(管理者入力シート!$B$14=2,EQ3*管理者用人口入力シート!BD$7))</f>
        <v>2.9211869733608857</v>
      </c>
      <c r="ES6" s="9">
        <f>IF(管理者入力シート!$B$14=1,ER3*管理者用人口入力シート!BE$3,IF(管理者入力シート!$B$14=2,ER3*管理者用人口入力シート!BE$7))</f>
        <v>3.5000000000000001E-3</v>
      </c>
      <c r="ET6" s="9">
        <f>IF(管理者入力シート!$B$14=1,ES3*管理者用人口入力シート!BF$3,IF(管理者入力シート!$B$14=2,ES3*管理者用人口入力シート!BF$7))</f>
        <v>0</v>
      </c>
      <c r="EU6" s="9">
        <f t="shared" ref="EU6:EU14" si="71">SUM(DZ6:ET6)</f>
        <v>206.52304632122716</v>
      </c>
      <c r="EV6" s="9">
        <f t="shared" si="41"/>
        <v>8.6368564279576674</v>
      </c>
      <c r="EW6" s="9">
        <f t="shared" si="42"/>
        <v>4.6986095992939614</v>
      </c>
      <c r="EX6" s="9">
        <f t="shared" si="10"/>
        <v>77.116300045088394</v>
      </c>
      <c r="EY6" s="9">
        <f t="shared" si="43"/>
        <v>49.701716089101041</v>
      </c>
      <c r="EZ6" s="13">
        <f t="shared" si="44"/>
        <v>0.37340287884937184</v>
      </c>
      <c r="FA6" s="13">
        <f t="shared" si="45"/>
        <v>0.24065941779589431</v>
      </c>
      <c r="FB6" s="9">
        <f t="shared" ref="FB6:FB14" si="72">SUM(ED6:EG6)</f>
        <v>27.811498487423854</v>
      </c>
    </row>
    <row r="7" spans="1:158" x14ac:dyDescent="0.15">
      <c r="A7" s="7" t="str">
        <f t="shared" si="11"/>
        <v>2010_2</v>
      </c>
      <c r="B7" s="29">
        <v>2010</v>
      </c>
      <c r="C7" s="4" t="s">
        <v>22</v>
      </c>
      <c r="D7" s="10">
        <v>8</v>
      </c>
      <c r="E7" s="10">
        <v>7</v>
      </c>
      <c r="F7" s="10">
        <v>12</v>
      </c>
      <c r="G7" s="10">
        <v>9</v>
      </c>
      <c r="H7" s="10">
        <v>7</v>
      </c>
      <c r="I7" s="10">
        <v>12</v>
      </c>
      <c r="J7" s="10">
        <v>11</v>
      </c>
      <c r="K7" s="10">
        <v>10</v>
      </c>
      <c r="L7" s="10">
        <v>12</v>
      </c>
      <c r="M7" s="10">
        <v>15</v>
      </c>
      <c r="N7" s="10">
        <v>18</v>
      </c>
      <c r="O7" s="10">
        <v>28</v>
      </c>
      <c r="P7" s="10">
        <v>22</v>
      </c>
      <c r="Q7" s="10">
        <v>14</v>
      </c>
      <c r="R7" s="10">
        <v>27</v>
      </c>
      <c r="S7" s="10">
        <v>16</v>
      </c>
      <c r="T7" s="10">
        <v>11</v>
      </c>
      <c r="U7" s="10">
        <v>6</v>
      </c>
      <c r="V7" s="10">
        <v>5</v>
      </c>
      <c r="W7" s="10">
        <v>0</v>
      </c>
      <c r="X7" s="10">
        <v>0</v>
      </c>
      <c r="Y7" s="10">
        <f t="shared" si="68"/>
        <v>250</v>
      </c>
      <c r="Z7" s="10">
        <f t="shared" si="12"/>
        <v>11.4</v>
      </c>
      <c r="AA7" s="10">
        <f t="shared" si="13"/>
        <v>6.6</v>
      </c>
      <c r="AB7" s="10">
        <f t="shared" si="0"/>
        <v>79</v>
      </c>
      <c r="AC7" s="10">
        <f t="shared" si="14"/>
        <v>38</v>
      </c>
      <c r="AD7" s="14">
        <f t="shared" si="15"/>
        <v>0.316</v>
      </c>
      <c r="AE7" s="14">
        <f t="shared" si="16"/>
        <v>0.152</v>
      </c>
      <c r="AF7" s="10">
        <f t="shared" si="17"/>
        <v>40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1.5</v>
      </c>
      <c r="AN7" s="48">
        <f t="shared" si="73"/>
        <v>0.93541434669348533</v>
      </c>
      <c r="AO7" s="48">
        <f t="shared" si="73"/>
        <v>0.79056941504209488</v>
      </c>
      <c r="AP7" s="48">
        <f t="shared" si="73"/>
        <v>0.7385489458759964</v>
      </c>
      <c r="AQ7" s="48">
        <f t="shared" si="73"/>
        <v>0.61237243569579447</v>
      </c>
      <c r="AR7" s="48">
        <f t="shared" si="73"/>
        <v>1.1881770515720091</v>
      </c>
      <c r="AS7" s="48">
        <f t="shared" si="73"/>
        <v>0.96609178307929588</v>
      </c>
      <c r="AT7" s="48">
        <f t="shared" si="73"/>
        <v>0.67700320038633</v>
      </c>
      <c r="AU7" s="48">
        <f t="shared" si="73"/>
        <v>1.9364916731037085</v>
      </c>
      <c r="AV7" s="48">
        <f t="shared" si="73"/>
        <v>1.1401754250991378</v>
      </c>
      <c r="AW7" s="48">
        <f t="shared" si="73"/>
        <v>0.98945488983630725</v>
      </c>
      <c r="AX7" s="48">
        <f t="shared" si="73"/>
        <v>1.0954451150103321</v>
      </c>
      <c r="AY7" s="48">
        <f t="shared" si="73"/>
        <v>1.025978352085154</v>
      </c>
      <c r="AZ7" s="48">
        <f t="shared" si="73"/>
        <v>0.94868329805051377</v>
      </c>
      <c r="BA7" s="48">
        <f t="shared" si="73"/>
        <v>1.0801234497346435</v>
      </c>
      <c r="BB7" s="48">
        <f t="shared" si="73"/>
        <v>0.84515425472851657</v>
      </c>
      <c r="BC7" s="48">
        <f t="shared" si="73"/>
        <v>0.36514837167011072</v>
      </c>
      <c r="BD7" s="48">
        <f t="shared" si="73"/>
        <v>0.5</v>
      </c>
      <c r="BE7" s="48">
        <f t="shared" si="73"/>
        <v>1E-3</v>
      </c>
      <c r="BF7" s="48">
        <f t="shared" si="73"/>
        <v>1E-3</v>
      </c>
      <c r="BH7" s="7" t="str">
        <f t="shared" si="19"/>
        <v>2030_2</v>
      </c>
      <c r="BI7" s="29">
        <f>BI6</f>
        <v>2030</v>
      </c>
      <c r="BJ7" s="4" t="s">
        <v>22</v>
      </c>
      <c r="BK7" s="10">
        <f>CM7*$AK$14</f>
        <v>2.7356858072041517</v>
      </c>
      <c r="BL7" s="10">
        <f>IF(管理者入力シート!$B$14=1,BK4*管理者用人口入力シート!AM$4,IF(管理者入力シート!$B$14=2,BK4*管理者用人口入力シート!AM$8))</f>
        <v>3.5214103866754027</v>
      </c>
      <c r="BM7" s="10">
        <f>IF(管理者入力シート!$B$14=1,BL4*管理者用人口入力シート!AN$4,IF(管理者入力シート!$B$14=2,BL4*管理者用人口入力シート!AN$8))</f>
        <v>7.1807033081725358</v>
      </c>
      <c r="BN7" s="10">
        <f>IF(管理者入力シート!$B$14=1,BM4*管理者用人口入力シート!AO$4,IF(管理者入力シート!$B$14=2,BM4*管理者用人口入力シート!AO$8))</f>
        <v>8.4187291202413679</v>
      </c>
      <c r="BO7" s="10">
        <f>IF(管理者入力シート!$B$14=1,BN4*管理者用人口入力シート!AP$4,IF(管理者入力シート!$B$14=2,BN4*管理者用人口入力シート!AP$8))</f>
        <v>2.4030003692073736</v>
      </c>
      <c r="BP7" s="10">
        <f>IF(管理者入力シート!$B$14=1,BO4*管理者用人口入力シート!AQ$4,IF(管理者入力シート!$B$14=2,BO4*管理者用人口入力シート!AQ$8))</f>
        <v>3.2203059435976527</v>
      </c>
      <c r="BQ7" s="10">
        <f>IF(管理者入力シート!$B$14=1,BP4*管理者用人口入力シート!AR$4,IF(管理者入力シート!$B$14=2,BP4*管理者用人口入力シート!AR$8))</f>
        <v>3.7032803990902057</v>
      </c>
      <c r="BR7" s="10">
        <f>IF(管理者入力シート!$B$14=1,BQ4*管理者用人口入力シート!AS$4,IF(管理者入力シート!$B$14=2,BQ4*管理者用人口入力シート!AS$8))</f>
        <v>4.8989794855663558</v>
      </c>
      <c r="BS7" s="10">
        <f>IF(管理者入力シート!$B$14=1,BR4*管理者用人口入力シート!AT$4,IF(管理者入力シート!$B$14=2,BR4*管理者用人口入力シート!AT$8))</f>
        <v>5.2440442408507577</v>
      </c>
      <c r="BT7" s="10">
        <f>IF(管理者入力シート!$B$14=1,BS4*管理者用人口入力シート!AU$4,IF(管理者入力シート!$B$14=2,BS4*管理者用人口入力シート!AU$8))</f>
        <v>17.736967046256808</v>
      </c>
      <c r="BU7" s="10">
        <f>IF(管理者入力シート!$B$14=1,BT4*管理者用人口入力シート!AV$4,IF(管理者入力シート!$B$14=2,BT4*管理者用人口入力シート!AV$8))</f>
        <v>18.869889434565515</v>
      </c>
      <c r="BV7" s="10">
        <f>IF(管理者入力シート!$B$14=1,BU4*管理者用人口入力シート!AW$4,IF(管理者入力シート!$B$14=2,BU4*管理者用人口入力シート!AW$8))</f>
        <v>20.012076126259135</v>
      </c>
      <c r="BW7" s="10">
        <f>IF(管理者入力シート!$B$14=1,BV4*管理者用人口入力シート!AX$4,IF(管理者入力シート!$B$14=2,BV4*管理者用人口入力シート!AX$8))</f>
        <v>18.323891267458936</v>
      </c>
      <c r="BX7" s="10">
        <f>IF(管理者入力シート!$B$14=1,BW4*管理者用人口入力シート!AY$4,IF(管理者入力シート!$B$14=2,BW4*管理者用人口入力シート!AY$8))</f>
        <v>20.33103517074694</v>
      </c>
      <c r="BY7" s="10">
        <f>IF(管理者入力シート!$B$14=1,BX4*管理者用人口入力シート!AZ$4,IF(管理者入力シート!$B$14=2,BX4*管理者用人口入力シート!AZ$8))</f>
        <v>21.167237610324783</v>
      </c>
      <c r="BZ7" s="10">
        <f>IF(管理者入力シート!$B$14=1,BY4*管理者用人口入力シート!BA$4,IF(管理者入力シート!$B$14=2,BY4*管理者用人口入力シート!BA$8))</f>
        <v>21.827760013154073</v>
      </c>
      <c r="CA7" s="10">
        <f>IF(管理者入力シート!$B$14=1,BZ4*管理者用人口入力シート!BB$4,IF(管理者入力シート!$B$14=2,BZ4*管理者用人口入力シート!BB$8))</f>
        <v>13.43186969326274</v>
      </c>
      <c r="CB7" s="10">
        <f>IF(管理者入力シート!$B$14=1,CA4*管理者用人口入力シート!BC$4,IF(管理者入力シート!$B$14=2,CA4*管理者用人口入力シート!BC$8))</f>
        <v>5.1325408139255524</v>
      </c>
      <c r="CC7" s="10">
        <f>IF(管理者入力シート!$B$14=1,CB4*管理者用人口入力シート!BD$4,IF(管理者入力シート!$B$14=2,CB4*管理者用人口入力シート!BD$8))</f>
        <v>8.2076773429495482</v>
      </c>
      <c r="CD7" s="10">
        <f>IF(管理者入力シート!$B$14=1,CC4*管理者用人口入力シート!BE$4,IF(管理者入力シート!$B$14=2,CC4*管理者用人口入力シート!BE$8))</f>
        <v>0.14907119849998599</v>
      </c>
      <c r="CE7" s="10">
        <f>IF(管理者入力シート!$B$14=1,CD4*管理者用人口入力シート!BF$4,IF(管理者入力シート!$B$14=2,CD4*管理者用人口入力シート!BF$8))</f>
        <v>8.0000000000000007E-5</v>
      </c>
      <c r="CF7" s="10">
        <f t="shared" si="2"/>
        <v>206.51623477800979</v>
      </c>
      <c r="CG7" s="10">
        <f t="shared" si="20"/>
        <v>6.4212682169087634</v>
      </c>
      <c r="CH7" s="10">
        <f t="shared" si="21"/>
        <v>4.5560271473172875</v>
      </c>
      <c r="CI7" s="10">
        <f t="shared" si="3"/>
        <v>90.247271842863626</v>
      </c>
      <c r="CJ7" s="10">
        <f t="shared" si="22"/>
        <v>48.748999061791899</v>
      </c>
      <c r="CK7" s="14">
        <f t="shared" si="23"/>
        <v>0.43699843714404829</v>
      </c>
      <c r="CL7" s="14">
        <f t="shared" si="24"/>
        <v>0.23605407639836934</v>
      </c>
      <c r="CM7" s="10">
        <f t="shared" si="25"/>
        <v>14.225566197461587</v>
      </c>
      <c r="CO7" s="7" t="str">
        <f t="shared" si="26"/>
        <v>2030_2</v>
      </c>
      <c r="CP7" s="29">
        <f>CP6</f>
        <v>2030</v>
      </c>
      <c r="CQ7" s="4" t="s">
        <v>22</v>
      </c>
      <c r="CR7" s="10">
        <f>DT7*$AK$14+将来予測シート②!$H17</f>
        <v>4.5049165764349208</v>
      </c>
      <c r="CS7" s="10">
        <f>IF(管理者入力シート!$B$14=1,CR4*管理者用人口入力シート!AM$4,IF(管理者入力シート!$B$14=2,CR4*管理者用人口入力シート!AM$8))+将来予測シート②!$H18</f>
        <v>4.5820705584552242</v>
      </c>
      <c r="CT7" s="10">
        <f>IF(管理者入力シート!$B$14=1,CS4*管理者用人口入力シート!AN$4,IF(管理者入力シート!$B$14=2,CS4*管理者用人口入力シート!AN$8))+将来予測シート②!$H19</f>
        <v>8.1807033081725358</v>
      </c>
      <c r="CU7" s="10">
        <f>IF(管理者入力シート!$B$14=1,CT4*管理者用人口入力シート!AO$4,IF(管理者入力シート!$B$14=2,CT4*管理者用人口入力シート!AO$8))+将来予測シート②!$H20</f>
        <v>9.1095783999491253</v>
      </c>
      <c r="CV7" s="10">
        <f>IF(管理者入力シート!$B$14=1,CU4*管理者用人口入力シート!AP$4,IF(管理者入力シート!$B$14=2,CU4*管理者用人口入力シート!AP$8))+将来予測シート②!$H21</f>
        <v>2.4030003692073736</v>
      </c>
      <c r="CW7" s="10">
        <f>IF(管理者入力シート!$B$14=1,CV4*管理者用人口入力シート!AQ$4,IF(管理者入力シート!$B$14=2,CV4*管理者用人口入力シート!AQ$8))+将来予測シート②!$H22</f>
        <v>5.2203059435976531</v>
      </c>
      <c r="CX7" s="10">
        <f>IF(管理者入力シート!$B$14=1,CW4*管理者用人口入力シート!AR$4,IF(管理者入力シート!$B$14=2,CW4*管理者用人口入力シート!AR$8))+将来予測シート②!$H23</f>
        <v>5.7032803990902057</v>
      </c>
      <c r="CY7" s="10">
        <f>IF(管理者入力シート!$B$14=1,CX4*管理者用人口入力シート!AS$4,IF(管理者入力シート!$B$14=2,CX4*管理者用人口入力シート!AS$8))+将来予測シート②!$H24</f>
        <v>4.8989794855663558</v>
      </c>
      <c r="CZ7" s="10">
        <f>IF(管理者入力シート!$B$14=1,CY4*管理者用人口入力シート!AT$4,IF(管理者入力シート!$B$14=2,CY4*管理者用人口入力シート!AT$8))+将来予測シート②!$H25</f>
        <v>6.2440442408507577</v>
      </c>
      <c r="DA7" s="10">
        <f>IF(管理者入力シート!$B$14=1,CZ4*管理者用人口入力シート!AU$4,IF(管理者入力シート!$B$14=2,CZ4*管理者用人口入力シート!AU$8))+将来予測シート②!$H26</f>
        <v>18.992258875178504</v>
      </c>
      <c r="DB7" s="10">
        <f>IF(管理者入力シート!$B$14=1,DA4*管理者用人口入力シート!AV$4,IF(管理者入力シート!$B$14=2,DA4*管理者用人口入力シート!AV$8))+将来予測シート②!$H27</f>
        <v>18.869889434565515</v>
      </c>
      <c r="DC7" s="10">
        <f>IF(管理者入力シート!$B$14=1,DB4*管理者用人口入力シート!AW$4,IF(管理者入力シート!$B$14=2,DB4*管理者用人口入力シート!AW$8))+将来予測シート②!$H28</f>
        <v>20.012076126259135</v>
      </c>
      <c r="DD7" s="10">
        <f>IF(管理者入力シート!$B$14=1,DC4*管理者用人口入力シート!AX$4,IF(管理者入力シート!$B$14=2,DC4*管理者用人口入力シート!AX$8))+将来予測シート②!$H29</f>
        <v>18.323891267458936</v>
      </c>
      <c r="DE7" s="10">
        <f>IF(管理者入力シート!$B$14=1,DD4*管理者用人口入力シート!AY$4,IF(管理者入力シート!$B$14=2,DD4*管理者用人口入力シート!AY$8))</f>
        <v>20.33103517074694</v>
      </c>
      <c r="DF7" s="10">
        <f>IF(管理者入力シート!$B$14=1,DE4*管理者用人口入力シート!AZ$4,IF(管理者入力シート!$B$14=2,DE4*管理者用人口入力シート!AZ$8))</f>
        <v>21.167237610324783</v>
      </c>
      <c r="DG7" s="10">
        <f>IF(管理者入力シート!$B$14=1,DF4*管理者用人口入力シート!BA$4,IF(管理者入力シート!$B$14=2,DF4*管理者用人口入力シート!BA$8))</f>
        <v>21.827760013154073</v>
      </c>
      <c r="DH7" s="10">
        <f>IF(管理者入力シート!$B$14=1,DG4*管理者用人口入力シート!BB$4,IF(管理者入力シート!$B$14=2,DG4*管理者用人口入力シート!BB$8))</f>
        <v>13.43186969326274</v>
      </c>
      <c r="DI7" s="10">
        <f>IF(管理者入力シート!$B$14=1,DH4*管理者用人口入力シート!BC$4,IF(管理者入力シート!$B$14=2,DH4*管理者用人口入力シート!BC$8))</f>
        <v>5.1325408139255524</v>
      </c>
      <c r="DJ7" s="10">
        <f>IF(管理者入力シート!$B$14=1,DI4*管理者用人口入力シート!BD$4,IF(管理者入力シート!$B$14=2,DI4*管理者用人口入力シート!BD$8))</f>
        <v>8.2076773429495482</v>
      </c>
      <c r="DK7" s="10">
        <f>IF(管理者入力シート!$B$14=1,DJ4*管理者用人口入力シート!BE$4,IF(管理者入力シート!$B$14=2,DJ4*管理者用人口入力シート!BE$8))</f>
        <v>0.14907119849998599</v>
      </c>
      <c r="DL7" s="10">
        <f>IF(管理者入力シート!$B$14=1,DK4*管理者用人口入力シート!BF$4,IF(管理者入力シート!$B$14=2,DK4*管理者用人口入力シート!BF$8))</f>
        <v>8.0000000000000007E-5</v>
      </c>
      <c r="DM7" s="10">
        <f t="shared" si="69"/>
        <v>217.29226682764985</v>
      </c>
      <c r="DN7" s="10">
        <f t="shared" si="34"/>
        <v>7.6576643199766554</v>
      </c>
      <c r="DO7" s="10">
        <f t="shared" si="35"/>
        <v>5.0941970032588397</v>
      </c>
      <c r="DP7" s="10">
        <f t="shared" si="6"/>
        <v>90.247271842863626</v>
      </c>
      <c r="DQ7" s="10">
        <f t="shared" si="36"/>
        <v>48.748999061791899</v>
      </c>
      <c r="DR7" s="14">
        <f t="shared" si="37"/>
        <v>0.4153266619214076</v>
      </c>
      <c r="DS7" s="14">
        <f t="shared" si="38"/>
        <v>0.22434760230311482</v>
      </c>
      <c r="DT7" s="10">
        <f t="shared" si="70"/>
        <v>18.225566197461589</v>
      </c>
      <c r="DV7" s="7" t="s">
        <v>401</v>
      </c>
      <c r="DW7" s="210">
        <f>(SUM(BK12:BW12)-SUM(D12:P12))/4</f>
        <v>-4.9098964897437725</v>
      </c>
      <c r="DX7" s="29">
        <f>DX6</f>
        <v>2030</v>
      </c>
      <c r="DY7" s="4" t="s">
        <v>22</v>
      </c>
      <c r="DZ7" s="10">
        <f>FB7*$AK$14</f>
        <v>5.514433834662456</v>
      </c>
      <c r="EA7" s="10">
        <f>IF(管理者入力シート!$B$14=1,DZ4*管理者用人口入力シート!AM$4,IF(管理者入力シート!$B$14=2,DZ4*管理者用人口入力シート!AM$8))</f>
        <v>3.5214103866754027</v>
      </c>
      <c r="EB7" s="10">
        <f>IF(管理者入力シート!$B$14=1,EA4*管理者用人口入力シート!AN$4,IF(管理者入力シート!$B$14=2,EA4*管理者用人口入力シート!AN$8))</f>
        <v>7.1807033081725358</v>
      </c>
      <c r="EC7" s="10">
        <f>IF(管理者入力シート!$B$14=1,EB4*管理者用人口入力シート!AO$4,IF(管理者入力シート!$B$14=2,EB4*管理者用人口入力シート!AO$8))</f>
        <v>8.4187291202413679</v>
      </c>
      <c r="ED7" s="10">
        <f>IF(管理者入力シート!$B$14=1,EC4*管理者用人口入力シート!AP$4,IF(管理者入力シート!$B$14=2,EC4*管理者用人口入力シート!AP$8))</f>
        <v>2.4030003692073736</v>
      </c>
      <c r="EE7" s="10">
        <f>IF(管理者入力シート!$B$14=1,ED4*管理者用人口入力シート!AQ$4,IF(管理者入力シート!$B$14=2,ED4*管理者用人口入力シート!AQ$8))+DX1</f>
        <v>6.2203059435976531</v>
      </c>
      <c r="EF7" s="10">
        <f>IF(管理者入力シート!$B$14=1,EE4*管理者用人口入力シート!AR$4,IF(管理者入力シート!$B$14=2,EE4*管理者用人口入力シート!AR$8))+DX1</f>
        <v>9.7032803990902057</v>
      </c>
      <c r="EG7" s="10">
        <f>IF(管理者入力シート!$B$14=1,EF4*管理者用人口入力シート!AS$4,IF(管理者入力シート!$B$14=2,EF4*管理者用人口入力シート!AS$8))+DX1</f>
        <v>10.348469228349535</v>
      </c>
      <c r="EH7" s="10">
        <f>IF(管理者入力シート!$B$14=1,EG4*管理者用人口入力シート!AT$4,IF(管理者入力シート!$B$14=2,EG4*管理者用人口入力シート!AT$8))</f>
        <v>9.097614014450297</v>
      </c>
      <c r="EI7" s="10">
        <f>IF(管理者入力シート!$B$14=1,EH4*管理者用人口入力シート!AU$4,IF(管理者入力シート!$B$14=2,EH4*管理者用人口入力シート!AU$8))</f>
        <v>17.736967046256808</v>
      </c>
      <c r="EJ7" s="10">
        <f>IF(管理者入力シート!$B$14=1,EI4*管理者用人口入力シート!AV$4,IF(管理者入力シート!$B$14=2,EI4*管理者用人口入力シート!AV$8))</f>
        <v>18.869889434565515</v>
      </c>
      <c r="EK7" s="10">
        <f>IF(管理者入力シート!$B$14=1,EJ4*管理者用人口入力シート!AW$4,IF(管理者入力シート!$B$14=2,EJ4*管理者用人口入力シート!AW$8))</f>
        <v>20.012076126259135</v>
      </c>
      <c r="EL7" s="10">
        <f>IF(管理者入力シート!$B$14=1,EK4*管理者用人口入力シート!AX$4,IF(管理者入力シート!$B$14=2,EK4*管理者用人口入力シート!AX$8))</f>
        <v>18.323891267458936</v>
      </c>
      <c r="EM7" s="10">
        <f>IF(管理者入力シート!$B$14=1,EL4*管理者用人口入力シート!AY$4,IF(管理者入力シート!$B$14=2,EL4*管理者用人口入力シート!AY$8))</f>
        <v>20.33103517074694</v>
      </c>
      <c r="EN7" s="10">
        <f>IF(管理者入力シート!$B$14=1,EM4*管理者用人口入力シート!AZ$4,IF(管理者入力シート!$B$14=2,EM4*管理者用人口入力シート!AZ$8))</f>
        <v>21.167237610324783</v>
      </c>
      <c r="EO7" s="10">
        <f>IF(管理者入力シート!$B$14=1,EN4*管理者用人口入力シート!BA$4,IF(管理者入力シート!$B$14=2,EN4*管理者用人口入力シート!BA$8))</f>
        <v>21.827760013154073</v>
      </c>
      <c r="EP7" s="10">
        <f>IF(管理者入力シート!$B$14=1,EO4*管理者用人口入力シート!BB$4,IF(管理者入力シート!$B$14=2,EO4*管理者用人口入力シート!BB$8))</f>
        <v>13.43186969326274</v>
      </c>
      <c r="EQ7" s="10">
        <f>IF(管理者入力シート!$B$14=1,EP4*管理者用人口入力シート!BC$4,IF(管理者入力シート!$B$14=2,EP4*管理者用人口入力シート!BC$8))</f>
        <v>5.1325408139255524</v>
      </c>
      <c r="ER7" s="10">
        <f>IF(管理者入力シート!$B$14=1,EQ4*管理者用人口入力シート!BD$4,IF(管理者入力シート!$B$14=2,EQ4*管理者用人口入力シート!BD$8))</f>
        <v>8.2076773429495482</v>
      </c>
      <c r="ES7" s="10">
        <f>IF(管理者入力シート!$B$14=1,ER4*管理者用人口入力シート!BE$4,IF(管理者入力シート!$B$14=2,ER4*管理者用人口入力シート!BE$8))</f>
        <v>0.14907119849998599</v>
      </c>
      <c r="ET7" s="10">
        <f>IF(管理者入力シート!$B$14=1,ES4*管理者用人口入力シート!BF$4,IF(管理者入力シート!$B$14=2,ES4*管理者用人口入力シート!BF$8))</f>
        <v>8.0000000000000007E-5</v>
      </c>
      <c r="EU7" s="10">
        <f t="shared" si="71"/>
        <v>227.59804232185081</v>
      </c>
      <c r="EV7" s="10">
        <f t="shared" si="41"/>
        <v>6.4212682169087634</v>
      </c>
      <c r="EW7" s="10">
        <f t="shared" si="42"/>
        <v>4.5560271473172875</v>
      </c>
      <c r="EX7" s="10">
        <f t="shared" si="10"/>
        <v>90.247271842863626</v>
      </c>
      <c r="EY7" s="10">
        <f t="shared" si="43"/>
        <v>48.748999061791899</v>
      </c>
      <c r="EZ7" s="14">
        <f t="shared" si="44"/>
        <v>0.39652042224178363</v>
      </c>
      <c r="FA7" s="14">
        <f t="shared" si="45"/>
        <v>0.21418900867721433</v>
      </c>
      <c r="FB7" s="10">
        <f t="shared" si="72"/>
        <v>28.675055940244768</v>
      </c>
    </row>
    <row r="8" spans="1:158" x14ac:dyDescent="0.15">
      <c r="A8" s="7" t="str">
        <f t="shared" si="11"/>
        <v>2010_3</v>
      </c>
      <c r="B8" s="30">
        <v>2010</v>
      </c>
      <c r="C8" s="5" t="s">
        <v>23</v>
      </c>
      <c r="D8" s="11">
        <v>16</v>
      </c>
      <c r="E8" s="11">
        <v>8</v>
      </c>
      <c r="F8" s="11">
        <v>20</v>
      </c>
      <c r="G8" s="11">
        <v>20</v>
      </c>
      <c r="H8" s="11">
        <v>15</v>
      </c>
      <c r="I8" s="11">
        <v>29</v>
      </c>
      <c r="J8" s="11">
        <v>23</v>
      </c>
      <c r="K8" s="11">
        <v>12</v>
      </c>
      <c r="L8" s="11">
        <v>28</v>
      </c>
      <c r="M8" s="11">
        <v>27</v>
      </c>
      <c r="N8" s="11">
        <v>29</v>
      </c>
      <c r="O8" s="11">
        <v>54</v>
      </c>
      <c r="P8" s="11">
        <v>41</v>
      </c>
      <c r="Q8" s="11">
        <v>26</v>
      </c>
      <c r="R8" s="11">
        <v>45</v>
      </c>
      <c r="S8" s="11">
        <v>32</v>
      </c>
      <c r="T8" s="11">
        <v>18</v>
      </c>
      <c r="U8" s="11">
        <v>8</v>
      </c>
      <c r="V8" s="11">
        <v>7</v>
      </c>
      <c r="W8" s="11">
        <v>1</v>
      </c>
      <c r="X8" s="11">
        <v>0</v>
      </c>
      <c r="Y8" s="11">
        <f t="shared" si="68"/>
        <v>459</v>
      </c>
      <c r="Z8" s="11">
        <f t="shared" si="12"/>
        <v>16.8</v>
      </c>
      <c r="AA8" s="11">
        <f t="shared" si="13"/>
        <v>12</v>
      </c>
      <c r="AB8" s="11">
        <f t="shared" si="0"/>
        <v>137</v>
      </c>
      <c r="AC8" s="11">
        <f t="shared" si="14"/>
        <v>66</v>
      </c>
      <c r="AD8" s="15">
        <f t="shared" si="15"/>
        <v>0.29847494553376908</v>
      </c>
      <c r="AE8" s="15">
        <f t="shared" si="16"/>
        <v>0.1437908496732026</v>
      </c>
      <c r="AF8" s="11">
        <f t="shared" si="17"/>
        <v>79</v>
      </c>
      <c r="AH8" s="7"/>
      <c r="AI8" s="30" t="s">
        <v>88</v>
      </c>
      <c r="AJ8" s="5">
        <f>AJ7</f>
        <v>2010</v>
      </c>
      <c r="AK8" s="5">
        <f>AK7</f>
        <v>2020</v>
      </c>
      <c r="AL8" s="33" t="s">
        <v>22</v>
      </c>
      <c r="AM8" s="47">
        <f t="shared" si="73"/>
        <v>1.0606601717798212</v>
      </c>
      <c r="AN8" s="47">
        <f t="shared" si="73"/>
        <v>1.3540064007726602</v>
      </c>
      <c r="AO8" s="47">
        <f t="shared" si="73"/>
        <v>0.69084927970775745</v>
      </c>
      <c r="AP8" s="47">
        <f t="shared" si="73"/>
        <v>0.49690399499995325</v>
      </c>
      <c r="AQ8" s="47">
        <f t="shared" si="73"/>
        <v>0.92582009977255142</v>
      </c>
      <c r="AR8" s="47">
        <f t="shared" si="73"/>
        <v>1</v>
      </c>
      <c r="AS8" s="47">
        <f t="shared" si="73"/>
        <v>0.81649658092772603</v>
      </c>
      <c r="AT8" s="47">
        <f t="shared" si="73"/>
        <v>1.2845232578665129</v>
      </c>
      <c r="AU8" s="47">
        <f t="shared" si="73"/>
        <v>1.2552918289216957</v>
      </c>
      <c r="AV8" s="47">
        <f t="shared" si="73"/>
        <v>1.2526894145121403</v>
      </c>
      <c r="AW8" s="47">
        <f t="shared" si="73"/>
        <v>0.99845559753396829</v>
      </c>
      <c r="AX8" s="47">
        <f t="shared" si="73"/>
        <v>1.0795432060990364</v>
      </c>
      <c r="AY8" s="47">
        <f t="shared" si="73"/>
        <v>1.1078234188139946</v>
      </c>
      <c r="AZ8" s="47">
        <f t="shared" si="73"/>
        <v>0.95535250703518471</v>
      </c>
      <c r="BA8" s="47">
        <f t="shared" si="73"/>
        <v>0.7370277311900888</v>
      </c>
      <c r="BB8" s="47">
        <f t="shared" si="73"/>
        <v>0.79236412658001443</v>
      </c>
      <c r="BC8" s="47">
        <f t="shared" si="73"/>
        <v>0.64775027563129572</v>
      </c>
      <c r="BD8" s="47">
        <f t="shared" si="73"/>
        <v>0.7453559924999299</v>
      </c>
      <c r="BE8" s="47">
        <f t="shared" si="73"/>
        <v>0.02</v>
      </c>
      <c r="BF8" s="47">
        <f t="shared" si="73"/>
        <v>1E-3</v>
      </c>
      <c r="BH8" s="7" t="str">
        <f t="shared" si="19"/>
        <v>2030_3</v>
      </c>
      <c r="BI8" s="30">
        <f>BI7</f>
        <v>2030</v>
      </c>
      <c r="BJ8" s="5" t="s">
        <v>23</v>
      </c>
      <c r="BK8" s="16">
        <f>BK6+BK7</f>
        <v>6.0185087758491331</v>
      </c>
      <c r="BL8" s="16">
        <f t="shared" ref="BL8" si="74">BL6+BL7</f>
        <v>9.497441979696811</v>
      </c>
      <c r="BM8" s="16">
        <f t="shared" ref="BM8" si="75">BM6+BM7</f>
        <v>15.599432428413904</v>
      </c>
      <c r="BN8" s="16">
        <f t="shared" ref="BN8" si="76">BN6+BN7</f>
        <v>15.074318876228435</v>
      </c>
      <c r="BO8" s="16">
        <f t="shared" ref="BO8" si="77">BO6+BO7</f>
        <v>6.4901198260553699</v>
      </c>
      <c r="BP8" s="16">
        <f t="shared" ref="BP8" si="78">BP6+BP7</f>
        <v>3.672572960464298</v>
      </c>
      <c r="BQ8" s="16">
        <f t="shared" ref="BQ8" si="79">BQ6+BQ7</f>
        <v>8.0689216497441976</v>
      </c>
      <c r="BR8" s="16">
        <f t="shared" ref="BR8" si="80">BR6+BR7</f>
        <v>8.3426437446676651</v>
      </c>
      <c r="BS8" s="16">
        <f t="shared" ref="BS8" si="81">BS6+BS7</f>
        <v>10.476422072943713</v>
      </c>
      <c r="BT8" s="16">
        <f t="shared" ref="BT8" si="82">BT6+BT7</f>
        <v>36.091121889234458</v>
      </c>
      <c r="BU8" s="16">
        <f t="shared" ref="BU8" si="83">BU6+BU7</f>
        <v>43.157231816967091</v>
      </c>
      <c r="BV8" s="16">
        <f t="shared" ref="BV8" si="84">BV6+BV7</f>
        <v>24.524684724801265</v>
      </c>
      <c r="BW8" s="16">
        <f t="shared" ref="BW8" si="85">BW6+BW7</f>
        <v>37.833974728155781</v>
      </c>
      <c r="BX8" s="16">
        <f t="shared" ref="BX8" si="86">BX6+BX7</f>
        <v>36.065676805319399</v>
      </c>
      <c r="BY8" s="16">
        <f t="shared" ref="BY8" si="87">BY6+BY7</f>
        <v>32.847179931739682</v>
      </c>
      <c r="BZ8" s="16">
        <f t="shared" ref="BZ8" si="88">BZ6+BZ7</f>
        <v>48.469832004649035</v>
      </c>
      <c r="CA8" s="16">
        <f t="shared" ref="CA8" si="89">CA6+CA7</f>
        <v>29.863546418417723</v>
      </c>
      <c r="CB8" s="16">
        <f t="shared" ref="CB8" si="90">CB6+CB7</f>
        <v>8.835821213015759</v>
      </c>
      <c r="CC8" s="16">
        <f t="shared" ref="CC8" si="91">CC6+CC7</f>
        <v>11.128864316310434</v>
      </c>
      <c r="CD8" s="16">
        <f t="shared" ref="CD8" si="92">CD6+CD7</f>
        <v>0.15257119849998599</v>
      </c>
      <c r="CE8" s="16">
        <f t="shared" ref="CE8" si="93">CE6+CE7</f>
        <v>8.0000000000000007E-5</v>
      </c>
      <c r="CF8" s="11">
        <f t="shared" si="2"/>
        <v>392.21096736117426</v>
      </c>
      <c r="CG8" s="11">
        <f t="shared" si="20"/>
        <v>15.058124644866428</v>
      </c>
      <c r="CH8" s="11">
        <f t="shared" si="21"/>
        <v>9.2546367466112489</v>
      </c>
      <c r="CI8" s="11">
        <f t="shared" si="3"/>
        <v>167.36357188795202</v>
      </c>
      <c r="CJ8" s="11">
        <f t="shared" si="22"/>
        <v>98.450715150892947</v>
      </c>
      <c r="CK8" s="15">
        <f t="shared" si="23"/>
        <v>0.42671823537721826</v>
      </c>
      <c r="CL8" s="15">
        <f t="shared" si="24"/>
        <v>0.25101469194825676</v>
      </c>
      <c r="CM8" s="11">
        <f t="shared" si="25"/>
        <v>26.57425818093153</v>
      </c>
      <c r="CO8" s="7" t="str">
        <f t="shared" si="26"/>
        <v>2030_3</v>
      </c>
      <c r="CP8" s="30">
        <f>CP7</f>
        <v>2030</v>
      </c>
      <c r="CQ8" s="5" t="s">
        <v>23</v>
      </c>
      <c r="CR8" s="16">
        <f>CR6+CR7</f>
        <v>9.7108164681568265</v>
      </c>
      <c r="CS8" s="16">
        <f t="shared" ref="CS8" si="94">CS6+CS7</f>
        <v>12.058102151476632</v>
      </c>
      <c r="CT8" s="16">
        <f t="shared" ref="CT8" si="95">CT6+CT7</f>
        <v>17.599432428413905</v>
      </c>
      <c r="CU8" s="16">
        <f t="shared" ref="CU8" si="96">CU6+CU7</f>
        <v>16.555737570978287</v>
      </c>
      <c r="CV8" s="16">
        <f t="shared" ref="CV8" si="97">CV6+CV7</f>
        <v>6.4901198260553699</v>
      </c>
      <c r="CW8" s="16">
        <f t="shared" ref="CW8" si="98">CW6+CW7</f>
        <v>7.6725729604642989</v>
      </c>
      <c r="CX8" s="16">
        <f t="shared" ref="CX8" si="99">CX6+CX7</f>
        <v>12.445275752888216</v>
      </c>
      <c r="CY8" s="16">
        <f t="shared" ref="CY8" si="100">CY6+CY7</f>
        <v>8.3426437446676651</v>
      </c>
      <c r="CZ8" s="16">
        <f t="shared" ref="CZ8" si="101">CZ6+CZ7</f>
        <v>11.476422072943713</v>
      </c>
      <c r="DA8" s="16">
        <f t="shared" ref="DA8" si="102">DA6+DA7</f>
        <v>37.346413718156157</v>
      </c>
      <c r="DB8" s="16">
        <f t="shared" ref="DB8" si="103">DB6+DB7</f>
        <v>43.157231816967091</v>
      </c>
      <c r="DC8" s="16">
        <f t="shared" ref="DC8" si="104">DC6+DC7</f>
        <v>24.524684724801265</v>
      </c>
      <c r="DD8" s="16">
        <f t="shared" ref="DD8" si="105">DD6+DD7</f>
        <v>37.833974728155781</v>
      </c>
      <c r="DE8" s="16">
        <f t="shared" ref="DE8" si="106">DE6+DE7</f>
        <v>36.065676805319399</v>
      </c>
      <c r="DF8" s="16">
        <f t="shared" ref="DF8" si="107">DF6+DF7</f>
        <v>32.847179931739682</v>
      </c>
      <c r="DG8" s="16">
        <f t="shared" ref="DG8" si="108">DG6+DG7</f>
        <v>48.469832004649035</v>
      </c>
      <c r="DH8" s="16">
        <f t="shared" ref="DH8" si="109">DH6+DH7</f>
        <v>29.863546418417723</v>
      </c>
      <c r="DI8" s="16">
        <f t="shared" ref="DI8" si="110">DI6+DI7</f>
        <v>8.835821213015759</v>
      </c>
      <c r="DJ8" s="16">
        <f t="shared" ref="DJ8" si="111">DJ6+DJ7</f>
        <v>11.128864316310434</v>
      </c>
      <c r="DK8" s="16">
        <f t="shared" ref="DK8" si="112">DK6+DK7</f>
        <v>0.15257119849998599</v>
      </c>
      <c r="DL8" s="16">
        <f t="shared" ref="DL8" si="113">DL6+DL7</f>
        <v>8.0000000000000007E-5</v>
      </c>
      <c r="DM8" s="11">
        <f t="shared" si="69"/>
        <v>412.57699985207734</v>
      </c>
      <c r="DN8" s="11">
        <f t="shared" si="34"/>
        <v>17.794520747934321</v>
      </c>
      <c r="DO8" s="11">
        <f t="shared" si="35"/>
        <v>10.35092048556122</v>
      </c>
      <c r="DP8" s="11">
        <f t="shared" si="6"/>
        <v>167.36357188795202</v>
      </c>
      <c r="DQ8" s="11">
        <f t="shared" si="36"/>
        <v>98.450715150892947</v>
      </c>
      <c r="DR8" s="15">
        <f t="shared" si="37"/>
        <v>0.40565414928112198</v>
      </c>
      <c r="DS8" s="15">
        <f t="shared" si="38"/>
        <v>0.23862385733133651</v>
      </c>
      <c r="DT8" s="11">
        <f t="shared" si="70"/>
        <v>34.950612284075547</v>
      </c>
      <c r="DV8" s="7" t="s">
        <v>402</v>
      </c>
      <c r="DW8" s="210">
        <f>(SUM(BK13:BW13)-SUM(D13:P13))/4</f>
        <v>-12.574609733228652</v>
      </c>
      <c r="DX8" s="30">
        <f>DX7</f>
        <v>2030</v>
      </c>
      <c r="DY8" s="5" t="s">
        <v>23</v>
      </c>
      <c r="DZ8" s="16">
        <f>DZ6+DZ7</f>
        <v>12.131754436257403</v>
      </c>
      <c r="EA8" s="16">
        <f t="shared" ref="EA8:ET8" si="114">EA6+EA7</f>
        <v>9.497441979696811</v>
      </c>
      <c r="EB8" s="16">
        <f t="shared" si="114"/>
        <v>15.599432428413904</v>
      </c>
      <c r="EC8" s="16">
        <f t="shared" si="114"/>
        <v>15.074318876228435</v>
      </c>
      <c r="ED8" s="16">
        <f t="shared" si="114"/>
        <v>6.4901198260553699</v>
      </c>
      <c r="EE8" s="16">
        <f t="shared" si="114"/>
        <v>9.6725729604642989</v>
      </c>
      <c r="EF8" s="16">
        <f t="shared" si="114"/>
        <v>20.633452804460227</v>
      </c>
      <c r="EG8" s="16">
        <f t="shared" si="114"/>
        <v>19.690408836688732</v>
      </c>
      <c r="EH8" s="16">
        <f t="shared" si="114"/>
        <v>16.361001447702243</v>
      </c>
      <c r="EI8" s="16">
        <f t="shared" si="114"/>
        <v>36.091121889234458</v>
      </c>
      <c r="EJ8" s="16">
        <f t="shared" si="114"/>
        <v>43.157231816967091</v>
      </c>
      <c r="EK8" s="16">
        <f t="shared" si="114"/>
        <v>24.524684724801265</v>
      </c>
      <c r="EL8" s="16">
        <f t="shared" si="114"/>
        <v>37.833974728155781</v>
      </c>
      <c r="EM8" s="16">
        <f t="shared" si="114"/>
        <v>36.065676805319399</v>
      </c>
      <c r="EN8" s="16">
        <f t="shared" si="114"/>
        <v>32.847179931739682</v>
      </c>
      <c r="EO8" s="16">
        <f t="shared" si="114"/>
        <v>48.469832004649035</v>
      </c>
      <c r="EP8" s="16">
        <f t="shared" si="114"/>
        <v>29.863546418417723</v>
      </c>
      <c r="EQ8" s="16">
        <f t="shared" si="114"/>
        <v>8.835821213015759</v>
      </c>
      <c r="ER8" s="16">
        <f t="shared" si="114"/>
        <v>11.128864316310434</v>
      </c>
      <c r="ES8" s="16">
        <f t="shared" si="114"/>
        <v>0.15257119849998599</v>
      </c>
      <c r="ET8" s="16">
        <f t="shared" si="114"/>
        <v>8.0000000000000007E-5</v>
      </c>
      <c r="EU8" s="11">
        <f t="shared" si="71"/>
        <v>434.12108864307811</v>
      </c>
      <c r="EV8" s="11">
        <f t="shared" si="41"/>
        <v>15.058124644866428</v>
      </c>
      <c r="EW8" s="11">
        <f t="shared" si="42"/>
        <v>9.2546367466112489</v>
      </c>
      <c r="EX8" s="11">
        <f t="shared" si="10"/>
        <v>167.36357188795202</v>
      </c>
      <c r="EY8" s="11">
        <f t="shared" si="43"/>
        <v>98.450715150892947</v>
      </c>
      <c r="EZ8" s="15">
        <f t="shared" si="44"/>
        <v>0.38552278676688184</v>
      </c>
      <c r="FA8" s="15">
        <f t="shared" si="45"/>
        <v>0.22678169231220255</v>
      </c>
      <c r="FB8" s="11">
        <f t="shared" si="72"/>
        <v>56.486554427668629</v>
      </c>
    </row>
    <row r="9" spans="1:158" x14ac:dyDescent="0.15">
      <c r="A9" s="7" t="str">
        <f t="shared" si="11"/>
        <v>2015_1</v>
      </c>
      <c r="B9" s="28">
        <v>2015</v>
      </c>
      <c r="C9" s="3" t="s">
        <v>21</v>
      </c>
      <c r="D9" s="9">
        <v>4</v>
      </c>
      <c r="E9" s="9">
        <v>8</v>
      </c>
      <c r="F9" s="9">
        <v>1</v>
      </c>
      <c r="G9" s="9">
        <v>5</v>
      </c>
      <c r="H9" s="9">
        <v>5</v>
      </c>
      <c r="I9" s="9">
        <v>5</v>
      </c>
      <c r="J9" s="9">
        <v>15</v>
      </c>
      <c r="K9" s="9">
        <v>12</v>
      </c>
      <c r="L9" s="9">
        <v>1</v>
      </c>
      <c r="M9" s="9">
        <v>15</v>
      </c>
      <c r="N9" s="9">
        <v>13</v>
      </c>
      <c r="O9" s="9">
        <v>10</v>
      </c>
      <c r="P9" s="9">
        <v>26</v>
      </c>
      <c r="Q9" s="9">
        <v>20</v>
      </c>
      <c r="R9" s="9">
        <v>12</v>
      </c>
      <c r="S9" s="9">
        <v>21</v>
      </c>
      <c r="T9" s="9">
        <v>15</v>
      </c>
      <c r="U9" s="9">
        <v>2</v>
      </c>
      <c r="V9" s="9">
        <v>1</v>
      </c>
      <c r="W9" s="9">
        <v>0</v>
      </c>
      <c r="X9" s="9">
        <v>0</v>
      </c>
      <c r="Y9" s="9">
        <f t="shared" si="68"/>
        <v>191</v>
      </c>
      <c r="Z9" s="9">
        <f t="shared" si="12"/>
        <v>5.3999999999999995</v>
      </c>
      <c r="AA9" s="9">
        <f t="shared" si="13"/>
        <v>1.4</v>
      </c>
      <c r="AB9" s="9">
        <f t="shared" si="0"/>
        <v>71</v>
      </c>
      <c r="AC9" s="9">
        <f t="shared" si="14"/>
        <v>39</v>
      </c>
      <c r="AD9" s="13">
        <f t="shared" si="15"/>
        <v>0.37172774869109948</v>
      </c>
      <c r="AE9" s="13">
        <f t="shared" si="16"/>
        <v>0.20418848167539266</v>
      </c>
      <c r="AF9" s="9">
        <f t="shared" si="17"/>
        <v>37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2.9197079773649763</v>
      </c>
      <c r="BL9" s="9">
        <f>IF(管理者入力シート!$B$14=1,BK6*管理者用人口入力シート!AM$3,IF(管理者入力シート!$B$14=2,BK6*管理者用人口入力シート!AM$7))</f>
        <v>4.9242344529674726</v>
      </c>
      <c r="BM9" s="9">
        <f>IF(管理者入力シート!$B$14=1,BL6*管理者用人口入力シート!AN$3,IF(管理者入力シート!$B$14=2,BL6*管理者用人口入力シート!AN$7))</f>
        <v>5.5900656884057485</v>
      </c>
      <c r="BN9" s="9">
        <f>IF(管理者入力シート!$B$14=1,BM6*管理者用人口入力シート!AO$3,IF(管理者入力シート!$B$14=2,BM6*管理者用人口入力シート!AO$7))</f>
        <v>6.6555897559870685</v>
      </c>
      <c r="BO9" s="9">
        <f>IF(管理者入力シート!$B$14=1,BN6*管理者用人口入力シート!AP$3,IF(管理者入力シート!$B$14=2,BN6*管理者用人口入力シート!AP$7))</f>
        <v>4.9154787984673298</v>
      </c>
      <c r="BP9" s="9">
        <f>IF(管理者入力シート!$B$14=1,BO6*管理者用人口入力シート!AQ$3,IF(管理者入力シート!$B$14=2,BO6*管理者用人口入力シート!AQ$7))</f>
        <v>2.5028392967696802</v>
      </c>
      <c r="BQ9" s="9">
        <f>IF(管理者入力シート!$B$14=1,BP6*管理者用人口入力シート!AR$3,IF(管理者入力シート!$B$14=2,BP6*管理者用人口入力シート!AR$7))</f>
        <v>0.53737329062387884</v>
      </c>
      <c r="BR9" s="9">
        <f>IF(管理者入力シート!$B$14=1,BQ6*管理者用人口入力シート!AS$3,IF(管理者入力シート!$B$14=2,BQ6*管理者用人口入力シート!AS$7))</f>
        <v>4.2176101401288433</v>
      </c>
      <c r="BS9" s="9">
        <f>IF(管理者入力シート!$B$14=1,BR6*管理者用人口入力シート!AT$3,IF(管理者入力シート!$B$14=2,BR6*管理者用人口入力シート!AT$7))</f>
        <v>2.3313717244676058</v>
      </c>
      <c r="BT9" s="9">
        <f>IF(管理者入力シート!$B$14=1,BS6*管理者用人口入力シート!AU$3,IF(管理者入力シート!$B$14=2,BS6*管理者用人口入力シート!AU$7))</f>
        <v>10.132456102380441</v>
      </c>
      <c r="BU9" s="9">
        <f>IF(管理者入力シート!$B$14=1,BT6*管理者用人口入力シート!AV$3,IF(管理者入力シート!$B$14=2,BT6*管理者用人口入力シート!AV$7))</f>
        <v>20.926956300427445</v>
      </c>
      <c r="BV9" s="9">
        <f>IF(管理者入力シート!$B$14=1,BU6*管理者用人口入力シート!AW$3,IF(管理者入力シート!$B$14=2,BU6*管理者用人口入力シート!AW$7))</f>
        <v>24.031229681395828</v>
      </c>
      <c r="BW9" s="9">
        <f>IF(管理者入力シート!$B$14=1,BV6*管理者用人口入力シート!AX$3,IF(管理者入力シート!$B$14=2,BV6*管理者用人口入力シート!AX$7))</f>
        <v>4.9433150452265959</v>
      </c>
      <c r="BX9" s="9">
        <f>IF(管理者入力シート!$B$14=1,BW6*管理者用人口入力シート!AY$3,IF(管理者入力シート!$B$14=2,BW6*管理者用人口入力シート!AY$7))</f>
        <v>20.016923278049568</v>
      </c>
      <c r="BY9" s="9">
        <f>IF(管理者入力シート!$B$14=1,BX6*管理者用人口入力シート!AZ$3,IF(管理者入力シート!$B$14=2,BX6*管理者用人口入力シート!AZ$7))</f>
        <v>14.927191719529125</v>
      </c>
      <c r="BZ9" s="9">
        <f>IF(管理者入力シート!$B$14=1,BY6*管理者用人口入力シート!BA$3,IF(管理者入力シート!$B$14=2,BY6*管理者用人口入力シート!BA$7))</f>
        <v>12.615779592908321</v>
      </c>
      <c r="CA9" s="9">
        <f>IF(管理者入力シート!$B$14=1,BZ6*管理者用人口入力シート!BB$3,IF(管理者入力シート!$B$14=2,BZ6*管理者用人口入力シート!BB$7))</f>
        <v>22.516660498395407</v>
      </c>
      <c r="CB9" s="9">
        <f>IF(管理者入力シート!$B$14=1,CA6*管理者用人口入力シート!BC$3,IF(管理者入力シート!$B$14=2,CA6*管理者用人口入力シート!BC$7))</f>
        <v>5.9999999999999991</v>
      </c>
      <c r="CC9" s="9">
        <f>IF(管理者入力シート!$B$14=1,CB6*管理者用人口入力シート!BD$3,IF(管理者入力シート!$B$14=2,CB6*管理者用人口入力シート!BD$7))</f>
        <v>1.8516401995451028</v>
      </c>
      <c r="CD9" s="9">
        <f>IF(管理者入力シート!$B$14=1,CC6*管理者用人口入力シート!BE$3,IF(管理者入力シート!$B$14=2,CC6*管理者用人口入力シート!BE$7))</f>
        <v>2.9211869733608859E-3</v>
      </c>
      <c r="CE9" s="9">
        <f>IF(管理者入力シート!$B$14=1,CD6*管理者用人口入力シート!BF$3,IF(管理者入力シート!$B$14=2,CD6*管理者用人口入力シート!BF$7))</f>
        <v>3.4999999999999999E-6</v>
      </c>
      <c r="CF9" s="9">
        <f t="shared" si="2"/>
        <v>172.5593482300138</v>
      </c>
      <c r="CG9" s="9">
        <f t="shared" si="20"/>
        <v>6.3085800848239337</v>
      </c>
      <c r="CH9" s="9">
        <f t="shared" si="21"/>
        <v>3.5671442265597131</v>
      </c>
      <c r="CI9" s="9">
        <f t="shared" si="3"/>
        <v>77.931119975400904</v>
      </c>
      <c r="CJ9" s="9">
        <f t="shared" si="22"/>
        <v>42.987004977822188</v>
      </c>
      <c r="CK9" s="13">
        <f t="shared" si="23"/>
        <v>0.45161922999107673</v>
      </c>
      <c r="CL9" s="13">
        <f t="shared" si="24"/>
        <v>0.24911432164499403</v>
      </c>
      <c r="CM9" s="9">
        <f t="shared" si="25"/>
        <v>12.173301525989732</v>
      </c>
      <c r="CO9" s="7" t="str">
        <f t="shared" si="26"/>
        <v>2035_1</v>
      </c>
      <c r="CP9" s="28">
        <f>管理者入力シート!B10</f>
        <v>2035</v>
      </c>
      <c r="CQ9" s="3" t="s">
        <v>21</v>
      </c>
      <c r="CR9" s="9">
        <f>DT10*$AK$13+将来予測シート②!$G17</f>
        <v>5.2988492686461477</v>
      </c>
      <c r="CS9" s="9">
        <f>IF(管理者入力シート!$B$14=1,CR6*管理者用人口入力シート!AM$3,IF(管理者入力シート!$B$14=2,CR6*管理者用人口入力シート!AM$7))+将来予測シート②!$G18</f>
        <v>7.8088498375828586</v>
      </c>
      <c r="CT9" s="9">
        <f>IF(管理者入力シート!$B$14=1,CS6*管理者用人口入力シート!AN$3,IF(管理者入力シート!$B$14=2,CS6*管理者用人口入力シート!AN$7))+将来予測シート②!$G19</f>
        <v>7.9931872084459759</v>
      </c>
      <c r="CU9" s="9">
        <f>IF(管理者入力シート!$B$14=1,CT6*管理者用人口入力シート!AO$3,IF(管理者入力シート!$B$14=2,CT6*管理者用人口入力シート!AO$7))+将来予測シート②!$G20</f>
        <v>7.446159171029163</v>
      </c>
      <c r="CV9" s="9">
        <f>IF(管理者入力シート!$B$14=1,CU6*管理者用人口入力シート!AP$3,IF(管理者入力シート!$B$14=2,CU6*管理者用人口入力シート!AP$7))+将来予測シート②!$G21</f>
        <v>5.4993530065884713</v>
      </c>
      <c r="CW9" s="9">
        <f>IF(管理者入力シート!$B$14=1,CV6*管理者用人口入力シート!AQ$3,IF(管理者入力シート!$B$14=2,CV6*管理者用人口入力シート!AQ$7))+将来予測シート②!$G22</f>
        <v>4.5028392967696806</v>
      </c>
      <c r="CX9" s="9">
        <f>IF(管理者入力シート!$B$14=1,CW6*管理者用人口入力シート!AR$3,IF(管理者入力シート!$B$14=2,CW6*管理者用人口入力シート!AR$7))+将来予測シート②!$G23</f>
        <v>2.9137273937678971</v>
      </c>
      <c r="CY9" s="9">
        <f>IF(管理者入力シート!$B$14=1,CX6*管理者用人口入力シート!AS$3,IF(管理者入力シート!$B$14=2,CX6*管理者用人口入力シート!AS$7))+将来予測シート②!$G24</f>
        <v>6.513386312863048</v>
      </c>
      <c r="CZ9" s="9">
        <f>IF(管理者入力シート!$B$14=1,CY6*管理者用人口入力シート!AT$3,IF(管理者入力シート!$B$14=2,CY6*管理者用人口入力シート!AT$7))+将来予測シート②!$G25</f>
        <v>2.3313717244676058</v>
      </c>
      <c r="DA9" s="9">
        <f>IF(管理者入力シート!$B$14=1,CZ6*管理者用人口入力シート!AU$3,IF(管理者入力シート!$B$14=2,CZ6*管理者用人口入力シート!AU$7))+将来予測シート②!$G26</f>
        <v>10.132456102380441</v>
      </c>
      <c r="DB9" s="9">
        <f>IF(管理者入力シート!$B$14=1,DA6*管理者用人口入力シート!AV$3,IF(管理者入力シート!$B$14=2,DA6*管理者用人口入力シート!AV$7))+将来予測シート②!$G27</f>
        <v>20.926956300427445</v>
      </c>
      <c r="DC9" s="9">
        <f>IF(管理者入力シート!$B$14=1,DB6*管理者用人口入力シート!AW$3,IF(管理者入力シート!$B$14=2,DB6*管理者用人口入力シート!AW$7))+将来予測シート②!$G28</f>
        <v>24.031229681395828</v>
      </c>
      <c r="DD9" s="9">
        <f>IF(管理者入力シート!$B$14=1,DC6*管理者用人口入力シート!AX$3,IF(管理者入力シート!$B$14=2,DC6*管理者用人口入力シート!AX$7))+将来予測シート②!$G29</f>
        <v>4.9433150452265959</v>
      </c>
      <c r="DE9" s="9">
        <f>IF(管理者入力シート!$B$14=1,DD6*管理者用人口入力シート!AY$3,IF(管理者入力シート!$B$14=2,DD6*管理者用人口入力シート!AY$7))</f>
        <v>20.016923278049568</v>
      </c>
      <c r="DF9" s="9">
        <f>IF(管理者入力シート!$B$14=1,DE6*管理者用人口入力シート!AZ$3,IF(管理者入力シート!$B$14=2,DE6*管理者用人口入力シート!AZ$7))</f>
        <v>14.927191719529125</v>
      </c>
      <c r="DG9" s="9">
        <f>IF(管理者入力シート!$B$14=1,DF6*管理者用人口入力シート!BA$3,IF(管理者入力シート!$B$14=2,DF6*管理者用人口入力シート!BA$7))</f>
        <v>12.615779592908321</v>
      </c>
      <c r="DH9" s="9">
        <f>IF(管理者入力シート!$B$14=1,DG6*管理者用人口入力シート!BB$3,IF(管理者入力シート!$B$14=2,DG6*管理者用人口入力シート!BB$7))</f>
        <v>22.516660498395407</v>
      </c>
      <c r="DI9" s="9">
        <f>IF(管理者入力シート!$B$14=1,DH6*管理者用人口入力シート!BC$3,IF(管理者入力シート!$B$14=2,DH6*管理者用人口入力シート!BC$7))</f>
        <v>5.9999999999999991</v>
      </c>
      <c r="DJ9" s="9">
        <f>IF(管理者入力シート!$B$14=1,DI6*管理者用人口入力シート!BD$3,IF(管理者入力シート!$B$14=2,DI6*管理者用人口入力シート!BD$7))</f>
        <v>1.8516401995451028</v>
      </c>
      <c r="DK9" s="9">
        <f>IF(管理者入力シート!$B$14=1,DJ6*管理者用人口入力シート!BE$3,IF(管理者入力シート!$B$14=2,DJ6*管理者用人口入力シート!BE$7))</f>
        <v>2.9211869733608859E-3</v>
      </c>
      <c r="DL9" s="9">
        <f>IF(管理者入力シート!$B$14=1,DK6*管理者用人口入力シート!BF$3,IF(管理者入力シート!$B$14=2,DK6*管理者用人口入力シート!BF$7))</f>
        <v>3.4999999999999999E-6</v>
      </c>
      <c r="DM9" s="9">
        <f t="shared" si="69"/>
        <v>188.27280032499203</v>
      </c>
      <c r="DN9" s="9">
        <f t="shared" si="34"/>
        <v>9.4812222276173017</v>
      </c>
      <c r="DO9" s="9">
        <f t="shared" si="35"/>
        <v>4.6865067175842228</v>
      </c>
      <c r="DP9" s="9">
        <f t="shared" si="6"/>
        <v>77.931119975400904</v>
      </c>
      <c r="DQ9" s="9">
        <f t="shared" si="36"/>
        <v>42.987004977822188</v>
      </c>
      <c r="DR9" s="13">
        <f t="shared" si="37"/>
        <v>0.41392659927975817</v>
      </c>
      <c r="DS9" s="13">
        <f t="shared" si="38"/>
        <v>0.22832297019866407</v>
      </c>
      <c r="DT9" s="9">
        <f t="shared" si="70"/>
        <v>19.429306009989098</v>
      </c>
      <c r="DV9" s="7" t="s">
        <v>403</v>
      </c>
      <c r="DW9" s="210">
        <f>DW7+DW8</f>
        <v>-17.484506222972424</v>
      </c>
      <c r="DX9" s="28">
        <f>管理者入力シート!B10</f>
        <v>2035</v>
      </c>
      <c r="DY9" s="3" t="s">
        <v>21</v>
      </c>
      <c r="DZ9" s="9">
        <f>FB10*$AK$13</f>
        <v>6.8194724740341357</v>
      </c>
      <c r="EA9" s="129">
        <f>IF(管理者入力シート!$B$14=1,DZ6*管理者用人口入力シート!AM$3,IF(管理者入力シート!$B$14=2,DZ6*管理者用人口入力シート!AM$7))</f>
        <v>9.9259809023924195</v>
      </c>
      <c r="EB9" s="9">
        <f>IF(管理者入力シート!$B$14=1,EA6*管理者用人口入力シート!AN$3,IF(管理者入力シート!$B$14=2,EA6*管理者用人口入力シート!AN$7))</f>
        <v>5.5900656884057485</v>
      </c>
      <c r="EC9" s="9">
        <f>IF(管理者入力シート!$B$14=1,EB6*管理者用人口入力シート!AO$3,IF(管理者入力シート!$B$14=2,EB6*管理者用人口入力シート!AO$7))</f>
        <v>6.6555897559870685</v>
      </c>
      <c r="ED9" s="9">
        <f>IF(管理者入力シート!$B$14=1,EC6*管理者用人口入力シート!AP$3,IF(管理者入力シート!$B$14=2,EC6*管理者用人口入力シート!AP$7))</f>
        <v>4.9154787984673298</v>
      </c>
      <c r="EE9" s="9">
        <f>IF(管理者入力シート!$B$14=1,ED6*管理者用人口入力シート!AQ$3,IF(管理者入力シート!$B$14=2,ED6*管理者用人口入力シート!AQ$7))+DX1</f>
        <v>5.5028392967696806</v>
      </c>
      <c r="EF9" s="9">
        <f>IF(管理者入力シート!$B$14=1,EE6*管理者用人口入力シート!AR$3,IF(管理者入力シート!$B$14=2,EE6*管理者用人口入力シート!AR$7))+DX1</f>
        <v>7.1019044453399065</v>
      </c>
      <c r="EG9" s="9">
        <f>IF(管理者入力シート!$B$14=1,EF6*管理者用人口入力シート!AS$3,IF(管理者入力シート!$B$14=2,EF6*管理者用人口入力シート!AS$7))+DX1</f>
        <v>13.559549748468038</v>
      </c>
      <c r="EH9" s="9">
        <f>IF(管理者入力シート!$B$14=1,EG6*管理者用人口入力シート!AT$3,IF(管理者入力シート!$B$14=2,EG6*管理者用人口入力シート!AT$7))</f>
        <v>6.3245230126614542</v>
      </c>
      <c r="EI9" s="9">
        <f>IF(管理者入力シート!$B$14=1,EH6*管理者用人口入力シート!AU$3,IF(管理者入力シート!$B$14=2,EH6*管理者用人口入力シート!AU$7))</f>
        <v>14.065489283018511</v>
      </c>
      <c r="EJ9" s="9">
        <f>IF(管理者入力シート!$B$14=1,EI6*管理者用人口入力シート!AV$3,IF(管理者入力シート!$B$14=2,EI6*管理者用人口入力シート!AV$7))</f>
        <v>20.926956300427445</v>
      </c>
      <c r="EK9" s="9">
        <f>IF(管理者入力シート!$B$14=1,EJ6*管理者用人口入力シート!AW$3,IF(管理者入力シート!$B$14=2,EJ6*管理者用人口入力シート!AW$7))</f>
        <v>24.031229681395828</v>
      </c>
      <c r="EL9" s="9">
        <f>IF(管理者入力シート!$B$14=1,EK6*管理者用人口入力シート!AX$3,IF(管理者入力シート!$B$14=2,EK6*管理者用人口入力シート!AX$7))</f>
        <v>4.9433150452265959</v>
      </c>
      <c r="EM9" s="9">
        <f>IF(管理者入力シート!$B$14=1,EL6*管理者用人口入力シート!AY$3,IF(管理者入力シート!$B$14=2,EL6*管理者用人口入力シート!AY$7))</f>
        <v>20.016923278049568</v>
      </c>
      <c r="EN9" s="9">
        <f>IF(管理者入力シート!$B$14=1,EM6*管理者用人口入力シート!AZ$3,IF(管理者入力シート!$B$14=2,EM6*管理者用人口入力シート!AZ$7))</f>
        <v>14.927191719529125</v>
      </c>
      <c r="EO9" s="9">
        <f>IF(管理者入力シート!$B$14=1,EN6*管理者用人口入力シート!BA$3,IF(管理者入力シート!$B$14=2,EN6*管理者用人口入力シート!BA$7))</f>
        <v>12.615779592908321</v>
      </c>
      <c r="EP9" s="9">
        <f>IF(管理者入力シート!$B$14=1,EO6*管理者用人口入力シート!BB$3,IF(管理者入力シート!$B$14=2,EO6*管理者用人口入力シート!BB$7))</f>
        <v>22.516660498395407</v>
      </c>
      <c r="EQ9" s="9">
        <f>IF(管理者入力シート!$B$14=1,EP6*管理者用人口入力シート!BC$3,IF(管理者入力シート!$B$14=2,EP6*管理者用人口入力シート!BC$7))</f>
        <v>5.9999999999999991</v>
      </c>
      <c r="ER9" s="9">
        <f>IF(管理者入力シート!$B$14=1,EQ6*管理者用人口入力シート!BD$3,IF(管理者入力シート!$B$14=2,EQ6*管理者用人口入力シート!BD$7))</f>
        <v>1.8516401995451028</v>
      </c>
      <c r="ES9" s="9">
        <f>IF(管理者入力シート!$B$14=1,ER6*管理者用人口入力シート!BE$3,IF(管理者入力シート!$B$14=2,ER6*管理者用人口入力シート!BE$7))</f>
        <v>2.9211869733608859E-3</v>
      </c>
      <c r="ET9" s="9">
        <f>IF(管理者入力シート!$B$14=1,ES6*管理者用人口入力シート!BF$3,IF(管理者入力シート!$B$14=2,ES6*管理者用人口入力シート!BF$7))</f>
        <v>3.4999999999999999E-6</v>
      </c>
      <c r="EU9" s="9">
        <f t="shared" si="71"/>
        <v>208.29351440799505</v>
      </c>
      <c r="EV9" s="9">
        <f t="shared" si="41"/>
        <v>9.309627954478902</v>
      </c>
      <c r="EW9" s="9">
        <f t="shared" si="42"/>
        <v>3.5671442265597131</v>
      </c>
      <c r="EX9" s="9">
        <f t="shared" si="10"/>
        <v>77.931119975400904</v>
      </c>
      <c r="EY9" s="9">
        <f t="shared" si="43"/>
        <v>42.987004977822188</v>
      </c>
      <c r="EZ9" s="13">
        <f t="shared" si="44"/>
        <v>0.37414088574430249</v>
      </c>
      <c r="FA9" s="13">
        <f t="shared" si="45"/>
        <v>0.20637706891642035</v>
      </c>
      <c r="FB9" s="9">
        <f t="shared" si="72"/>
        <v>31.079772289044953</v>
      </c>
    </row>
    <row r="10" spans="1:158" x14ac:dyDescent="0.15">
      <c r="A10" s="7" t="str">
        <f t="shared" si="11"/>
        <v>2015_2</v>
      </c>
      <c r="B10" s="29">
        <v>2015</v>
      </c>
      <c r="C10" s="4" t="s">
        <v>22</v>
      </c>
      <c r="D10" s="10">
        <v>6</v>
      </c>
      <c r="E10" s="10">
        <v>6</v>
      </c>
      <c r="F10" s="10">
        <v>11</v>
      </c>
      <c r="G10" s="10">
        <v>9</v>
      </c>
      <c r="H10" s="10">
        <v>5</v>
      </c>
      <c r="I10" s="10">
        <v>5</v>
      </c>
      <c r="J10" s="10">
        <v>12</v>
      </c>
      <c r="K10" s="10">
        <v>8</v>
      </c>
      <c r="L10" s="10">
        <v>11</v>
      </c>
      <c r="M10" s="10">
        <v>13</v>
      </c>
      <c r="N10" s="10">
        <v>18</v>
      </c>
      <c r="O10" s="10">
        <v>19</v>
      </c>
      <c r="P10" s="10">
        <v>31</v>
      </c>
      <c r="Q10" s="10">
        <v>27</v>
      </c>
      <c r="R10" s="10">
        <v>15</v>
      </c>
      <c r="S10" s="10">
        <v>22</v>
      </c>
      <c r="T10" s="10">
        <v>13</v>
      </c>
      <c r="U10" s="10">
        <v>6</v>
      </c>
      <c r="V10" s="10">
        <v>5</v>
      </c>
      <c r="W10" s="10">
        <v>0</v>
      </c>
      <c r="X10" s="10">
        <v>0</v>
      </c>
      <c r="Y10" s="10">
        <f t="shared" si="68"/>
        <v>242</v>
      </c>
      <c r="Z10" s="10">
        <f t="shared" si="12"/>
        <v>10.199999999999999</v>
      </c>
      <c r="AA10" s="10">
        <f t="shared" si="13"/>
        <v>6.2</v>
      </c>
      <c r="AB10" s="10">
        <f t="shared" si="0"/>
        <v>88</v>
      </c>
      <c r="AC10" s="10">
        <f t="shared" si="14"/>
        <v>46</v>
      </c>
      <c r="AD10" s="14">
        <f t="shared" si="15"/>
        <v>0.36363636363636365</v>
      </c>
      <c r="AE10" s="14">
        <f t="shared" si="16"/>
        <v>0.19008264462809918</v>
      </c>
      <c r="AF10" s="10">
        <f t="shared" si="17"/>
        <v>30</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2.4330899811374804</v>
      </c>
      <c r="BL10" s="10">
        <f>IF(管理者入力シート!$B$14=1,BK7*管理者用人口入力シート!AM$4,IF(管理者入力シート!$B$14=2,BK7*管理者用人口入力シート!AM$8))</f>
        <v>2.9016329782047743</v>
      </c>
      <c r="BM10" s="10">
        <f>IF(管理者入力シート!$B$14=1,BL7*管理者用人口入力シート!AN$4,IF(管理者入力シート!$B$14=2,BL7*管理者用人口入力シート!AN$8))</f>
        <v>4.7680122033058234</v>
      </c>
      <c r="BN10" s="10">
        <f>IF(管理者入力シート!$B$14=1,BM7*管理者用人口入力シート!AO$4,IF(管理者入力シート!$B$14=2,BM7*管理者用人口入力シート!AO$8))</f>
        <v>4.9607837082461073</v>
      </c>
      <c r="BO10" s="10">
        <f>IF(管理者入力シート!$B$14=1,BN7*管理者用人口入力シート!AP$4,IF(管理者入力シート!$B$14=2,BN7*管理者用人口入力シート!AP$8))</f>
        <v>4.1833001326703778</v>
      </c>
      <c r="BP10" s="10">
        <f>IF(管理者入力シート!$B$14=1,BO7*管理者用人口入力シート!AQ$4,IF(管理者入力シート!$B$14=2,BO7*管理者用人口入力シート!AQ$8))</f>
        <v>2.2247460415730487</v>
      </c>
      <c r="BQ10" s="10">
        <f>IF(管理者入力シート!$B$14=1,BP7*管理者用人口入力シート!AR$4,IF(管理者入力シート!$B$14=2,BP7*管理者用人口入力シート!AR$8))</f>
        <v>3.2203059435976527</v>
      </c>
      <c r="BR10" s="10">
        <f>IF(管理者入力シート!$B$14=1,BQ7*管理者用人口入力シート!AS$4,IF(管理者入力シート!$B$14=2,BQ7*管理者用人口入力シート!AS$8))</f>
        <v>3.0237157840738176</v>
      </c>
      <c r="BS10" s="10">
        <f>IF(管理者入力シート!$B$14=1,BR7*管理者用人口入力シート!AT$4,IF(管理者入力シート!$B$14=2,BR7*管理者用人口入力シート!AT$8))</f>
        <v>6.2928530890209089</v>
      </c>
      <c r="BT10" s="10">
        <f>IF(管理者入力シート!$B$14=1,BS7*管理者用人口入力シート!AU$4,IF(管理者入力シート!$B$14=2,BS7*管理者用人口入力シート!AU$8))</f>
        <v>6.5828058860438325</v>
      </c>
      <c r="BU10" s="10">
        <f>IF(管理者入力シート!$B$14=1,BT7*管理者用人口入力シート!AV$4,IF(管理者入力シート!$B$14=2,BT7*管理者用人口入力シート!AV$8))</f>
        <v>22.21891086439657</v>
      </c>
      <c r="BV10" s="10">
        <f>IF(管理者入力シート!$B$14=1,BU7*管理者用人口入力シート!AW$4,IF(管理者入力シート!$B$14=2,BU7*管理者用人口入力シート!AW$8))</f>
        <v>18.840746730789025</v>
      </c>
      <c r="BW10" s="10">
        <f>IF(管理者入力シート!$B$14=1,BV7*管理者用人口入力シート!AX$4,IF(管理者入力シート!$B$14=2,BV7*管理者用人口入力シート!AX$8))</f>
        <v>21.603900822039773</v>
      </c>
      <c r="BX10" s="10">
        <f>IF(管理者入力シート!$B$14=1,BW7*管理者用人口入力シート!AY$4,IF(管理者入力シート!$B$14=2,BW7*管理者用人口入力シート!AY$8))</f>
        <v>20.29963586989226</v>
      </c>
      <c r="BY10" s="10">
        <f>IF(管理者入力シート!$B$14=1,BX7*管理者用人口入力シート!AZ$4,IF(管理者入力シート!$B$14=2,BX7*管理者用人口入力シート!AZ$8))</f>
        <v>19.423305420993604</v>
      </c>
      <c r="BZ10" s="10">
        <f>IF(管理者入力シート!$B$14=1,BY7*管理者用人口入力シート!BA$4,IF(管理者入力シート!$B$14=2,BY7*管理者用人口入力シート!BA$8))</f>
        <v>15.600841111499191</v>
      </c>
      <c r="CA10" s="10">
        <f>IF(管理者入力シート!$B$14=1,BZ7*管理者用人口入力シート!BB$4,IF(管理者入力シート!$B$14=2,BZ7*管理者用人口入力シート!BB$8))</f>
        <v>17.295533998020993</v>
      </c>
      <c r="CB10" s="10">
        <f>IF(管理者入力シート!$B$14=1,CA7*管理者用人口入力シート!BC$4,IF(管理者入力シート!$B$14=2,CA7*管理者用人口入力シート!BC$8))</f>
        <v>8.7004972960545874</v>
      </c>
      <c r="CC10" s="10">
        <f>IF(管理者入力シート!$B$14=1,CB7*管理者用人口入力シート!BD$4,IF(管理者入力シート!$B$14=2,CB7*管理者用人口入力シート!BD$8))</f>
        <v>3.8255700524098781</v>
      </c>
      <c r="CD10" s="10">
        <f>IF(管理者入力シート!$B$14=1,CC7*管理者用人口入力シート!BE$4,IF(管理者入力シート!$B$14=2,CC7*管理者用人口入力シート!BE$8))</f>
        <v>0.16415354685899097</v>
      </c>
      <c r="CE10" s="10">
        <f>IF(管理者入力シート!$B$14=1,CD7*管理者用人口入力シート!BF$4,IF(管理者入力シート!$B$14=2,CD7*管理者用人口入力シート!BF$8))</f>
        <v>1.4907119849998598E-4</v>
      </c>
      <c r="CF10" s="10">
        <f t="shared" si="2"/>
        <v>188.56449053202721</v>
      </c>
      <c r="CG10" s="10">
        <f t="shared" si="20"/>
        <v>4.6017871089063593</v>
      </c>
      <c r="CH10" s="10">
        <f t="shared" si="21"/>
        <v>2.8993616229715506</v>
      </c>
      <c r="CI10" s="10">
        <f t="shared" si="3"/>
        <v>85.30968636692802</v>
      </c>
      <c r="CJ10" s="10">
        <f t="shared" si="22"/>
        <v>45.586745076042142</v>
      </c>
      <c r="CK10" s="14">
        <f t="shared" si="23"/>
        <v>0.45241649754007307</v>
      </c>
      <c r="CL10" s="14">
        <f t="shared" si="24"/>
        <v>0.24175678542349599</v>
      </c>
      <c r="CM10" s="10">
        <f t="shared" si="25"/>
        <v>12.652067901914897</v>
      </c>
      <c r="CO10" s="7" t="str">
        <f t="shared" si="26"/>
        <v>2035_2</v>
      </c>
      <c r="CP10" s="29">
        <f>CP9</f>
        <v>2035</v>
      </c>
      <c r="CQ10" s="4" t="s">
        <v>22</v>
      </c>
      <c r="CR10" s="10">
        <f>DT10*$AK$14+将来予測シート②!$H17</f>
        <v>4.5823743905384564</v>
      </c>
      <c r="CS10" s="10">
        <f>IF(管理者入力シート!$B$14=1,CR7*管理者用人口入力シート!AM$4,IF(管理者入力シート!$B$14=2,CR7*管理者用人口入力シート!AM$8))+将来予測シート②!$H18</f>
        <v>4.7781855898152275</v>
      </c>
      <c r="CT10" s="10">
        <f>IF(管理者入力シート!$B$14=1,CS7*管理者用人口入力シート!AN$4,IF(管理者入力シート!$B$14=2,CS7*管理者用人口入力シート!AN$8))+将来予測シート②!$H19</f>
        <v>7.2041528649403315</v>
      </c>
      <c r="CU10" s="10">
        <f>IF(管理者入力シート!$B$14=1,CT7*管理者用人口入力シート!AO$4,IF(管理者入力シート!$B$14=2,CT7*管理者用人口入力シート!AO$8))+将来予測シート②!$H20</f>
        <v>5.6516329879538647</v>
      </c>
      <c r="CV10" s="10">
        <f>IF(管理者入力シート!$B$14=1,CU7*管理者用人口入力シート!AP$4,IF(管理者入力シート!$B$14=2,CU7*管理者用人口入力シート!AP$8))+将来予測シート②!$H21</f>
        <v>4.5265858997000024</v>
      </c>
      <c r="CW10" s="10">
        <f>IF(管理者入力シート!$B$14=1,CV7*管理者用人口入力シート!AQ$4,IF(管理者入力シート!$B$14=2,CV7*管理者用人口入力シート!AQ$8))+将来予測シート②!$H22</f>
        <v>4.2247460415730487</v>
      </c>
      <c r="CX10" s="10">
        <f>IF(管理者入力シート!$B$14=1,CW7*管理者用人口入力シート!AR$4,IF(管理者入力シート!$B$14=2,CW7*管理者用人口入力シート!AR$8))+将来予測シート②!$H23</f>
        <v>5.2203059435976531</v>
      </c>
      <c r="CY10" s="10">
        <f>IF(管理者入力シート!$B$14=1,CX7*管理者用人口入力シート!AS$4,IF(管理者入力シート!$B$14=2,CX7*管理者用人口入力シート!AS$8))+将来予測シート②!$H24</f>
        <v>4.6567089459292701</v>
      </c>
      <c r="CZ10" s="10">
        <f>IF(管理者入力シート!$B$14=1,CY7*管理者用人口入力シート!AT$4,IF(管理者入力シート!$B$14=2,CY7*管理者用人口入力シート!AT$8))+将来予測シート②!$H25</f>
        <v>7.2928530890209089</v>
      </c>
      <c r="DA10" s="10">
        <f>IF(管理者入力シート!$B$14=1,CZ7*管理者用人口入力シート!AU$4,IF(管理者入力シート!$B$14=2,CZ7*管理者用人口入力シート!AU$8))+将来予測シート②!$H26</f>
        <v>7.838097714965528</v>
      </c>
      <c r="DB10" s="10">
        <f>IF(管理者入力シート!$B$14=1,DA7*管理者用人口入力シート!AV$4,IF(管理者入力シート!$B$14=2,DA7*管理者用人口入力シート!AV$8))+将来予測シート②!$H27</f>
        <v>23.791401650610361</v>
      </c>
      <c r="DC10" s="10">
        <f>IF(管理者入力シート!$B$14=1,DB7*管理者用人口入力シート!AW$4,IF(管理者入力シート!$B$14=2,DB7*管理者用人口入力シート!AW$8))+将来予測シート②!$H28</f>
        <v>18.840746730789025</v>
      </c>
      <c r="DD10" s="10">
        <f>IF(管理者入力シート!$B$14=1,DC7*管理者用人口入力シート!AX$4,IF(管理者入力シート!$B$14=2,DC7*管理者用人口入力シート!AX$8))+将来予測シート②!$H29</f>
        <v>21.603900822039773</v>
      </c>
      <c r="DE10" s="10">
        <f>IF(管理者入力シート!$B$14=1,DD7*管理者用人口入力シート!AY$4,IF(管理者入力シート!$B$14=2,DD7*管理者用人口入力シート!AY$8))</f>
        <v>20.29963586989226</v>
      </c>
      <c r="DF10" s="10">
        <f>IF(管理者入力シート!$B$14=1,DE7*管理者用人口入力シート!AZ$4,IF(管理者入力シート!$B$14=2,DE7*管理者用人口入力シート!AZ$8))</f>
        <v>19.423305420993604</v>
      </c>
      <c r="DG10" s="10">
        <f>IF(管理者入力シート!$B$14=1,DF7*管理者用人口入力シート!BA$4,IF(管理者入力シート!$B$14=2,DF7*管理者用人口入力シート!BA$8))</f>
        <v>15.600841111499191</v>
      </c>
      <c r="DH10" s="10">
        <f>IF(管理者入力シート!$B$14=1,DG7*管理者用人口入力シート!BB$4,IF(管理者入力シート!$B$14=2,DG7*管理者用人口入力シート!BB$8))</f>
        <v>17.295533998020993</v>
      </c>
      <c r="DI10" s="10">
        <f>IF(管理者入力シート!$B$14=1,DH7*管理者用人口入力シート!BC$4,IF(管理者入力シート!$B$14=2,DH7*管理者用人口入力シート!BC$8))</f>
        <v>8.7004972960545874</v>
      </c>
      <c r="DJ10" s="10">
        <f>IF(管理者入力シート!$B$14=1,DI7*管理者用人口入力シート!BD$4,IF(管理者入力シート!$B$14=2,DI7*管理者用人口入力シート!BD$8))</f>
        <v>3.8255700524098781</v>
      </c>
      <c r="DK10" s="10">
        <f>IF(管理者入力シート!$B$14=1,DJ7*管理者用人口入力シート!BE$4,IF(管理者入力シート!$B$14=2,DJ7*管理者用人口入力シート!BE$8))</f>
        <v>0.16415354685899097</v>
      </c>
      <c r="DL10" s="10">
        <f>IF(管理者入力シート!$B$14=1,DK7*管理者用人口入力シート!BF$4,IF(管理者入力シート!$B$14=2,DK7*管理者用人口入力シート!BF$8))</f>
        <v>1.4907119849998598E-4</v>
      </c>
      <c r="DM10" s="10">
        <f t="shared" si="69"/>
        <v>205.52137903840148</v>
      </c>
      <c r="DN10" s="10">
        <f t="shared" si="34"/>
        <v>7.1894030728533354</v>
      </c>
      <c r="DO10" s="10">
        <f t="shared" si="35"/>
        <v>4.0119877435669054</v>
      </c>
      <c r="DP10" s="10">
        <f t="shared" si="6"/>
        <v>85.30968636692802</v>
      </c>
      <c r="DQ10" s="10">
        <f t="shared" si="36"/>
        <v>45.586745076042142</v>
      </c>
      <c r="DR10" s="14">
        <f t="shared" si="37"/>
        <v>0.41508911027201695</v>
      </c>
      <c r="DS10" s="14">
        <f t="shared" si="38"/>
        <v>0.22181023351115361</v>
      </c>
      <c r="DT10" s="10">
        <f t="shared" si="70"/>
        <v>18.628346830799973</v>
      </c>
      <c r="DV10" s="62" t="s">
        <v>405</v>
      </c>
      <c r="DW10" s="210">
        <f>((SUM(BL12:BL13)*3/5+SUM(BM12:BM13)+SUM(BN12:BN13)*1/5)-(SUM(E12:E13)*3/5+SUM(F12:F13)+SUM(G12:G13)*1/5))/4</f>
        <v>-3.0365405268668466</v>
      </c>
      <c r="DX10" s="29">
        <f>DX9</f>
        <v>2035</v>
      </c>
      <c r="DY10" s="4" t="s">
        <v>22</v>
      </c>
      <c r="DZ10" s="10">
        <f>FB10*$AK$14</f>
        <v>5.6828937283617798</v>
      </c>
      <c r="EA10" s="10">
        <f>IF(管理者入力シート!$B$14=1,DZ7*管理者用人口入力シート!AM$4,IF(管理者入力シート!$B$14=2,DZ7*管理者用人口入力シート!AM$8))</f>
        <v>5.8489403383415386</v>
      </c>
      <c r="EB10" s="10">
        <f>IF(管理者入力シート!$B$14=1,EA7*管理者用人口入力シート!AN$4,IF(管理者入力シート!$B$14=2,EA7*管理者用人口入力シート!AN$8))</f>
        <v>4.7680122033058234</v>
      </c>
      <c r="EC10" s="10">
        <f>IF(管理者入力シート!$B$14=1,EB7*管理者用人口入力シート!AO$4,IF(管理者入力シート!$B$14=2,EB7*管理者用人口入力シート!AO$8))</f>
        <v>4.9607837082461073</v>
      </c>
      <c r="ED10" s="10">
        <f>IF(管理者入力シート!$B$14=1,EC7*管理者用人口入力シート!AP$4,IF(管理者入力シート!$B$14=2,EC7*管理者用人口入力シート!AP$8))</f>
        <v>4.1833001326703778</v>
      </c>
      <c r="EE10" s="10">
        <f>IF(管理者入力シート!$B$14=1,ED7*管理者用人口入力シート!AQ$4,IF(管理者入力シート!$B$14=2,ED7*管理者用人口入力シート!AQ$8))+DX1</f>
        <v>5.2247460415730487</v>
      </c>
      <c r="EF10" s="10">
        <f>IF(管理者入力シート!$B$14=1,EE7*管理者用人口入力シート!AR$4,IF(管理者入力シート!$B$14=2,EE7*管理者用人口入力シート!AR$8))+DX1</f>
        <v>9.2203059435976531</v>
      </c>
      <c r="EG10" s="10">
        <f>IF(管理者入力シート!$B$14=1,EF7*管理者用人口入力シート!AS$4,IF(管理者入力シート!$B$14=2,EF7*管理者用人口入力シート!AS$8))+DX1</f>
        <v>10.922695269640174</v>
      </c>
      <c r="EH10" s="10">
        <f>IF(管理者入力シート!$B$14=1,EG7*管理者用人口入力シート!AT$4,IF(管理者入力シート!$B$14=2,EG7*管理者用人口入力シート!AT$8))</f>
        <v>13.292849407130904</v>
      </c>
      <c r="EI10" s="10">
        <f>IF(管理者入力シート!$B$14=1,EH7*管理者用人口入力シート!AU$4,IF(管理者入力シート!$B$14=2,EH7*管理者用人口入力シート!AU$8))</f>
        <v>11.420160535022964</v>
      </c>
      <c r="EJ10" s="10">
        <f>IF(管理者入力シート!$B$14=1,EI7*管理者用人口入力シート!AV$4,IF(管理者入力シート!$B$14=2,EI7*管理者用人口入力シート!AV$8))</f>
        <v>22.21891086439657</v>
      </c>
      <c r="EK10" s="10">
        <f>IF(管理者入力シート!$B$14=1,EJ7*管理者用人口入力シート!AW$4,IF(管理者入力シート!$B$14=2,EJ7*管理者用人口入力シート!AW$8))</f>
        <v>18.840746730789025</v>
      </c>
      <c r="EL10" s="10">
        <f>IF(管理者入力シート!$B$14=1,EK7*管理者用人口入力シート!AX$4,IF(管理者入力シート!$B$14=2,EK7*管理者用人口入力シート!AX$8))</f>
        <v>21.603900822039773</v>
      </c>
      <c r="EM10" s="10">
        <f>IF(管理者入力シート!$B$14=1,EL7*管理者用人口入力シート!AY$4,IF(管理者入力シート!$B$14=2,EL7*管理者用人口入力シート!AY$8))</f>
        <v>20.29963586989226</v>
      </c>
      <c r="EN10" s="10">
        <f>IF(管理者入力シート!$B$14=1,EM7*管理者用人口入力シート!AZ$4,IF(管理者入力シート!$B$14=2,EM7*管理者用人口入力シート!AZ$8))</f>
        <v>19.423305420993604</v>
      </c>
      <c r="EO10" s="10">
        <f>IF(管理者入力シート!$B$14=1,EN7*管理者用人口入力シート!BA$4,IF(管理者入力シート!$B$14=2,EN7*管理者用人口入力シート!BA$8))</f>
        <v>15.600841111499191</v>
      </c>
      <c r="EP10" s="10">
        <f>IF(管理者入力シート!$B$14=1,EO7*管理者用人口入力シート!BB$4,IF(管理者入力シート!$B$14=2,EO7*管理者用人口入力シート!BB$8))</f>
        <v>17.295533998020993</v>
      </c>
      <c r="EQ10" s="10">
        <f>IF(管理者入力シート!$B$14=1,EP7*管理者用人口入力シート!BC$4,IF(管理者入力シート!$B$14=2,EP7*管理者用人口入力シート!BC$8))</f>
        <v>8.7004972960545874</v>
      </c>
      <c r="ER10" s="10">
        <f>IF(管理者入力シート!$B$14=1,EQ7*管理者用人口入力シート!BD$4,IF(管理者入力シート!$B$14=2,EQ7*管理者用人口入力シート!BD$8))</f>
        <v>3.8255700524098781</v>
      </c>
      <c r="ES10" s="10">
        <f>IF(管理者入力シート!$B$14=1,ER7*管理者用人口入力シート!BE$4,IF(管理者入力シート!$B$14=2,ER7*管理者用人口入力シート!BE$8))</f>
        <v>0.16415354685899097</v>
      </c>
      <c r="ET10" s="10">
        <f>IF(管理者入力シート!$B$14=1,ES7*管理者用人口入力シート!BF$4,IF(管理者入力シート!$B$14=2,ES7*管理者用人口入力シート!BF$8))</f>
        <v>1.4907119849998598E-4</v>
      </c>
      <c r="EU10" s="10">
        <f t="shared" si="71"/>
        <v>223.49793209204375</v>
      </c>
      <c r="EV10" s="10">
        <f t="shared" si="41"/>
        <v>6.3701715249884181</v>
      </c>
      <c r="EW10" s="10">
        <f t="shared" si="42"/>
        <v>2.8993616229715506</v>
      </c>
      <c r="EX10" s="10">
        <f t="shared" si="10"/>
        <v>85.30968636692802</v>
      </c>
      <c r="EY10" s="10">
        <f t="shared" si="43"/>
        <v>45.586745076042142</v>
      </c>
      <c r="EZ10" s="14">
        <f t="shared" si="44"/>
        <v>0.38170235209064352</v>
      </c>
      <c r="FA10" s="14">
        <f t="shared" si="45"/>
        <v>0.20396942669370216</v>
      </c>
      <c r="FB10" s="10">
        <f t="shared" si="72"/>
        <v>29.551047387481255</v>
      </c>
    </row>
    <row r="11" spans="1:158" x14ac:dyDescent="0.15">
      <c r="A11" s="7" t="str">
        <f t="shared" si="11"/>
        <v>2015_3</v>
      </c>
      <c r="B11" s="30">
        <v>2015</v>
      </c>
      <c r="C11" s="5" t="s">
        <v>23</v>
      </c>
      <c r="D11" s="11">
        <v>10</v>
      </c>
      <c r="E11" s="11">
        <v>14</v>
      </c>
      <c r="F11" s="11">
        <v>12</v>
      </c>
      <c r="G11" s="11">
        <v>14</v>
      </c>
      <c r="H11" s="11">
        <v>10</v>
      </c>
      <c r="I11" s="11">
        <v>10</v>
      </c>
      <c r="J11" s="11">
        <v>27</v>
      </c>
      <c r="K11" s="11">
        <v>20</v>
      </c>
      <c r="L11" s="11">
        <v>12</v>
      </c>
      <c r="M11" s="11">
        <v>28</v>
      </c>
      <c r="N11" s="11">
        <v>31</v>
      </c>
      <c r="O11" s="11">
        <v>29</v>
      </c>
      <c r="P11" s="11">
        <v>57</v>
      </c>
      <c r="Q11" s="11">
        <v>47</v>
      </c>
      <c r="R11" s="11">
        <v>27</v>
      </c>
      <c r="S11" s="11">
        <v>43</v>
      </c>
      <c r="T11" s="11">
        <v>28</v>
      </c>
      <c r="U11" s="11">
        <v>8</v>
      </c>
      <c r="V11" s="11">
        <v>6</v>
      </c>
      <c r="W11" s="11">
        <v>0</v>
      </c>
      <c r="X11" s="11">
        <v>0</v>
      </c>
      <c r="Y11" s="11">
        <f t="shared" si="68"/>
        <v>433</v>
      </c>
      <c r="Z11" s="11">
        <f t="shared" si="12"/>
        <v>15.600000000000001</v>
      </c>
      <c r="AA11" s="11">
        <f t="shared" si="13"/>
        <v>7.6</v>
      </c>
      <c r="AB11" s="11">
        <f t="shared" si="0"/>
        <v>159</v>
      </c>
      <c r="AC11" s="11">
        <f t="shared" si="14"/>
        <v>85</v>
      </c>
      <c r="AD11" s="15">
        <f t="shared" si="15"/>
        <v>0.3672055427251732</v>
      </c>
      <c r="AE11" s="15">
        <f t="shared" si="16"/>
        <v>0.19630484988452657</v>
      </c>
      <c r="AF11" s="11">
        <f t="shared" si="17"/>
        <v>67</v>
      </c>
      <c r="BH11" s="7" t="str">
        <f t="shared" si="19"/>
        <v>2035_3</v>
      </c>
      <c r="BI11" s="30">
        <f>BI10</f>
        <v>2035</v>
      </c>
      <c r="BJ11" s="5" t="s">
        <v>23</v>
      </c>
      <c r="BK11" s="16">
        <f>BK9+BK10</f>
        <v>5.3527979585024568</v>
      </c>
      <c r="BL11" s="16">
        <f t="shared" ref="BL11" si="117">BL9+BL10</f>
        <v>7.8258674311722469</v>
      </c>
      <c r="BM11" s="16">
        <f t="shared" ref="BM11" si="118">BM9+BM10</f>
        <v>10.358077891711572</v>
      </c>
      <c r="BN11" s="16">
        <f t="shared" ref="BN11" si="119">BN9+BN10</f>
        <v>11.616373464233176</v>
      </c>
      <c r="BO11" s="16">
        <f t="shared" ref="BO11" si="120">BO9+BO10</f>
        <v>9.0987789311377085</v>
      </c>
      <c r="BP11" s="16">
        <f t="shared" ref="BP11" si="121">BP9+BP10</f>
        <v>4.7275853383427293</v>
      </c>
      <c r="BQ11" s="16">
        <f t="shared" ref="BQ11" si="122">BQ9+BQ10</f>
        <v>3.7576792342215315</v>
      </c>
      <c r="BR11" s="16">
        <f t="shared" ref="BR11" si="123">BR9+BR10</f>
        <v>7.2413259242026609</v>
      </c>
      <c r="BS11" s="16">
        <f t="shared" ref="BS11" si="124">BS9+BS10</f>
        <v>8.6242248134885138</v>
      </c>
      <c r="BT11" s="16">
        <f t="shared" ref="BT11" si="125">BT9+BT10</f>
        <v>16.715261988424274</v>
      </c>
      <c r="BU11" s="16">
        <f t="shared" ref="BU11" si="126">BU9+BU10</f>
        <v>43.145867164824011</v>
      </c>
      <c r="BV11" s="16">
        <f t="shared" ref="BV11" si="127">BV9+BV10</f>
        <v>42.87197641218485</v>
      </c>
      <c r="BW11" s="16">
        <f t="shared" ref="BW11" si="128">BW9+BW10</f>
        <v>26.547215867266367</v>
      </c>
      <c r="BX11" s="16">
        <f t="shared" ref="BX11" si="129">BX9+BX10</f>
        <v>40.316559147941831</v>
      </c>
      <c r="BY11" s="16">
        <f t="shared" ref="BY11" si="130">BY9+BY10</f>
        <v>34.350497140522727</v>
      </c>
      <c r="BZ11" s="16">
        <f t="shared" ref="BZ11" si="131">BZ9+BZ10</f>
        <v>28.216620704407511</v>
      </c>
      <c r="CA11" s="16">
        <f t="shared" ref="CA11" si="132">CA9+CA10</f>
        <v>39.812194496416396</v>
      </c>
      <c r="CB11" s="16">
        <f t="shared" ref="CB11" si="133">CB9+CB10</f>
        <v>14.700497296054586</v>
      </c>
      <c r="CC11" s="16">
        <f t="shared" ref="CC11" si="134">CC9+CC10</f>
        <v>5.677210251954981</v>
      </c>
      <c r="CD11" s="16">
        <f t="shared" ref="CD11" si="135">CD9+CD10</f>
        <v>0.16707473383235186</v>
      </c>
      <c r="CE11" s="16">
        <f t="shared" ref="CE11" si="136">CE9+CE10</f>
        <v>1.5257119849998598E-4</v>
      </c>
      <c r="CF11" s="11">
        <f t="shared" si="2"/>
        <v>361.12383876204103</v>
      </c>
      <c r="CG11" s="11">
        <f t="shared" si="20"/>
        <v>10.910367193730291</v>
      </c>
      <c r="CH11" s="11">
        <f t="shared" si="21"/>
        <v>6.4665058495312646</v>
      </c>
      <c r="CI11" s="11">
        <f t="shared" si="3"/>
        <v>163.24080634232888</v>
      </c>
      <c r="CJ11" s="11">
        <f t="shared" si="22"/>
        <v>88.573750053864316</v>
      </c>
      <c r="CK11" s="15">
        <f t="shared" si="23"/>
        <v>0.4520355313621231</v>
      </c>
      <c r="CL11" s="15">
        <f t="shared" si="24"/>
        <v>0.2452725091688813</v>
      </c>
      <c r="CM11" s="11">
        <f t="shared" si="25"/>
        <v>24.825369427904633</v>
      </c>
      <c r="CO11" s="7" t="str">
        <f t="shared" si="26"/>
        <v>2035_3</v>
      </c>
      <c r="CP11" s="30">
        <f>CP10</f>
        <v>2035</v>
      </c>
      <c r="CQ11" s="5" t="s">
        <v>23</v>
      </c>
      <c r="CR11" s="16">
        <f>CR9+CR10</f>
        <v>9.8812236591846041</v>
      </c>
      <c r="CS11" s="16">
        <f t="shared" ref="CS11" si="137">CS9+CS10</f>
        <v>12.587035427398085</v>
      </c>
      <c r="CT11" s="16">
        <f t="shared" ref="CT11" si="138">CT9+CT10</f>
        <v>15.197340073386307</v>
      </c>
      <c r="CU11" s="16">
        <f t="shared" ref="CU11" si="139">CU9+CU10</f>
        <v>13.097792158983028</v>
      </c>
      <c r="CV11" s="16">
        <f t="shared" ref="CV11" si="140">CV9+CV10</f>
        <v>10.025938906288474</v>
      </c>
      <c r="CW11" s="16">
        <f t="shared" ref="CW11" si="141">CW9+CW10</f>
        <v>8.7275853383427293</v>
      </c>
      <c r="CX11" s="16">
        <f t="shared" ref="CX11" si="142">CX9+CX10</f>
        <v>8.1340333373655511</v>
      </c>
      <c r="CY11" s="16">
        <f t="shared" ref="CY11" si="143">CY9+CY10</f>
        <v>11.170095258792319</v>
      </c>
      <c r="CZ11" s="16">
        <f t="shared" ref="CZ11" si="144">CZ9+CZ10</f>
        <v>9.6242248134885138</v>
      </c>
      <c r="DA11" s="16">
        <f t="shared" ref="DA11" si="145">DA9+DA10</f>
        <v>17.970553817345969</v>
      </c>
      <c r="DB11" s="16">
        <f t="shared" ref="DB11" si="146">DB9+DB10</f>
        <v>44.718357951037802</v>
      </c>
      <c r="DC11" s="16">
        <f t="shared" ref="DC11" si="147">DC9+DC10</f>
        <v>42.87197641218485</v>
      </c>
      <c r="DD11" s="16">
        <f t="shared" ref="DD11" si="148">DD9+DD10</f>
        <v>26.547215867266367</v>
      </c>
      <c r="DE11" s="16">
        <f t="shared" ref="DE11" si="149">DE9+DE10</f>
        <v>40.316559147941831</v>
      </c>
      <c r="DF11" s="16">
        <f t="shared" ref="DF11" si="150">DF9+DF10</f>
        <v>34.350497140522727</v>
      </c>
      <c r="DG11" s="16">
        <f t="shared" ref="DG11" si="151">DG9+DG10</f>
        <v>28.216620704407511</v>
      </c>
      <c r="DH11" s="16">
        <f t="shared" ref="DH11" si="152">DH9+DH10</f>
        <v>39.812194496416396</v>
      </c>
      <c r="DI11" s="16">
        <f t="shared" ref="DI11" si="153">DI9+DI10</f>
        <v>14.700497296054586</v>
      </c>
      <c r="DJ11" s="16">
        <f t="shared" ref="DJ11" si="154">DJ9+DJ10</f>
        <v>5.677210251954981</v>
      </c>
      <c r="DK11" s="16">
        <f t="shared" ref="DK11" si="155">DK9+DK10</f>
        <v>0.16707473383235186</v>
      </c>
      <c r="DL11" s="16">
        <f t="shared" ref="DL11" si="156">DL9+DL10</f>
        <v>1.5257119849998598E-4</v>
      </c>
      <c r="DM11" s="11">
        <f t="shared" si="69"/>
        <v>393.79417936339348</v>
      </c>
      <c r="DN11" s="11">
        <f t="shared" si="34"/>
        <v>16.670625300470636</v>
      </c>
      <c r="DO11" s="11">
        <f t="shared" si="35"/>
        <v>8.6984944611511281</v>
      </c>
      <c r="DP11" s="11">
        <f t="shared" si="6"/>
        <v>163.24080634232888</v>
      </c>
      <c r="DQ11" s="11">
        <f t="shared" si="36"/>
        <v>88.573750053864316</v>
      </c>
      <c r="DR11" s="15">
        <f t="shared" si="37"/>
        <v>0.41453331434767138</v>
      </c>
      <c r="DS11" s="15">
        <f t="shared" si="38"/>
        <v>0.22492396966621594</v>
      </c>
      <c r="DT11" s="11">
        <f t="shared" si="70"/>
        <v>38.057652840789075</v>
      </c>
      <c r="DW11" s="211"/>
      <c r="DX11" s="30">
        <f>DX10</f>
        <v>2035</v>
      </c>
      <c r="DY11" s="5" t="s">
        <v>23</v>
      </c>
      <c r="DZ11" s="16">
        <f>DZ9+DZ10</f>
        <v>12.502366202395915</v>
      </c>
      <c r="EA11" s="16">
        <f t="shared" ref="EA11" si="157">EA9+EA10</f>
        <v>15.774921240733958</v>
      </c>
      <c r="EB11" s="16">
        <f t="shared" ref="EB11" si="158">EB9+EB10</f>
        <v>10.358077891711572</v>
      </c>
      <c r="EC11" s="16">
        <f t="shared" ref="EC11" si="159">EC9+EC10</f>
        <v>11.616373464233176</v>
      </c>
      <c r="ED11" s="16">
        <f t="shared" ref="ED11" si="160">ED9+ED10</f>
        <v>9.0987789311377085</v>
      </c>
      <c r="EE11" s="16">
        <f t="shared" ref="EE11" si="161">EE9+EE10</f>
        <v>10.727585338342729</v>
      </c>
      <c r="EF11" s="16">
        <f t="shared" ref="EF11" si="162">EF9+EF10</f>
        <v>16.32221038893756</v>
      </c>
      <c r="EG11" s="16">
        <f t="shared" ref="EG11" si="163">EG9+EG10</f>
        <v>24.482245018108213</v>
      </c>
      <c r="EH11" s="16">
        <f t="shared" ref="EH11" si="164">EH9+EH10</f>
        <v>19.617372419792357</v>
      </c>
      <c r="EI11" s="16">
        <f t="shared" ref="EI11" si="165">EI9+EI10</f>
        <v>25.485649818041473</v>
      </c>
      <c r="EJ11" s="16">
        <f t="shared" ref="EJ11" si="166">EJ9+EJ10</f>
        <v>43.145867164824011</v>
      </c>
      <c r="EK11" s="16">
        <f t="shared" ref="EK11" si="167">EK9+EK10</f>
        <v>42.87197641218485</v>
      </c>
      <c r="EL11" s="16">
        <f t="shared" ref="EL11" si="168">EL9+EL10</f>
        <v>26.547215867266367</v>
      </c>
      <c r="EM11" s="16">
        <f t="shared" ref="EM11" si="169">EM9+EM10</f>
        <v>40.316559147941831</v>
      </c>
      <c r="EN11" s="16">
        <f t="shared" ref="EN11" si="170">EN9+EN10</f>
        <v>34.350497140522727</v>
      </c>
      <c r="EO11" s="16">
        <f t="shared" ref="EO11" si="171">EO9+EO10</f>
        <v>28.216620704407511</v>
      </c>
      <c r="EP11" s="16">
        <f t="shared" ref="EP11" si="172">EP9+EP10</f>
        <v>39.812194496416396</v>
      </c>
      <c r="EQ11" s="16">
        <f t="shared" ref="EQ11" si="173">EQ9+EQ10</f>
        <v>14.700497296054586</v>
      </c>
      <c r="ER11" s="16">
        <f t="shared" ref="ER11" si="174">ER9+ER10</f>
        <v>5.677210251954981</v>
      </c>
      <c r="ES11" s="16">
        <f t="shared" ref="ES11" si="175">ES9+ES10</f>
        <v>0.16707473383235186</v>
      </c>
      <c r="ET11" s="16">
        <f t="shared" ref="ET11" si="176">ET9+ET10</f>
        <v>1.5257119849998598E-4</v>
      </c>
      <c r="EU11" s="11">
        <f t="shared" si="71"/>
        <v>431.79144650003883</v>
      </c>
      <c r="EV11" s="11">
        <f t="shared" si="41"/>
        <v>15.679799479467317</v>
      </c>
      <c r="EW11" s="11">
        <f t="shared" si="42"/>
        <v>6.4665058495312646</v>
      </c>
      <c r="EX11" s="11">
        <f t="shared" si="10"/>
        <v>163.24080634232888</v>
      </c>
      <c r="EY11" s="11">
        <f t="shared" si="43"/>
        <v>88.573750053864316</v>
      </c>
      <c r="EZ11" s="15">
        <f t="shared" si="44"/>
        <v>0.37805474764612829</v>
      </c>
      <c r="FA11" s="15">
        <f t="shared" si="45"/>
        <v>0.20513085836186509</v>
      </c>
      <c r="FB11" s="11">
        <f t="shared" si="72"/>
        <v>60.630819676526215</v>
      </c>
    </row>
    <row r="12" spans="1:158" x14ac:dyDescent="0.15">
      <c r="A12" s="7" t="str">
        <f t="shared" si="11"/>
        <v>2020_1</v>
      </c>
      <c r="B12" s="28">
        <v>2020</v>
      </c>
      <c r="C12" s="3" t="s">
        <v>21</v>
      </c>
      <c r="D12" s="3">
        <v>6</v>
      </c>
      <c r="E12" s="3">
        <v>9</v>
      </c>
      <c r="F12" s="3">
        <v>7</v>
      </c>
      <c r="G12" s="3">
        <v>1</v>
      </c>
      <c r="H12" s="3">
        <v>6</v>
      </c>
      <c r="I12" s="3">
        <v>3</v>
      </c>
      <c r="J12" s="3">
        <v>8</v>
      </c>
      <c r="K12" s="3">
        <v>14</v>
      </c>
      <c r="L12" s="3">
        <v>11</v>
      </c>
      <c r="M12" s="3">
        <v>4</v>
      </c>
      <c r="N12" s="3">
        <v>18</v>
      </c>
      <c r="O12" s="3">
        <v>14</v>
      </c>
      <c r="P12" s="3">
        <v>12</v>
      </c>
      <c r="Q12" s="3">
        <v>26</v>
      </c>
      <c r="R12" s="3">
        <v>18</v>
      </c>
      <c r="S12" s="3">
        <v>12</v>
      </c>
      <c r="T12" s="3">
        <v>16</v>
      </c>
      <c r="U12" s="3">
        <v>7</v>
      </c>
      <c r="V12" s="3">
        <v>0</v>
      </c>
      <c r="W12" s="3">
        <v>0</v>
      </c>
      <c r="X12" s="3">
        <v>0</v>
      </c>
      <c r="Y12" s="9">
        <f t="shared" ref="Y12:Y14" si="177">SUM(D12:X12)</f>
        <v>192</v>
      </c>
      <c r="Z12" s="9">
        <f>E12*3/5+F12*3/5</f>
        <v>9.6000000000000014</v>
      </c>
      <c r="AA12" s="9">
        <f>F12*2/5+G12*1/5</f>
        <v>3</v>
      </c>
      <c r="AB12" s="9">
        <f t="shared" ref="AB12:AB14" si="178">SUM(Q12:X12)</f>
        <v>79</v>
      </c>
      <c r="AC12" s="9">
        <f>SUM(S12:X12)</f>
        <v>35</v>
      </c>
      <c r="AD12" s="13">
        <f>AB12/Y12</f>
        <v>0.41145833333333331</v>
      </c>
      <c r="AE12" s="13">
        <f>AC12/Y12</f>
        <v>0.18229166666666666</v>
      </c>
      <c r="AF12" s="9">
        <f>SUM(H12:K12)</f>
        <v>31</v>
      </c>
      <c r="AK12" s="61">
        <f>管理者入力シート!B5</f>
        <v>2020</v>
      </c>
      <c r="AL12" s="62"/>
      <c r="BH12" s="7" t="str">
        <f t="shared" si="19"/>
        <v>2040_1</v>
      </c>
      <c r="BI12" s="28">
        <f>管理者入力シート!B11</f>
        <v>2040</v>
      </c>
      <c r="BJ12" s="3" t="s">
        <v>21</v>
      </c>
      <c r="BK12" s="9">
        <f>CM13*$AK$13</f>
        <v>2.5827995592063133</v>
      </c>
      <c r="BL12" s="9">
        <f>IF(管理者入力シート!$B$14=1,BK9*管理者用人口入力シート!AM$3,IF(管理者入力シート!$B$14=2,BK9*管理者用人口入力シート!AM$7))</f>
        <v>4.3795619660474649</v>
      </c>
      <c r="BM12" s="9">
        <f>IF(管理者入力シート!$B$14=1,BL9*管理者用人口入力シート!AN$3,IF(管理者入力シート!$B$14=2,BL9*管理者用人口入力シート!AN$7))</f>
        <v>4.6061995537881204</v>
      </c>
      <c r="BN12" s="9">
        <f>IF(管理者入力シート!$B$14=1,BM9*管理者用人口入力シート!AO$3,IF(管理者入力シート!$B$14=2,BM9*管理者用人口入力シート!AO$7))</f>
        <v>4.4193349613298176</v>
      </c>
      <c r="BO12" s="9">
        <f>IF(管理者入力シート!$B$14=1,BN9*管理者用人口入力シート!AP$3,IF(管理者入力シート!$B$14=2,BN9*管理者用人口入力シート!AP$7))</f>
        <v>4.9154787984673298</v>
      </c>
      <c r="BP12" s="9">
        <f>IF(管理者入力シート!$B$14=1,BO9*管理者用人口入力シート!AQ$3,IF(管理者入力シート!$B$14=2,BO9*管理者用人口入力シート!AQ$7))</f>
        <v>3.0101037244284758</v>
      </c>
      <c r="BQ12" s="9">
        <f>IF(管理者入力シート!$B$14=1,BP9*管理者用人口入力シート!AR$3,IF(管理者入力シート!$B$14=2,BP9*管理者用人口入力シート!AR$7))</f>
        <v>2.9738162161943595</v>
      </c>
      <c r="BR12" s="9">
        <f>IF(管理者入力シート!$B$14=1,BQ9*管理者用人口入力シート!AS$3,IF(管理者入力シート!$B$14=2,BQ9*管理者用人口入力シート!AS$7))</f>
        <v>0.51915192051801173</v>
      </c>
      <c r="BS12" s="9">
        <f>IF(管理者入力シート!$B$14=1,BR9*管理者用人口入力シート!AT$3,IF(管理者入力シート!$B$14=2,BR9*管理者用人口入力シート!AT$7))</f>
        <v>2.8553355628490644</v>
      </c>
      <c r="BT12" s="9">
        <f>IF(管理者入力シート!$B$14=1,BS9*管理者用人口入力シート!AU$3,IF(管理者入力シート!$B$14=2,BS9*管理者用人口入力シート!AU$7))</f>
        <v>4.5146819313409523</v>
      </c>
      <c r="BU12" s="9">
        <f>IF(管理者入力シート!$B$14=1,BT9*管理者用人口入力シート!AV$3,IF(管理者入力シート!$B$14=2,BT9*管理者用人口入力シート!AV$7))</f>
        <v>11.552777443829973</v>
      </c>
      <c r="BV12" s="9">
        <f>IF(管理者入力シート!$B$14=1,BU9*管理者用人口入力シート!AW$3,IF(管理者入力シート!$B$14=2,BU9*管理者用人口入力シート!AW$7))</f>
        <v>20.706279240848655</v>
      </c>
      <c r="BW12" s="9">
        <f>IF(管理者入力シート!$B$14=1,BV9*管理者用人口入力シート!AX$3,IF(管理者入力シート!$B$14=2,BV9*管理者用人口入力シート!AX$7))</f>
        <v>26.324893162176362</v>
      </c>
      <c r="BX12" s="9">
        <f>IF(管理者入力シート!$B$14=1,BW9*管理者用人口入力シート!AY$3,IF(管理者入力シート!$B$14=2,BW9*管理者用人口入力シート!AY$7))</f>
        <v>5.0717342239393313</v>
      </c>
      <c r="BY12" s="9">
        <f>IF(管理者入力シート!$B$14=1,BX9*管理者用人口入力シート!AZ$3,IF(管理者入力シート!$B$14=2,BX9*管理者用人口入力シート!AZ$7))</f>
        <v>18.989720792244164</v>
      </c>
      <c r="BZ12" s="9">
        <f>IF(管理者入力シート!$B$14=1,BY9*管理者用人口入力シート!BA$3,IF(管理者入力シート!$B$14=2,BY9*管理者用人口入力シート!BA$7))</f>
        <v>16.123209814948204</v>
      </c>
      <c r="CA12" s="9">
        <f>IF(管理者入力シート!$B$14=1,BZ9*管理者用人口入力シート!BB$3,IF(管理者入力シート!$B$14=2,BZ9*管理者用人口入力シート!BB$7))</f>
        <v>10.662279799663661</v>
      </c>
      <c r="CB12" s="9">
        <f>IF(管理者入力シート!$B$14=1,CA9*管理者用人口入力シート!BC$3,IF(管理者入力シート!$B$14=2,CA9*管理者用人口入力シート!BC$7))</f>
        <v>8.2219219164377861</v>
      </c>
      <c r="CC12" s="9">
        <f>IF(管理者入力シート!$B$14=1,CB9*管理者用人口入力シート!BD$3,IF(管理者入力シート!$B$14=2,CB9*管理者用人口入力シート!BD$7))</f>
        <v>2.9999999999999996</v>
      </c>
      <c r="CD12" s="9">
        <f>IF(管理者入力シート!$B$14=1,CC9*管理者用人口入力シート!BE$3,IF(管理者入力シート!$B$14=2,CC9*管理者用人口入力シート!BE$7))</f>
        <v>1.851640199545103E-3</v>
      </c>
      <c r="CE12" s="9">
        <f>IF(管理者入力シート!$B$14=1,CD9*管理者用人口入力シート!BF$3,IF(管理者入力シート!$B$14=2,CD9*管理者用人口入力シート!BF$7))</f>
        <v>2.9211869733608862E-6</v>
      </c>
      <c r="CF12" s="9">
        <f t="shared" si="2"/>
        <v>155.43113514964455</v>
      </c>
      <c r="CG12" s="9">
        <f t="shared" si="20"/>
        <v>5.3914569119013516</v>
      </c>
      <c r="CH12" s="9">
        <f t="shared" si="21"/>
        <v>2.7263468137812117</v>
      </c>
      <c r="CI12" s="9">
        <f t="shared" si="3"/>
        <v>62.070721108619672</v>
      </c>
      <c r="CJ12" s="9">
        <f t="shared" si="22"/>
        <v>38.009266092436178</v>
      </c>
      <c r="CK12" s="13">
        <f t="shared" si="23"/>
        <v>0.39934547894062411</v>
      </c>
      <c r="CL12" s="13">
        <f t="shared" si="24"/>
        <v>0.24454087693461138</v>
      </c>
      <c r="CM12" s="9">
        <f t="shared" si="25"/>
        <v>11.418550659608176</v>
      </c>
      <c r="CO12" s="7" t="str">
        <f t="shared" si="26"/>
        <v>2040_1</v>
      </c>
      <c r="CP12" s="28">
        <f>管理者入力シート!B11</f>
        <v>2040</v>
      </c>
      <c r="CQ12" s="3" t="s">
        <v>21</v>
      </c>
      <c r="CR12" s="9">
        <f>DT13*$AK$13+将来予測シート②!$G17</f>
        <v>5.0352841265833002</v>
      </c>
      <c r="CS12" s="9">
        <f>IF(管理者入力シート!$B$14=1,CR9*管理者用人口入力シート!AM$3,IF(管理者入力シート!$B$14=2,CR9*管理者用人口入力シート!AM$7))+将来予測シート②!$G18</f>
        <v>7.9482739029692215</v>
      </c>
      <c r="CT12" s="9">
        <f>IF(管理者入力シート!$B$14=1,CS9*管理者用人口入力シート!AN$3,IF(管理者入力シート!$B$14=2,CS9*管理者用人口入力シート!AN$7))+将来予測シート②!$G19</f>
        <v>8.3045101692500989</v>
      </c>
      <c r="CU12" s="9">
        <f>IF(管理者入力シート!$B$14=1,CT9*管理者用人口入力シート!AO$3,IF(管理者入力シート!$B$14=2,CT9*管理者用人口入力シート!AO$7))+将来予測シート②!$G20</f>
        <v>6.3191693357030907</v>
      </c>
      <c r="CV12" s="9">
        <f>IF(管理者入力シート!$B$14=1,CU9*管理者用人口入力シート!AP$3,IF(管理者入力シート!$B$14=2,CU9*管理者用人口入力シート!AP$7))+将来予測シート②!$G21</f>
        <v>5.4993530065884713</v>
      </c>
      <c r="CW12" s="9">
        <f>IF(管理者入力シート!$B$14=1,CV9*管理者用人口入力シート!AQ$3,IF(管理者入力シート!$B$14=2,CV9*管理者用人口入力シート!AQ$7))+将来予測シート②!$G22</f>
        <v>5.3676521953955731</v>
      </c>
      <c r="CX12" s="9">
        <f>IF(管理者入力シート!$B$14=1,CW9*管理者用人口入力シート!AR$3,IF(管理者入力シート!$B$14=2,CW9*管理者用人口入力シート!AR$7))+将来予測シート②!$G23</f>
        <v>5.3501703193383783</v>
      </c>
      <c r="CY12" s="9">
        <f>IF(管理者入力シート!$B$14=1,CX9*管理者用人口入力シート!AS$3,IF(管理者入力シート!$B$14=2,CX9*管理者用人口入力シート!AS$7))+将来予測シート②!$G24</f>
        <v>2.8149280932522176</v>
      </c>
      <c r="CZ12" s="9">
        <f>IF(管理者入力シート!$B$14=1,CY9*管理者用人口入力シート!AT$3,IF(管理者入力シート!$B$14=2,CY9*管理者用人口入力シート!AT$7))+将来予測シート②!$G25</f>
        <v>4.409583379160801</v>
      </c>
      <c r="DA12" s="9">
        <f>IF(管理者入力シート!$B$14=1,CZ9*管理者用人口入力シート!AU$3,IF(管理者入力シート!$B$14=2,CZ9*管理者用人口入力シート!AU$7))+将来予測シート②!$G26</f>
        <v>4.5146819313409523</v>
      </c>
      <c r="DB12" s="9">
        <f>IF(管理者入力シート!$B$14=1,DA9*管理者用人口入力シート!AV$3,IF(管理者入力シート!$B$14=2,DA9*管理者用人口入力シート!AV$7))+将来予測シート②!$G27</f>
        <v>11.552777443829973</v>
      </c>
      <c r="DC12" s="9">
        <f>IF(管理者入力シート!$B$14=1,DB9*管理者用人口入力シート!AW$3,IF(管理者入力シート!$B$14=2,DB9*管理者用人口入力シート!AW$7))+将来予測シート②!$G28</f>
        <v>20.706279240848655</v>
      </c>
      <c r="DD12" s="9">
        <f>IF(管理者入力シート!$B$14=1,DC9*管理者用人口入力シート!AX$3,IF(管理者入力シート!$B$14=2,DC9*管理者用人口入力シート!AX$7))+将来予測シート②!$G29</f>
        <v>26.324893162176362</v>
      </c>
      <c r="DE12" s="9">
        <f>IF(管理者入力シート!$B$14=1,DD9*管理者用人口入力シート!AY$3,IF(管理者入力シート!$B$14=2,DD9*管理者用人口入力シート!AY$7))</f>
        <v>5.0717342239393313</v>
      </c>
      <c r="DF12" s="9">
        <f>IF(管理者入力シート!$B$14=1,DE9*管理者用人口入力シート!AZ$3,IF(管理者入力シート!$B$14=2,DE9*管理者用人口入力シート!AZ$7))</f>
        <v>18.989720792244164</v>
      </c>
      <c r="DG12" s="9">
        <f>IF(管理者入力シート!$B$14=1,DF9*管理者用人口入力シート!BA$3,IF(管理者入力シート!$B$14=2,DF9*管理者用人口入力シート!BA$7))</f>
        <v>16.123209814948204</v>
      </c>
      <c r="DH12" s="9">
        <f>IF(管理者入力シート!$B$14=1,DG9*管理者用人口入力シート!BB$3,IF(管理者入力シート!$B$14=2,DG9*管理者用人口入力シート!BB$7))</f>
        <v>10.662279799663661</v>
      </c>
      <c r="DI12" s="9">
        <f>IF(管理者入力シート!$B$14=1,DH9*管理者用人口入力シート!BC$3,IF(管理者入力シート!$B$14=2,DH9*管理者用人口入力シート!BC$7))</f>
        <v>8.2219219164377861</v>
      </c>
      <c r="DJ12" s="9">
        <f>IF(管理者入力シート!$B$14=1,DI9*管理者用人口入力シート!BD$3,IF(管理者入力シート!$B$14=2,DI9*管理者用人口入力シート!BD$7))</f>
        <v>2.9999999999999996</v>
      </c>
      <c r="DK12" s="9">
        <f>IF(管理者入力シート!$B$14=1,DJ9*管理者用人口入力シート!BE$3,IF(管理者入力シート!$B$14=2,DJ9*管理者用人口入力シート!BE$7))</f>
        <v>1.851640199545103E-3</v>
      </c>
      <c r="DL12" s="9">
        <f>IF(管理者入力シート!$B$14=1,DK9*管理者用人口入力シート!BF$3,IF(管理者入力シート!$B$14=2,DK9*管理者用人口入力シート!BF$7))</f>
        <v>2.9211869733608862E-6</v>
      </c>
      <c r="DM12" s="9">
        <f t="shared" si="69"/>
        <v>176.21827741505675</v>
      </c>
      <c r="DN12" s="9">
        <f t="shared" si="34"/>
        <v>9.7516704433315926</v>
      </c>
      <c r="DO12" s="9">
        <f t="shared" si="35"/>
        <v>4.5856379348406575</v>
      </c>
      <c r="DP12" s="9">
        <f t="shared" si="6"/>
        <v>62.070721108619672</v>
      </c>
      <c r="DQ12" s="9">
        <f t="shared" si="36"/>
        <v>38.009266092436178</v>
      </c>
      <c r="DR12" s="13">
        <f t="shared" si="37"/>
        <v>0.35223770212224376</v>
      </c>
      <c r="DS12" s="13">
        <f t="shared" si="38"/>
        <v>0.21569423245984201</v>
      </c>
      <c r="DT12" s="9">
        <f t="shared" si="70"/>
        <v>19.032103614574641</v>
      </c>
      <c r="DV12" s="212"/>
      <c r="DX12" s="28">
        <f>管理者入力シート!B11</f>
        <v>2040</v>
      </c>
      <c r="DY12" s="3" t="s">
        <v>21</v>
      </c>
      <c r="DZ12" s="9">
        <f>FB13*$AK$13</f>
        <v>6.4825640558754722</v>
      </c>
      <c r="EA12" s="129">
        <f>IF(管理者入力シート!$B$14=1,DZ9*管理者用人口入力シート!AM$3,IF(管理者入力シート!$B$14=2,DZ9*管理者用人口入力シート!AM$7))</f>
        <v>10.229208711051204</v>
      </c>
      <c r="EB12" s="9">
        <f>IF(管理者入力シート!$B$14=1,EA9*管理者用人口入力シート!AN$3,IF(管理者入力シート!$B$14=2,EA9*管理者用人口入力シート!AN$7))</f>
        <v>9.2849049411034166</v>
      </c>
      <c r="EC12" s="9">
        <f>IF(管理者入力シート!$B$14=1,EB9*管理者用人口入力シート!AO$3,IF(管理者入力シート!$B$14=2,EB9*管理者用人口入力シート!AO$7))</f>
        <v>4.4193349613298176</v>
      </c>
      <c r="ED12" s="9">
        <f>IF(管理者入力シート!$B$14=1,EC9*管理者用人口入力シート!AP$3,IF(管理者入力シート!$B$14=2,EC9*管理者用人口入力シート!AP$7))</f>
        <v>4.9154787984673298</v>
      </c>
      <c r="EE12" s="9">
        <f>IF(管理者入力シート!$B$14=1,ED9*管理者用人口入力シート!AQ$3,IF(管理者入力シート!$B$14=2,ED9*管理者用人口入力シート!AQ$7))+DX1</f>
        <v>6.0101037244284754</v>
      </c>
      <c r="EF12" s="9">
        <f>IF(管理者入力シート!$B$14=1,EE9*管理者用人口入力シート!AR$3,IF(管理者入力シート!$B$14=2,EE9*管理者用人口入力シート!AR$7))+DX1</f>
        <v>9.5383473709103868</v>
      </c>
      <c r="EG12" s="9">
        <f>IF(管理者入力シート!$B$14=1,EF9*管理者用人口入力シート!AS$3,IF(管理者入力シート!$B$14=2,EF9*管理者用人口入力シート!AS$7))+DX1</f>
        <v>9.8610915288572087</v>
      </c>
      <c r="EH12" s="9">
        <f>IF(管理者入力シート!$B$14=1,EG9*管理者用人口入力シート!AT$3,IF(管理者入力シート!$B$14=2,EG9*管理者用人口入力シート!AT$7))</f>
        <v>9.1798585755105186</v>
      </c>
      <c r="EI12" s="9">
        <f>IF(管理者入力シート!$B$14=1,EH9*管理者用人口入力シート!AU$3,IF(管理者入力シート!$B$14=2,EH9*管理者用人口入力シート!AU$7))</f>
        <v>12.247386150371687</v>
      </c>
      <c r="EJ12" s="9">
        <f>IF(管理者入力シート!$B$14=1,EI9*管理者用人口入力シート!AV$3,IF(管理者入力シート!$B$14=2,EI9*管理者用人口入力シート!AV$7))</f>
        <v>16.037125222493</v>
      </c>
      <c r="EK12" s="9">
        <f>IF(管理者入力シート!$B$14=1,EJ9*管理者用人口入力シート!AW$3,IF(管理者入力シート!$B$14=2,EJ9*管理者用人口入力シート!AW$7))</f>
        <v>20.706279240848655</v>
      </c>
      <c r="EL12" s="9">
        <f>IF(管理者入力シート!$B$14=1,EK9*管理者用人口入力シート!AX$3,IF(管理者入力シート!$B$14=2,EK9*管理者用人口入力シート!AX$7))</f>
        <v>26.324893162176362</v>
      </c>
      <c r="EM12" s="9">
        <f>IF(管理者入力シート!$B$14=1,EL9*管理者用人口入力シート!AY$3,IF(管理者入力シート!$B$14=2,EL9*管理者用人口入力シート!AY$7))</f>
        <v>5.0717342239393313</v>
      </c>
      <c r="EN12" s="9">
        <f>IF(管理者入力シート!$B$14=1,EM9*管理者用人口入力シート!AZ$3,IF(管理者入力シート!$B$14=2,EM9*管理者用人口入力シート!AZ$7))</f>
        <v>18.989720792244164</v>
      </c>
      <c r="EO12" s="9">
        <f>IF(管理者入力シート!$B$14=1,EN9*管理者用人口入力シート!BA$3,IF(管理者入力シート!$B$14=2,EN9*管理者用人口入力シート!BA$7))</f>
        <v>16.123209814948204</v>
      </c>
      <c r="EP12" s="9">
        <f>IF(管理者入力シート!$B$14=1,EO9*管理者用人口入力シート!BB$3,IF(管理者入力シート!$B$14=2,EO9*管理者用人口入力シート!BB$7))</f>
        <v>10.662279799663661</v>
      </c>
      <c r="EQ12" s="9">
        <f>IF(管理者入力シート!$B$14=1,EP9*管理者用人口入力シート!BC$3,IF(管理者入力シート!$B$14=2,EP9*管理者用人口入力シート!BC$7))</f>
        <v>8.2219219164377861</v>
      </c>
      <c r="ER12" s="9">
        <f>IF(管理者入力シート!$B$14=1,EQ9*管理者用人口入力シート!BD$3,IF(管理者入力シート!$B$14=2,EQ9*管理者用人口入力シート!BD$7))</f>
        <v>2.9999999999999996</v>
      </c>
      <c r="ES12" s="9">
        <f>IF(管理者入力シート!$B$14=1,ER9*管理者用人口入力シート!BE$3,IF(管理者入力シート!$B$14=2,ER9*管理者用人口入力シート!BE$7))</f>
        <v>1.851640199545103E-3</v>
      </c>
      <c r="ET12" s="9">
        <f>IF(管理者入力シート!$B$14=1,ES9*管理者用人口入力シート!BF$3,IF(管理者入力シート!$B$14=2,ES9*管理者用人口入力シート!BF$7))</f>
        <v>2.9211869733608862E-6</v>
      </c>
      <c r="EU12" s="9">
        <f t="shared" si="71"/>
        <v>207.30729755204317</v>
      </c>
      <c r="EV12" s="9">
        <f t="shared" si="41"/>
        <v>11.708468191292773</v>
      </c>
      <c r="EW12" s="9">
        <f t="shared" si="42"/>
        <v>4.5978289687073302</v>
      </c>
      <c r="EX12" s="9">
        <f t="shared" si="10"/>
        <v>62.070721108619672</v>
      </c>
      <c r="EY12" s="9">
        <f t="shared" si="43"/>
        <v>38.009266092436178</v>
      </c>
      <c r="EZ12" s="13">
        <f t="shared" si="44"/>
        <v>0.29941406714366731</v>
      </c>
      <c r="FA12" s="13">
        <f t="shared" si="45"/>
        <v>0.18334745829627244</v>
      </c>
      <c r="FB12" s="9">
        <f t="shared" si="72"/>
        <v>30.325021422663401</v>
      </c>
    </row>
    <row r="13" spans="1:158" x14ac:dyDescent="0.15">
      <c r="A13" s="7" t="str">
        <f t="shared" si="11"/>
        <v>2020_2</v>
      </c>
      <c r="B13" s="29">
        <v>2020</v>
      </c>
      <c r="C13" s="4" t="s">
        <v>22</v>
      </c>
      <c r="D13" s="4">
        <v>5</v>
      </c>
      <c r="E13" s="4">
        <v>9</v>
      </c>
      <c r="F13" s="4">
        <v>7</v>
      </c>
      <c r="G13" s="4">
        <v>7</v>
      </c>
      <c r="H13" s="4">
        <v>4</v>
      </c>
      <c r="I13" s="4">
        <v>6</v>
      </c>
      <c r="J13" s="4">
        <v>5</v>
      </c>
      <c r="K13" s="4">
        <v>11</v>
      </c>
      <c r="L13" s="4">
        <v>12</v>
      </c>
      <c r="M13" s="4">
        <v>16</v>
      </c>
      <c r="N13" s="4">
        <v>17</v>
      </c>
      <c r="O13" s="4">
        <v>17</v>
      </c>
      <c r="P13" s="4">
        <v>20</v>
      </c>
      <c r="Q13" s="4">
        <v>31</v>
      </c>
      <c r="R13" s="4">
        <v>23</v>
      </c>
      <c r="S13" s="4">
        <v>10</v>
      </c>
      <c r="T13" s="4">
        <v>17</v>
      </c>
      <c r="U13" s="4">
        <v>10</v>
      </c>
      <c r="V13" s="4">
        <v>4</v>
      </c>
      <c r="W13" s="4">
        <v>2</v>
      </c>
      <c r="X13" s="4">
        <v>0</v>
      </c>
      <c r="Y13" s="10">
        <f t="shared" si="177"/>
        <v>233</v>
      </c>
      <c r="Z13" s="10">
        <f t="shared" ref="Z13:Z14" si="179">E13*3/5+F13*3/5</f>
        <v>9.6000000000000014</v>
      </c>
      <c r="AA13" s="10">
        <f t="shared" ref="AA13:AA14" si="180">F13*2/5+G13*1/5</f>
        <v>4.1999999999999993</v>
      </c>
      <c r="AB13" s="10">
        <f t="shared" si="178"/>
        <v>97</v>
      </c>
      <c r="AC13" s="10">
        <f t="shared" ref="AC13:AC14" si="181">SUM(S13:X13)</f>
        <v>43</v>
      </c>
      <c r="AD13" s="14">
        <f t="shared" ref="AD13:AD14" si="182">AB13/Y13</f>
        <v>0.41630901287553645</v>
      </c>
      <c r="AE13" s="14">
        <f t="shared" ref="AE13:AE14" si="183">AC13/Y13</f>
        <v>0.18454935622317598</v>
      </c>
      <c r="AF13" s="10">
        <f t="shared" ref="AF13:AF14" si="184">SUM(H13:K13)</f>
        <v>26</v>
      </c>
      <c r="AI13" s="60" t="s">
        <v>47</v>
      </c>
      <c r="AJ13" s="1" t="s">
        <v>21</v>
      </c>
      <c r="AK13" s="8">
        <f>VLOOKUP(AK12&amp;"_1",A:D,4,FALSE)/VLOOKUP(AK12&amp;"_2",A:AF,32,FALSE)</f>
        <v>0.23076923076923078</v>
      </c>
      <c r="AL13" s="63"/>
      <c r="BH13" s="7" t="str">
        <f t="shared" si="19"/>
        <v>2040_2</v>
      </c>
      <c r="BI13" s="29">
        <f>BI12</f>
        <v>2040</v>
      </c>
      <c r="BJ13" s="4" t="s">
        <v>22</v>
      </c>
      <c r="BK13" s="10">
        <f>CM13*$AK$14</f>
        <v>2.152332966005261</v>
      </c>
      <c r="BL13" s="10">
        <f>IF(管理者入力シート!$B$14=1,BK10*管理者用人口入力シート!AM$4,IF(管理者入力シート!$B$14=2,BK10*管理者用人口入力シート!AM$8))</f>
        <v>2.5806816373490418</v>
      </c>
      <c r="BM13" s="10">
        <f>IF(管理者入力シート!$B$14=1,BL10*管理者用人口入力シート!AN$4,IF(管理者入力シート!$B$14=2,BL10*管理者用人口入力シート!AN$8))</f>
        <v>3.9288296251823014</v>
      </c>
      <c r="BN13" s="10">
        <f>IF(管理者入力シート!$B$14=1,BM10*管理者用人口入力シート!AO$4,IF(管理者入力シート!$B$14=2,BM10*管理者用人口入力シート!AO$8))</f>
        <v>3.2939777962916255</v>
      </c>
      <c r="BO13" s="10">
        <f>IF(管理者入力シート!$B$14=1,BN10*管理者用人口入力シート!AP$4,IF(管理者入力シート!$B$14=2,BN10*管理者用人口入力シート!AP$8))</f>
        <v>2.4650332429581732</v>
      </c>
      <c r="BP13" s="10">
        <f>IF(管理者入力シート!$B$14=1,BO10*管理者用人口入力シート!AQ$4,IF(管理者入力シート!$B$14=2,BO10*管理者用人口入力シート!AQ$8))</f>
        <v>3.8729833462074166</v>
      </c>
      <c r="BQ13" s="10">
        <f>IF(管理者入力シート!$B$14=1,BP10*管理者用人口入力シート!AR$4,IF(管理者入力シート!$B$14=2,BP10*管理者用人口入力シート!AR$8))</f>
        <v>2.2247460415730487</v>
      </c>
      <c r="BR13" s="10">
        <f>IF(管理者入力シート!$B$14=1,BQ10*管理者用人口入力シート!AS$4,IF(管理者入力シート!$B$14=2,BQ10*管理者用人口入力シート!AS$8))</f>
        <v>2.6293687924887181</v>
      </c>
      <c r="BS13" s="10">
        <f>IF(管理者入力シート!$B$14=1,BR10*管理者用人口入力シート!AT$4,IF(管理者入力シート!$B$14=2,BR10*管理者用人口入力シート!AT$8))</f>
        <v>3.8840332498208974</v>
      </c>
      <c r="BT13" s="10">
        <f>IF(管理者入力シート!$B$14=1,BS10*管理者用人口入力シート!AU$4,IF(管理者入力シート!$B$14=2,BS10*管理者用人口入力シート!AU$8))</f>
        <v>7.8993670632525985</v>
      </c>
      <c r="BU13" s="10">
        <f>IF(管理者入力シート!$B$14=1,BT10*管理者用人口入力シート!AV$4,IF(管理者入力シート!$B$14=2,BT10*管理者用人口入力シート!AV$8))</f>
        <v>8.2462112512353194</v>
      </c>
      <c r="BV13" s="10">
        <f>IF(管理者入力シート!$B$14=1,BU10*管理者用人口入力シート!AW$4,IF(管理者入力シート!$B$14=2,BU10*管理者用人口入力シート!AW$8))</f>
        <v>22.184595923665057</v>
      </c>
      <c r="BW13" s="10">
        <f>IF(管理者入力シート!$B$14=1,BV10*管理者用人口入力シート!AX$4,IF(管理者入力シート!$B$14=2,BV10*管理者用人口入力シート!AX$8))</f>
        <v>20.339400131055925</v>
      </c>
      <c r="BX13" s="10">
        <f>IF(管理者入力シート!$B$14=1,BW10*管理者用人口入力シート!AY$4,IF(管理者入力シート!$B$14=2,BW10*管理者用人口入力シート!AY$8))</f>
        <v>23.933307268390568</v>
      </c>
      <c r="BY13" s="10">
        <f>IF(管理者入力シート!$B$14=1,BX10*管理者用人口入力シート!AZ$4,IF(管理者入力シート!$B$14=2,BX10*管理者用人口入力シート!AZ$8))</f>
        <v>19.393308020202934</v>
      </c>
      <c r="BZ13" s="10">
        <f>IF(管理者入力シート!$B$14=1,BY10*管理者用人口入力シート!BA$4,IF(管理者入力シート!$B$14=2,BY10*管理者用人口入力シート!BA$8))</f>
        <v>14.315514726647068</v>
      </c>
      <c r="CA13" s="10">
        <f>IF(管理者入力シート!$B$14=1,BZ10*管理者用人口入力シート!BB$4,IF(管理者入力シート!$B$14=2,BZ10*管理者用人口入力シート!BB$8))</f>
        <v>12.361546841226637</v>
      </c>
      <c r="CB13" s="10">
        <f>IF(管理者入力シート!$B$14=1,CA10*管理者用人口入力シート!BC$4,IF(管理者入力シート!$B$14=2,CA10*管理者用人口入力シート!BC$8))</f>
        <v>11.203186914408544</v>
      </c>
      <c r="CC13" s="10">
        <f>IF(管理者入力シート!$B$14=1,CB10*管理者用人口入力シート!BD$4,IF(管理者入力シート!$B$14=2,CB10*管理者用人口入力シート!BD$8))</f>
        <v>6.4849677973437236</v>
      </c>
      <c r="CD13" s="10">
        <f>IF(管理者入力シート!$B$14=1,CC10*管理者用人口入力シート!BE$4,IF(管理者入力シート!$B$14=2,CC10*管理者用人口入力シート!BE$8))</f>
        <v>7.6511401048197564E-2</v>
      </c>
      <c r="CE13" s="10">
        <f>IF(管理者入力シート!$B$14=1,CD10*管理者用人口入力シート!BF$4,IF(管理者入力シート!$B$14=2,CD10*管理者用人口入力シート!BF$8))</f>
        <v>1.6415354685899098E-4</v>
      </c>
      <c r="CF13" s="10">
        <f t="shared" si="2"/>
        <v>173.47006818989993</v>
      </c>
      <c r="CG13" s="10">
        <f t="shared" si="20"/>
        <v>3.9057067575188062</v>
      </c>
      <c r="CH13" s="10">
        <f t="shared" si="21"/>
        <v>2.2303274093312457</v>
      </c>
      <c r="CI13" s="10">
        <f t="shared" si="3"/>
        <v>87.76850712281454</v>
      </c>
      <c r="CJ13" s="10">
        <f t="shared" si="22"/>
        <v>44.441891834221039</v>
      </c>
      <c r="CK13" s="14">
        <f t="shared" si="23"/>
        <v>0.50595764467408411</v>
      </c>
      <c r="CL13" s="14">
        <f t="shared" si="24"/>
        <v>0.25619343035923592</v>
      </c>
      <c r="CM13" s="10">
        <f t="shared" si="25"/>
        <v>11.192131423227357</v>
      </c>
      <c r="CO13" s="7" t="str">
        <f t="shared" si="26"/>
        <v>2040_2</v>
      </c>
      <c r="CP13" s="29">
        <f>CP12</f>
        <v>2040</v>
      </c>
      <c r="CQ13" s="4" t="s">
        <v>22</v>
      </c>
      <c r="CR13" s="10">
        <f>DT13*$AK$14+将来予測シート②!$H17</f>
        <v>4.3627367721527497</v>
      </c>
      <c r="CS13" s="10">
        <f>IF(管理者入力シート!$B$14=1,CR10*管理者用人口入力シート!AM$4,IF(管理者入力シート!$B$14=2,CR10*管理者用人口入力シート!AM$8))+将来予測シート②!$H18</f>
        <v>4.8603420082279722</v>
      </c>
      <c r="CT13" s="10">
        <f>IF(管理者入力シート!$B$14=1,CS10*管理者用人口入力シート!AN$4,IF(管理者入力シート!$B$14=2,CS10*管理者用人口入力シート!AN$8))+将来予測シート②!$H19</f>
        <v>7.4696938726895068</v>
      </c>
      <c r="CU13" s="10">
        <f>IF(管理者入力シート!$B$14=1,CT10*管理者用人口入力シート!AO$4,IF(管理者入力シート!$B$14=2,CT10*管理者用人口入力シート!AO$8))+将来予測シート②!$H20</f>
        <v>4.9769838176486054</v>
      </c>
      <c r="CV13" s="10">
        <f>IF(管理者入力シート!$B$14=1,CU10*管理者用人口入力シート!AP$4,IF(管理者入力シート!$B$14=2,CU10*管理者用人口入力シート!AP$8))+将来予測シート②!$H21</f>
        <v>2.8083190099877982</v>
      </c>
      <c r="CW13" s="10">
        <f>IF(管理者入力シート!$B$14=1,CV10*管理者用人口入力シート!AQ$4,IF(管理者入力シート!$B$14=2,CV10*管理者用人口入力シート!AQ$8))+将来予測シート②!$H22</f>
        <v>6.190804209289281</v>
      </c>
      <c r="CX13" s="10">
        <f>IF(管理者入力シート!$B$14=1,CW10*管理者用人口入力シート!AR$4,IF(管理者入力シート!$B$14=2,CW10*管理者用人口入力シート!AR$8))+将来予測シート②!$H23</f>
        <v>4.2247460415730487</v>
      </c>
      <c r="CY13" s="10">
        <f>IF(管理者入力シート!$B$14=1,CX10*管理者用人口入力シート!AS$4,IF(管理者入力シート!$B$14=2,CX10*管理者用人口入力シート!AS$8))+将来予測シート②!$H24</f>
        <v>4.2623619543441702</v>
      </c>
      <c r="CZ13" s="10">
        <f>IF(管理者入力シート!$B$14=1,CY10*管理者用人口入力シート!AT$4,IF(管理者入力シート!$B$14=2,CY10*管理者用人口入力シート!AT$8))+将来予測シート②!$H25</f>
        <v>6.9816509461612011</v>
      </c>
      <c r="DA13" s="10">
        <f>IF(管理者入力シート!$B$14=1,CZ10*管理者用人口入力シート!AU$4,IF(管理者入力シート!$B$14=2,CZ10*管理者用人口入力シート!AU$8))+将来予測シート②!$H26</f>
        <v>9.1546588921742948</v>
      </c>
      <c r="DB13" s="10">
        <f>IF(管理者入力シート!$B$14=1,DA10*管理者用人口入力シート!AV$4,IF(管理者入力シート!$B$14=2,DA10*管理者用人口入力シート!AV$8))+将来予測シート②!$H27</f>
        <v>9.8187020374491123</v>
      </c>
      <c r="DC13" s="10">
        <f>IF(管理者入力シート!$B$14=1,DB10*管理者用人口入力シート!AW$4,IF(管理者入力シート!$B$14=2,DB10*管理者用人口入力シート!AW$8))+将来予測シート②!$H28</f>
        <v>23.754658151230807</v>
      </c>
      <c r="DD13" s="10">
        <f>IF(管理者入力シート!$B$14=1,DC10*管理者用人口入力シート!AX$4,IF(管理者入力シート!$B$14=2,DC10*管理者用人口入力シート!AX$8))+将来予測シート②!$H29</f>
        <v>20.339400131055925</v>
      </c>
      <c r="DE13" s="10">
        <f>IF(管理者入力シート!$B$14=1,DD10*管理者用人口入力シート!AY$4,IF(管理者入力シート!$B$14=2,DD10*管理者用人口入力シート!AY$8))</f>
        <v>23.933307268390568</v>
      </c>
      <c r="DF13" s="10">
        <f>IF(管理者入力シート!$B$14=1,DE10*管理者用人口入力シート!AZ$4,IF(管理者入力シート!$B$14=2,DE10*管理者用人口入力シート!AZ$8))</f>
        <v>19.393308020202934</v>
      </c>
      <c r="DG13" s="10">
        <f>IF(管理者入力シート!$B$14=1,DF10*管理者用人口入力シート!BA$4,IF(管理者入力シート!$B$14=2,DF10*管理者用人口入力シート!BA$8))</f>
        <v>14.315514726647068</v>
      </c>
      <c r="DH13" s="10">
        <f>IF(管理者入力シート!$B$14=1,DG10*管理者用人口入力シート!BB$4,IF(管理者入力シート!$B$14=2,DG10*管理者用人口入力シート!BB$8))</f>
        <v>12.361546841226637</v>
      </c>
      <c r="DI13" s="10">
        <f>IF(管理者入力シート!$B$14=1,DH10*管理者用人口入力シート!BC$4,IF(管理者入力シート!$B$14=2,DH10*管理者用人口入力シート!BC$8))</f>
        <v>11.203186914408544</v>
      </c>
      <c r="DJ13" s="10">
        <f>IF(管理者入力シート!$B$14=1,DI10*管理者用人口入力シート!BD$4,IF(管理者入力シート!$B$14=2,DI10*管理者用人口入力シート!BD$8))</f>
        <v>6.4849677973437236</v>
      </c>
      <c r="DK13" s="10">
        <f>IF(管理者入力シート!$B$14=1,DJ10*管理者用人口入力シート!BE$4,IF(管理者入力シート!$B$14=2,DJ10*管理者用人口入力シート!BE$8))</f>
        <v>7.6511401048197564E-2</v>
      </c>
      <c r="DL13" s="10">
        <f>IF(管理者入力シート!$B$14=1,DK10*管理者用人口入力シート!BF$4,IF(管理者入力シート!$B$14=2,DK10*管理者用人口入力シート!BF$8))</f>
        <v>1.6415354685899098E-4</v>
      </c>
      <c r="DM13" s="10">
        <f t="shared" si="69"/>
        <v>196.97356496679902</v>
      </c>
      <c r="DN13" s="10">
        <f t="shared" si="34"/>
        <v>7.3980215285504869</v>
      </c>
      <c r="DO13" s="10">
        <f t="shared" si="35"/>
        <v>3.9832743126055239</v>
      </c>
      <c r="DP13" s="10">
        <f t="shared" si="6"/>
        <v>87.76850712281454</v>
      </c>
      <c r="DQ13" s="10">
        <f t="shared" si="36"/>
        <v>44.441891834221039</v>
      </c>
      <c r="DR13" s="14">
        <f t="shared" si="37"/>
        <v>0.44558520904877974</v>
      </c>
      <c r="DS13" s="14">
        <f t="shared" si="38"/>
        <v>0.22562363554577472</v>
      </c>
      <c r="DT13" s="10">
        <f t="shared" si="70"/>
        <v>17.486231215194298</v>
      </c>
      <c r="DV13" s="62"/>
      <c r="DX13" s="29">
        <f>DX12</f>
        <v>2040</v>
      </c>
      <c r="DY13" s="4" t="s">
        <v>22</v>
      </c>
      <c r="DZ13" s="10">
        <f>FB13*$AK$14</f>
        <v>5.4021367132295603</v>
      </c>
      <c r="EA13" s="10">
        <f>IF(管理者入力シート!$B$14=1,DZ10*管理者用人口入力シート!AM$4,IF(管理者入力シート!$B$14=2,DZ10*管理者用人口入力シート!AM$8))</f>
        <v>6.0276190381306742</v>
      </c>
      <c r="EB13" s="10">
        <f>IF(管理者入力シート!$B$14=1,EA10*管理者用人口入力シート!AN$4,IF(管理者入力シート!$B$14=2,EA10*管理者用人口入力シート!AN$8))</f>
        <v>7.9195026558518524</v>
      </c>
      <c r="EC13" s="10">
        <f>IF(管理者入力シート!$B$14=1,EB10*管理者用人口入力シート!AO$4,IF(管理者入力シート!$B$14=2,EB10*管理者用人口入力シート!AO$8))</f>
        <v>3.2939777962916255</v>
      </c>
      <c r="ED13" s="10">
        <f>IF(管理者入力シート!$B$14=1,EC10*管理者用人口入力シート!AP$4,IF(管理者入力シート!$B$14=2,EC10*管理者用人口入力シート!AP$8))</f>
        <v>2.4650332429581732</v>
      </c>
      <c r="EE13" s="10">
        <f>IF(管理者入力シート!$B$14=1,ED10*管理者用人口入力シート!AQ$4,IF(管理者入力シート!$B$14=2,ED10*管理者用人口入力シート!AQ$8))+DX1</f>
        <v>6.8729833462074161</v>
      </c>
      <c r="EF13" s="10">
        <f>IF(管理者入力シート!$B$14=1,EE10*管理者用人口入力シート!AR$4,IF(管理者入力シート!$B$14=2,EE10*管理者用人口入力シート!AR$8))+DX1</f>
        <v>8.2247460415730487</v>
      </c>
      <c r="EG13" s="10">
        <f>IF(管理者入力シート!$B$14=1,EF10*管理者用人口入力シート!AS$4,IF(管理者入力シート!$B$14=2,EF10*管理者用人口入力シート!AS$8))+DX1</f>
        <v>10.528348278055073</v>
      </c>
      <c r="EH13" s="10">
        <f>IF(管理者入力シート!$B$14=1,EG10*管理者用人口入力シート!AT$4,IF(管理者入力シート!$B$14=2,EG10*管理者用人口入力シート!AT$8))</f>
        <v>14.030456112441346</v>
      </c>
      <c r="EI13" s="10">
        <f>IF(管理者入力シート!$B$14=1,EH10*管理者用人口入力シート!AU$4,IF(管理者入力シート!$B$14=2,EH10*管理者用人口入力シート!AU$8))</f>
        <v>16.686405243858029</v>
      </c>
      <c r="EJ13" s="10">
        <f>IF(管理者入力シート!$B$14=1,EI10*管理者用人口入力シート!AV$4,IF(管理者入力シート!$B$14=2,EI10*管理者用人口入力シート!AV$8))</f>
        <v>14.305914214252567</v>
      </c>
      <c r="EK13" s="10">
        <f>IF(管理者入力シート!$B$14=1,EJ10*管理者用人口入力シート!AW$4,IF(管理者入力シート!$B$14=2,EJ10*管理者用人口入力シート!AW$8))</f>
        <v>22.184595923665057</v>
      </c>
      <c r="EL13" s="10">
        <f>IF(管理者入力シート!$B$14=1,EK10*管理者用人口入力シート!AX$4,IF(管理者入力シート!$B$14=2,EK10*管理者用人口入力シート!AX$8))</f>
        <v>20.339400131055925</v>
      </c>
      <c r="EM13" s="10">
        <f>IF(管理者入力シート!$B$14=1,EL10*管理者用人口入力シート!AY$4,IF(管理者入力シート!$B$14=2,EL10*管理者用人口入力シート!AY$8))</f>
        <v>23.933307268390568</v>
      </c>
      <c r="EN13" s="10">
        <f>IF(管理者入力シート!$B$14=1,EM10*管理者用人口入力シート!AZ$4,IF(管理者入力シート!$B$14=2,EM10*管理者用人口入力シート!AZ$8))</f>
        <v>19.393308020202934</v>
      </c>
      <c r="EO13" s="10">
        <f>IF(管理者入力シート!$B$14=1,EN10*管理者用人口入力シート!BA$4,IF(管理者入力シート!$B$14=2,EN10*管理者用人口入力シート!BA$8))</f>
        <v>14.315514726647068</v>
      </c>
      <c r="EP13" s="10">
        <f>IF(管理者入力シート!$B$14=1,EO10*管理者用人口入力シート!BB$4,IF(管理者入力シート!$B$14=2,EO10*管理者用人口入力シート!BB$8))</f>
        <v>12.361546841226637</v>
      </c>
      <c r="EQ13" s="10">
        <f>IF(管理者入力シート!$B$14=1,EP10*管理者用人口入力シート!BC$4,IF(管理者入力シート!$B$14=2,EP10*管理者用人口入力シート!BC$8))</f>
        <v>11.203186914408544</v>
      </c>
      <c r="ER13" s="10">
        <f>IF(管理者入力シート!$B$14=1,EQ10*管理者用人口入力シート!BD$4,IF(管理者入力シート!$B$14=2,EQ10*管理者用人口入力シート!BD$8))</f>
        <v>6.4849677973437236</v>
      </c>
      <c r="ES13" s="10">
        <f>IF(管理者入力シート!$B$14=1,ER10*管理者用人口入力シート!BE$4,IF(管理者入力シート!$B$14=2,ER10*管理者用人口入力シート!BE$8))</f>
        <v>7.6511401048197564E-2</v>
      </c>
      <c r="ET13" s="10">
        <f>IF(管理者入力シート!$B$14=1,ES10*管理者用人口入力シート!BF$4,IF(管理者入力シート!$B$14=2,ES10*管理者用人口入力シート!BF$8))</f>
        <v>1.6415354685899098E-4</v>
      </c>
      <c r="EU13" s="10">
        <f t="shared" si="71"/>
        <v>226.04962586038491</v>
      </c>
      <c r="EV13" s="10">
        <f t="shared" si="41"/>
        <v>8.3682730163895158</v>
      </c>
      <c r="EW13" s="10">
        <f t="shared" si="42"/>
        <v>3.8265966215990659</v>
      </c>
      <c r="EX13" s="10">
        <f t="shared" si="10"/>
        <v>87.76850712281454</v>
      </c>
      <c r="EY13" s="10">
        <f t="shared" si="43"/>
        <v>44.441891834221039</v>
      </c>
      <c r="EZ13" s="14">
        <f t="shared" si="44"/>
        <v>0.3882709683272072</v>
      </c>
      <c r="FA13" s="14">
        <f t="shared" si="45"/>
        <v>0.19660236846253262</v>
      </c>
      <c r="FB13" s="10">
        <f t="shared" si="72"/>
        <v>28.091110908793713</v>
      </c>
    </row>
    <row r="14" spans="1:158" x14ac:dyDescent="0.15">
      <c r="A14" s="7" t="str">
        <f t="shared" si="11"/>
        <v>2020_3</v>
      </c>
      <c r="B14" s="30">
        <v>2020</v>
      </c>
      <c r="C14" s="5" t="s">
        <v>23</v>
      </c>
      <c r="D14" s="5">
        <v>11</v>
      </c>
      <c r="E14" s="5">
        <v>18</v>
      </c>
      <c r="F14" s="5">
        <v>14</v>
      </c>
      <c r="G14" s="5">
        <v>8</v>
      </c>
      <c r="H14" s="5">
        <v>10</v>
      </c>
      <c r="I14" s="5">
        <v>9</v>
      </c>
      <c r="J14" s="5">
        <v>13</v>
      </c>
      <c r="K14" s="5">
        <v>25</v>
      </c>
      <c r="L14" s="5">
        <v>23</v>
      </c>
      <c r="M14" s="5">
        <v>20</v>
      </c>
      <c r="N14" s="5">
        <v>35</v>
      </c>
      <c r="O14" s="5">
        <v>31</v>
      </c>
      <c r="P14" s="5">
        <v>32</v>
      </c>
      <c r="Q14" s="5">
        <v>57</v>
      </c>
      <c r="R14" s="5">
        <v>41</v>
      </c>
      <c r="S14" s="5">
        <v>22</v>
      </c>
      <c r="T14" s="5">
        <v>33</v>
      </c>
      <c r="U14" s="5">
        <v>17</v>
      </c>
      <c r="V14" s="5">
        <v>4</v>
      </c>
      <c r="W14" s="5">
        <v>2</v>
      </c>
      <c r="X14" s="5">
        <v>0</v>
      </c>
      <c r="Y14" s="11">
        <f t="shared" si="177"/>
        <v>425</v>
      </c>
      <c r="Z14" s="11">
        <f t="shared" si="179"/>
        <v>19.200000000000003</v>
      </c>
      <c r="AA14" s="11">
        <f t="shared" si="180"/>
        <v>7.1999999999999993</v>
      </c>
      <c r="AB14" s="11">
        <f t="shared" si="178"/>
        <v>176</v>
      </c>
      <c r="AC14" s="11">
        <f t="shared" si="181"/>
        <v>78</v>
      </c>
      <c r="AD14" s="15">
        <f t="shared" si="182"/>
        <v>0.41411764705882353</v>
      </c>
      <c r="AE14" s="15">
        <f t="shared" si="183"/>
        <v>0.18352941176470589</v>
      </c>
      <c r="AF14" s="11">
        <f t="shared" si="184"/>
        <v>57</v>
      </c>
      <c r="AI14" s="43"/>
      <c r="AJ14" s="1" t="s">
        <v>22</v>
      </c>
      <c r="AK14" s="8">
        <f>VLOOKUP(AK12&amp;"_2",A:D,4,FALSE)/VLOOKUP(AK12&amp;"_2",A:AF,32,FALSE)</f>
        <v>0.19230769230769232</v>
      </c>
      <c r="AL14" s="63"/>
      <c r="BH14" s="7" t="str">
        <f t="shared" si="19"/>
        <v>2040_3</v>
      </c>
      <c r="BI14" s="30">
        <f>BI13</f>
        <v>2040</v>
      </c>
      <c r="BJ14" s="5" t="s">
        <v>23</v>
      </c>
      <c r="BK14" s="16">
        <f>BK12+BK13</f>
        <v>4.7351325252115739</v>
      </c>
      <c r="BL14" s="16">
        <f t="shared" ref="BL14" si="185">BL12+BL13</f>
        <v>6.9602436033965063</v>
      </c>
      <c r="BM14" s="16">
        <f t="shared" ref="BM14" si="186">BM12+BM13</f>
        <v>8.5350291789704222</v>
      </c>
      <c r="BN14" s="16">
        <f t="shared" ref="BN14" si="187">BN12+BN13</f>
        <v>7.7133127576214431</v>
      </c>
      <c r="BO14" s="16">
        <f t="shared" ref="BO14" si="188">BO12+BO13</f>
        <v>7.3805120414255025</v>
      </c>
      <c r="BP14" s="16">
        <f t="shared" ref="BP14" si="189">BP12+BP13</f>
        <v>6.8830870706358924</v>
      </c>
      <c r="BQ14" s="16">
        <f t="shared" ref="BQ14" si="190">BQ12+BQ13</f>
        <v>5.1985622577674082</v>
      </c>
      <c r="BR14" s="16">
        <f t="shared" ref="BR14" si="191">BR12+BR13</f>
        <v>3.1485207130067296</v>
      </c>
      <c r="BS14" s="16">
        <f t="shared" ref="BS14" si="192">BS12+BS13</f>
        <v>6.7393688126699622</v>
      </c>
      <c r="BT14" s="16">
        <f t="shared" ref="BT14" si="193">BT12+BT13</f>
        <v>12.41404899459355</v>
      </c>
      <c r="BU14" s="16">
        <f t="shared" ref="BU14" si="194">BU12+BU13</f>
        <v>19.79898869506529</v>
      </c>
      <c r="BV14" s="16">
        <f t="shared" ref="BV14" si="195">BV12+BV13</f>
        <v>42.890875164513716</v>
      </c>
      <c r="BW14" s="16">
        <f t="shared" ref="BW14" si="196">BW12+BW13</f>
        <v>46.664293293232291</v>
      </c>
      <c r="BX14" s="16">
        <f t="shared" ref="BX14" si="197">BX12+BX13</f>
        <v>29.005041492329898</v>
      </c>
      <c r="BY14" s="16">
        <f t="shared" ref="BY14" si="198">BY12+BY13</f>
        <v>38.383028812447094</v>
      </c>
      <c r="BZ14" s="16">
        <f t="shared" ref="BZ14" si="199">BZ12+BZ13</f>
        <v>30.438724541595271</v>
      </c>
      <c r="CA14" s="16">
        <f t="shared" ref="CA14" si="200">CA12+CA13</f>
        <v>23.023826640890299</v>
      </c>
      <c r="CB14" s="16">
        <f t="shared" ref="CB14" si="201">CB12+CB13</f>
        <v>19.42510883084633</v>
      </c>
      <c r="CC14" s="16">
        <f t="shared" ref="CC14" si="202">CC12+CC13</f>
        <v>9.4849677973437228</v>
      </c>
      <c r="CD14" s="16">
        <f t="shared" ref="CD14" si="203">CD12+CD13</f>
        <v>7.8363041247742668E-2</v>
      </c>
      <c r="CE14" s="16">
        <f t="shared" ref="CE14" si="204">CE12+CE13</f>
        <v>1.6707473383235187E-4</v>
      </c>
      <c r="CF14" s="11">
        <f t="shared" si="2"/>
        <v>328.90120333954451</v>
      </c>
      <c r="CG14" s="11">
        <f t="shared" si="20"/>
        <v>9.2971636694201578</v>
      </c>
      <c r="CH14" s="11">
        <f t="shared" si="21"/>
        <v>4.9566742231124579</v>
      </c>
      <c r="CI14" s="11">
        <f t="shared" si="3"/>
        <v>149.83922823143419</v>
      </c>
      <c r="CJ14" s="11">
        <f t="shared" si="22"/>
        <v>82.451157926657203</v>
      </c>
      <c r="CK14" s="15">
        <f t="shared" si="23"/>
        <v>0.45557519008754171</v>
      </c>
      <c r="CL14" s="15">
        <f t="shared" si="24"/>
        <v>0.2506867019320021</v>
      </c>
      <c r="CM14" s="11">
        <f t="shared" si="25"/>
        <v>22.610682082835535</v>
      </c>
      <c r="CO14" s="7" t="str">
        <f t="shared" si="26"/>
        <v>2040_3</v>
      </c>
      <c r="CP14" s="30">
        <f>CP13</f>
        <v>2040</v>
      </c>
      <c r="CQ14" s="5" t="s">
        <v>23</v>
      </c>
      <c r="CR14" s="16">
        <f>CR12+CR13</f>
        <v>9.3980208987360498</v>
      </c>
      <c r="CS14" s="16">
        <f t="shared" ref="CS14" si="205">CS12+CS13</f>
        <v>12.808615911197194</v>
      </c>
      <c r="CT14" s="16">
        <f t="shared" ref="CT14" si="206">CT12+CT13</f>
        <v>15.774204041939605</v>
      </c>
      <c r="CU14" s="16">
        <f t="shared" ref="CU14" si="207">CU12+CU13</f>
        <v>11.296153153351696</v>
      </c>
      <c r="CV14" s="16">
        <f t="shared" ref="CV14" si="208">CV12+CV13</f>
        <v>8.3076720165762694</v>
      </c>
      <c r="CW14" s="16">
        <f t="shared" ref="CW14" si="209">CW12+CW13</f>
        <v>11.558456404684854</v>
      </c>
      <c r="CX14" s="16">
        <f t="shared" ref="CX14" si="210">CX12+CX13</f>
        <v>9.5749163609114269</v>
      </c>
      <c r="CY14" s="16">
        <f t="shared" ref="CY14" si="211">CY12+CY13</f>
        <v>7.0772900475963878</v>
      </c>
      <c r="CZ14" s="16">
        <f t="shared" ref="CZ14" si="212">CZ12+CZ13</f>
        <v>11.391234325322003</v>
      </c>
      <c r="DA14" s="16">
        <f t="shared" ref="DA14" si="213">DA12+DA13</f>
        <v>13.669340823515247</v>
      </c>
      <c r="DB14" s="16">
        <f t="shared" ref="DB14" si="214">DB12+DB13</f>
        <v>21.371479481279085</v>
      </c>
      <c r="DC14" s="16">
        <f t="shared" ref="DC14" si="215">DC12+DC13</f>
        <v>44.460937392079458</v>
      </c>
      <c r="DD14" s="16">
        <f t="shared" ref="DD14" si="216">DD12+DD13</f>
        <v>46.664293293232291</v>
      </c>
      <c r="DE14" s="16">
        <f t="shared" ref="DE14" si="217">DE12+DE13</f>
        <v>29.005041492329898</v>
      </c>
      <c r="DF14" s="16">
        <f t="shared" ref="DF14" si="218">DF12+DF13</f>
        <v>38.383028812447094</v>
      </c>
      <c r="DG14" s="16">
        <f t="shared" ref="DG14" si="219">DG12+DG13</f>
        <v>30.438724541595271</v>
      </c>
      <c r="DH14" s="16">
        <f t="shared" ref="DH14" si="220">DH12+DH13</f>
        <v>23.023826640890299</v>
      </c>
      <c r="DI14" s="16">
        <f t="shared" ref="DI14" si="221">DI12+DI13</f>
        <v>19.42510883084633</v>
      </c>
      <c r="DJ14" s="16">
        <f t="shared" ref="DJ14" si="222">DJ12+DJ13</f>
        <v>9.4849677973437228</v>
      </c>
      <c r="DK14" s="16">
        <f t="shared" ref="DK14" si="223">DK12+DK13</f>
        <v>7.8363041247742668E-2</v>
      </c>
      <c r="DL14" s="16">
        <f t="shared" ref="DL14" si="224">DL12+DL13</f>
        <v>1.6707473383235187E-4</v>
      </c>
      <c r="DM14" s="11">
        <f t="shared" si="69"/>
        <v>373.19184238185579</v>
      </c>
      <c r="DN14" s="11">
        <f t="shared" si="34"/>
        <v>17.149691971882078</v>
      </c>
      <c r="DO14" s="11">
        <f t="shared" si="35"/>
        <v>8.5689122474461819</v>
      </c>
      <c r="DP14" s="11">
        <f t="shared" si="6"/>
        <v>149.83922823143419</v>
      </c>
      <c r="DQ14" s="11">
        <f t="shared" si="36"/>
        <v>82.451157926657203</v>
      </c>
      <c r="DR14" s="15">
        <f t="shared" si="37"/>
        <v>0.40150724430389967</v>
      </c>
      <c r="DS14" s="15">
        <f t="shared" si="38"/>
        <v>0.22093504884892923</v>
      </c>
      <c r="DT14" s="11">
        <f t="shared" si="70"/>
        <v>36.518334829768939</v>
      </c>
      <c r="DX14" s="30">
        <f>DX13</f>
        <v>2040</v>
      </c>
      <c r="DY14" s="5" t="s">
        <v>23</v>
      </c>
      <c r="DZ14" s="16">
        <f>DZ12+DZ13</f>
        <v>11.884700769105033</v>
      </c>
      <c r="EA14" s="16">
        <f t="shared" ref="EA14" si="225">EA12+EA13</f>
        <v>16.256827749181877</v>
      </c>
      <c r="EB14" s="16">
        <f t="shared" ref="EB14" si="226">EB12+EB13</f>
        <v>17.204407596955271</v>
      </c>
      <c r="EC14" s="16">
        <f t="shared" ref="EC14" si="227">EC12+EC13</f>
        <v>7.7133127576214431</v>
      </c>
      <c r="ED14" s="16">
        <f t="shared" ref="ED14" si="228">ED12+ED13</f>
        <v>7.3805120414255025</v>
      </c>
      <c r="EE14" s="16">
        <f t="shared" ref="EE14" si="229">EE12+EE13</f>
        <v>12.883087070635892</v>
      </c>
      <c r="EF14" s="16">
        <f t="shared" ref="EF14" si="230">EF12+EF13</f>
        <v>17.763093412483435</v>
      </c>
      <c r="EG14" s="16">
        <f t="shared" ref="EG14" si="231">EG12+EG13</f>
        <v>20.389439806912282</v>
      </c>
      <c r="EH14" s="16">
        <f t="shared" ref="EH14" si="232">EH12+EH13</f>
        <v>23.210314687951865</v>
      </c>
      <c r="EI14" s="16">
        <f t="shared" ref="EI14" si="233">EI12+EI13</f>
        <v>28.933791394229715</v>
      </c>
      <c r="EJ14" s="16">
        <f t="shared" ref="EJ14" si="234">EJ12+EJ13</f>
        <v>30.343039436745567</v>
      </c>
      <c r="EK14" s="16">
        <f t="shared" ref="EK14" si="235">EK12+EK13</f>
        <v>42.890875164513716</v>
      </c>
      <c r="EL14" s="16">
        <f t="shared" ref="EL14" si="236">EL12+EL13</f>
        <v>46.664293293232291</v>
      </c>
      <c r="EM14" s="16">
        <f t="shared" ref="EM14" si="237">EM12+EM13</f>
        <v>29.005041492329898</v>
      </c>
      <c r="EN14" s="16">
        <f t="shared" ref="EN14" si="238">EN12+EN13</f>
        <v>38.383028812447094</v>
      </c>
      <c r="EO14" s="16">
        <f t="shared" ref="EO14" si="239">EO12+EO13</f>
        <v>30.438724541595271</v>
      </c>
      <c r="EP14" s="16">
        <f t="shared" ref="EP14" si="240">EP12+EP13</f>
        <v>23.023826640890299</v>
      </c>
      <c r="EQ14" s="16">
        <f t="shared" ref="EQ14" si="241">EQ12+EQ13</f>
        <v>19.42510883084633</v>
      </c>
      <c r="ER14" s="16">
        <f t="shared" ref="ER14" si="242">ER12+ER13</f>
        <v>9.4849677973437228</v>
      </c>
      <c r="ES14" s="16">
        <f t="shared" ref="ES14" si="243">ES12+ES13</f>
        <v>7.8363041247742668E-2</v>
      </c>
      <c r="ET14" s="16">
        <f t="shared" ref="ET14" si="244">ET12+ET13</f>
        <v>1.6707473383235187E-4</v>
      </c>
      <c r="EU14" s="11">
        <f t="shared" si="71"/>
        <v>433.3569234124281</v>
      </c>
      <c r="EV14" s="11">
        <f t="shared" si="41"/>
        <v>20.076741207682289</v>
      </c>
      <c r="EW14" s="11">
        <f t="shared" si="42"/>
        <v>8.4244255903063969</v>
      </c>
      <c r="EX14" s="11">
        <f t="shared" si="10"/>
        <v>149.83922823143419</v>
      </c>
      <c r="EY14" s="11">
        <f t="shared" si="43"/>
        <v>82.451157926657203</v>
      </c>
      <c r="EZ14" s="15">
        <f t="shared" si="44"/>
        <v>0.34576401145628266</v>
      </c>
      <c r="FA14" s="15">
        <f t="shared" si="45"/>
        <v>0.19026154532712516</v>
      </c>
      <c r="FB14" s="11">
        <f t="shared" si="72"/>
        <v>58.416132331457106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2.2173343689094489</v>
      </c>
      <c r="BL15" s="9">
        <f>IF(管理者入力シート!$B$14=1,BK12*管理者用人口入力シート!AM$3,IF(管理者入力シート!$B$14=2,BK12*管理者用人口入力シート!AM$7))</f>
        <v>3.8741993388094702</v>
      </c>
      <c r="BM15" s="9">
        <f>IF(管理者入力シート!$B$14=1,BL12*管理者用人口入力シート!AN$3,IF(管理者入力シート!$B$14=2,BL12*管理者用人口入力シート!AN$7))</f>
        <v>4.0967050952739257</v>
      </c>
      <c r="BN15" s="9">
        <f>IF(管理者入力シート!$B$14=1,BM12*管理者用人口入力シート!AO$3,IF(管理者入力シート!$B$14=2,BM12*管理者用人口入力シート!AO$7))</f>
        <v>3.6415204868054327</v>
      </c>
      <c r="BO15" s="9">
        <f>IF(管理者入力シート!$B$14=1,BN12*管理者用人口入力シート!AP$3,IF(管理者入力シート!$B$14=2,BN12*管理者用人口入力シート!AP$7))</f>
        <v>3.2638951771630742</v>
      </c>
      <c r="BP15" s="9">
        <f>IF(管理者入力シート!$B$14=1,BO12*管理者用人口入力シート!AQ$3,IF(管理者入力シート!$B$14=2,BO12*管理者用人口入力シート!AQ$7))</f>
        <v>3.0101037244284758</v>
      </c>
      <c r="BQ15" s="9">
        <f>IF(管理者入力シート!$B$14=1,BP12*管理者用人口入力シート!AR$3,IF(管理者入力シート!$B$14=2,BP12*管理者用人口入力シート!AR$7))</f>
        <v>3.5765361682173498</v>
      </c>
      <c r="BR15" s="9">
        <f>IF(管理者入力シート!$B$14=1,BQ12*管理者用人口入力シート!AS$3,IF(管理者入力シート!$B$14=2,BQ12*管理者用人口入力シート!AS$7))</f>
        <v>2.8729794108533335</v>
      </c>
      <c r="BS15" s="9">
        <f>IF(管理者入力シート!$B$14=1,BR12*管理者用人口入力シート!AT$3,IF(管理者入力シート!$B$14=2,BR12*管理者用人口入力シート!AT$7))</f>
        <v>0.35146751167740359</v>
      </c>
      <c r="BT15" s="9">
        <f>IF(管理者入力シート!$B$14=1,BS12*管理者用人口入力シート!AU$3,IF(管理者入力シート!$B$14=2,BS12*管理者用人口入力シート!AU$7))</f>
        <v>5.529333541374104</v>
      </c>
      <c r="BU15" s="9">
        <f>IF(管理者入力シート!$B$14=1,BT12*管理者用人口入力シート!AV$3,IF(管理者入力シート!$B$14=2,BT12*管理者用人口入力シート!AV$7))</f>
        <v>5.1475293902540669</v>
      </c>
      <c r="BV15" s="9">
        <f>IF(管理者入力シート!$B$14=1,BU12*管理者用人口入力シート!AW$3,IF(管理者入力シート!$B$14=2,BU12*管理者用人口入力シート!AW$7))</f>
        <v>11.43095213298816</v>
      </c>
      <c r="BW15" s="9">
        <f>IF(管理者入力シート!$B$14=1,BV12*管理者用人口入力シート!AX$3,IF(管理者入力シート!$B$14=2,BV12*管理者用人口入力シート!AX$7))</f>
        <v>22.68259244442751</v>
      </c>
      <c r="BX15" s="9">
        <f>IF(管理者入力シート!$B$14=1,BW12*管理者用人口入力シート!AY$3,IF(管理者入力シート!$B$14=2,BW12*管理者用人口入力シート!AY$7))</f>
        <v>27.008770505347442</v>
      </c>
      <c r="BY15" s="9">
        <f>IF(管理者入力シート!$B$14=1,BX12*管理者用人口入力シート!AZ$3,IF(管理者入力シート!$B$14=2,BX12*管理者用人口入力シート!AZ$7))</f>
        <v>4.8114695504024274</v>
      </c>
      <c r="BZ15" s="9">
        <f>IF(管理者入力シート!$B$14=1,BY12*管理者用人口入力シート!BA$3,IF(管理者入力シート!$B$14=2,BY12*管理者用人口入力シート!BA$7))</f>
        <v>20.511242731616452</v>
      </c>
      <c r="CA15" s="9">
        <f>IF(管理者入力シート!$B$14=1,BZ12*管理者用人口入力シート!BB$3,IF(管理者入力シート!$B$14=2,BZ12*管理者用人口入力シート!BB$7))</f>
        <v>13.626599374984053</v>
      </c>
      <c r="CB15" s="9">
        <f>IF(管理者入力シート!$B$14=1,CA12*管理者用人口入力シート!BC$3,IF(管理者入力シート!$B$14=2,CA12*管理者用人口入力シート!BC$7))</f>
        <v>3.8933141071383002</v>
      </c>
      <c r="CC15" s="9">
        <f>IF(管理者入力シート!$B$14=1,CB12*管理者用人口入力シート!BD$3,IF(管理者入力シート!$B$14=2,CB12*管理者用人口入力シート!BD$7))</f>
        <v>4.1109609582188931</v>
      </c>
      <c r="CD15" s="9">
        <f>IF(管理者入力シート!$B$14=1,CC12*管理者用人口入力シート!BE$3,IF(管理者入力シート!$B$14=2,CC12*管理者用人口入力シート!BE$7))</f>
        <v>2.9999999999999996E-3</v>
      </c>
      <c r="CE15" s="9">
        <f>IF(管理者入力シート!$B$14=1,CD12*管理者用人口入力シート!BF$3,IF(管理者入力シート!$B$14=2,CD12*管理者用人口入力シート!BF$7))</f>
        <v>1.851640199545103E-6</v>
      </c>
      <c r="CF15" s="9">
        <f t="shared" ref="CF15:CF20" si="252">SUM(BK15:CE15)</f>
        <v>145.6605078705295</v>
      </c>
      <c r="CG15" s="9">
        <f t="shared" ref="CG15:CG20" si="253">BL15*3/5+BM15*3/5</f>
        <v>4.7825426604500372</v>
      </c>
      <c r="CH15" s="9">
        <f t="shared" ref="CH15:CH20" si="254">BM15*2/5+BN15*1/5</f>
        <v>2.3669861354706567</v>
      </c>
      <c r="CI15" s="9">
        <f t="shared" ref="CI15:CI20" si="255">SUM(BX15:CE15)</f>
        <v>73.965359079347778</v>
      </c>
      <c r="CJ15" s="9">
        <f t="shared" ref="CJ15:CJ20" si="256">SUM(BZ15:CE15)</f>
        <v>42.145119023597893</v>
      </c>
      <c r="CK15" s="13">
        <f t="shared" ref="CK15:CK20" si="257">CI15/CF15</f>
        <v>0.50779281330731019</v>
      </c>
      <c r="CL15" s="13">
        <f t="shared" ref="CL15:CL20" si="258">CJ15/CF15</f>
        <v>0.28933799311655994</v>
      </c>
      <c r="CM15" s="9">
        <f t="shared" ref="CM15:CM20" si="259">SUM(BO15:BR15)</f>
        <v>12.723514480662235</v>
      </c>
      <c r="CO15" s="7" t="str">
        <f t="shared" si="26"/>
        <v>2045_1</v>
      </c>
      <c r="CP15" s="28">
        <f>管理者入力シート!B12</f>
        <v>2045</v>
      </c>
      <c r="CQ15" s="3" t="s">
        <v>21</v>
      </c>
      <c r="CR15" s="9">
        <f>DT16*$AK$13+将来予測シート②!$G17</f>
        <v>4.8569329774418586</v>
      </c>
      <c r="CS15" s="9">
        <f>IF(管理者入力シート!$B$14=1,CR12*管理者用人口入力シート!AM$3,IF(管理者入力シート!$B$14=2,CR12*管理者用人口入力シート!AM$7))+将来予測シート②!$G18</f>
        <v>7.5529261898749507</v>
      </c>
      <c r="CT15" s="9">
        <f>IF(管理者入力シート!$B$14=1,CS12*管理者用人口入力シート!AN$3,IF(管理者入力シート!$B$14=2,CS12*管理者用人口入力シート!AN$7))+将来予測シート②!$G19</f>
        <v>8.4349294402868331</v>
      </c>
      <c r="CU15" s="9">
        <f>IF(管理者入力シート!$B$14=1,CT12*管理者用人口入力シート!AO$3,IF(管理者入力シート!$B$14=2,CT12*管理者用人口入力シート!AO$7))+将来予測シート②!$G20</f>
        <v>6.5652917467151788</v>
      </c>
      <c r="CV15" s="9">
        <f>IF(管理者入力シート!$B$14=1,CU12*管理者用人口入力シート!AP$3,IF(管理者入力シート!$B$14=2,CU12*管理者用人口入力シート!AP$7))+将来予測シート②!$G21</f>
        <v>4.6670158516954379</v>
      </c>
      <c r="CW15" s="9">
        <f>IF(管理者入力シート!$B$14=1,CV12*管理者用人口入力シート!AQ$3,IF(管理者入力シート!$B$14=2,CV12*管理者用人口入力シート!AQ$7))+将来予測シート②!$G22</f>
        <v>5.3676521953955731</v>
      </c>
      <c r="CX15" s="9">
        <f>IF(管理者入力シート!$B$14=1,CW12*管理者用人口入力シート!AR$3,IF(管理者入力シート!$B$14=2,CW12*管理者用人口入力シート!AR$7))+将来予測シート②!$G23</f>
        <v>6.3777211593891341</v>
      </c>
      <c r="CY15" s="9">
        <f>IF(管理者入力シート!$B$14=1,CX12*管理者用人口入力シート!AS$3,IF(管理者入力シート!$B$14=2,CX12*管理者用人口入力シート!AS$7))+将来予測シート②!$G24</f>
        <v>5.1687555835875401</v>
      </c>
      <c r="CZ15" s="9">
        <f>IF(管理者入力シート!$B$14=1,CY12*管理者用人口入力シート!AT$3,IF(管理者入力シート!$B$14=2,CY12*管理者用人口入力シート!AT$7))+将来予測シート②!$G25</f>
        <v>1.9057153279891408</v>
      </c>
      <c r="DA15" s="9">
        <f>IF(管理者入力シート!$B$14=1,CZ12*管理者用人口入力シート!AU$3,IF(管理者入力シート!$B$14=2,CZ12*管理者用人口入力シート!AU$7))+将来予測シート②!$G26</f>
        <v>8.539121495601405</v>
      </c>
      <c r="DB15" s="9">
        <f>IF(管理者入力シート!$B$14=1,DA12*管理者用人口入力シート!AV$3,IF(管理者入力シート!$B$14=2,DA12*管理者用人口入力シート!AV$7))+将来予測シート②!$G27</f>
        <v>5.1475293902540669</v>
      </c>
      <c r="DC15" s="9">
        <f>IF(管理者入力シート!$B$14=1,DB12*管理者用人口入力シート!AW$3,IF(管理者入力シート!$B$14=2,DB12*管理者用人口入力シート!AW$7))+将来予測シート②!$G28</f>
        <v>11.43095213298816</v>
      </c>
      <c r="DD15" s="9">
        <f>IF(管理者入力シート!$B$14=1,DC12*管理者用人口入力シート!AX$3,IF(管理者入力シート!$B$14=2,DC12*管理者用人口入力シート!AX$7))+将来予測シート②!$G29</f>
        <v>22.68259244442751</v>
      </c>
      <c r="DE15" s="9">
        <f>IF(管理者入力シート!$B$14=1,DD12*管理者用人口入力シート!AY$3,IF(管理者入力シート!$B$14=2,DD12*管理者用人口入力シート!AY$7))</f>
        <v>27.008770505347442</v>
      </c>
      <c r="DF15" s="9">
        <f>IF(管理者入力シート!$B$14=1,DE12*管理者用人口入力シート!AZ$3,IF(管理者入力シート!$B$14=2,DE12*管理者用人口入力シート!AZ$7))</f>
        <v>4.8114695504024274</v>
      </c>
      <c r="DG15" s="9">
        <f>IF(管理者入力シート!$B$14=1,DF12*管理者用人口入力シート!BA$3,IF(管理者入力シート!$B$14=2,DF12*管理者用人口入力シート!BA$7))</f>
        <v>20.511242731616452</v>
      </c>
      <c r="DH15" s="9">
        <f>IF(管理者入力シート!$B$14=1,DG12*管理者用人口入力シート!BB$3,IF(管理者入力シート!$B$14=2,DG12*管理者用人口入力シート!BB$7))</f>
        <v>13.626599374984053</v>
      </c>
      <c r="DI15" s="9">
        <f>IF(管理者入力シート!$B$14=1,DH12*管理者用人口入力シート!BC$3,IF(管理者入力シート!$B$14=2,DH12*管理者用人口入力シート!BC$7))</f>
        <v>3.8933141071383002</v>
      </c>
      <c r="DJ15" s="9">
        <f>IF(管理者入力シート!$B$14=1,DI12*管理者用人口入力シート!BD$3,IF(管理者入力シート!$B$14=2,DI12*管理者用人口入力シート!BD$7))</f>
        <v>4.1109609582188931</v>
      </c>
      <c r="DK15" s="9">
        <f>IF(管理者入力シート!$B$14=1,DJ12*管理者用人口入力シート!BE$3,IF(管理者入力シート!$B$14=2,DJ12*管理者用人口入力シート!BE$7))</f>
        <v>2.9999999999999996E-3</v>
      </c>
      <c r="DL15" s="9">
        <f>IF(管理者入力シート!$B$14=1,DK12*管理者用人口入力シート!BF$3,IF(管理者入力シート!$B$14=2,DK12*管理者用人口入力シート!BF$7))</f>
        <v>1.851640199545103E-6</v>
      </c>
      <c r="DM15" s="9">
        <f t="shared" ref="DM15:DM20" si="260">SUM(CR15:DL15)</f>
        <v>172.66249501499459</v>
      </c>
      <c r="DN15" s="9">
        <f t="shared" ref="DN15:DN20" si="261">CS15*3/5+CT15*3/5</f>
        <v>9.5927133780970699</v>
      </c>
      <c r="DO15" s="9">
        <f t="shared" ref="DO15:DO20" si="262">CT15*2/5+CU15*1/5</f>
        <v>4.6870301254577686</v>
      </c>
      <c r="DP15" s="9">
        <f t="shared" ref="DP15:DP20" si="263">SUM(DE15:DL15)</f>
        <v>73.965359079347778</v>
      </c>
      <c r="DQ15" s="9">
        <f t="shared" ref="DQ15:DQ20" si="264">SUM(DG15:DL15)</f>
        <v>42.145119023597893</v>
      </c>
      <c r="DR15" s="13">
        <f t="shared" ref="DR15:DR20" si="265">DP15/DM15</f>
        <v>0.42838115522959619</v>
      </c>
      <c r="DS15" s="13">
        <f t="shared" ref="DS15:DS20" si="266">DQ15/DM15</f>
        <v>0.24408959814890818</v>
      </c>
      <c r="DT15" s="9">
        <f t="shared" ref="DT15:DT20" si="267">SUM(CV15:CY15)</f>
        <v>21.581144790067682</v>
      </c>
      <c r="DV15" s="62" t="s">
        <v>404</v>
      </c>
      <c r="DW15" s="211">
        <f>AK13+AK14</f>
        <v>0.42307692307692313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1.8477786407578742</v>
      </c>
      <c r="BL16" s="10">
        <f>IF(管理者入力シート!$B$14=1,BK13*管理者用人口入力シート!AM$4,IF(管理者入力シート!$B$14=2,BK13*管理者用人口入力シート!AM$8))</f>
        <v>2.2828938534505121</v>
      </c>
      <c r="BM16" s="10">
        <f>IF(管理者入力シート!$B$14=1,BL13*管理者用人口入力シート!AN$4,IF(管理者入力シート!$B$14=2,BL13*管理者用人口入力シート!AN$8))</f>
        <v>3.4942594553270716</v>
      </c>
      <c r="BN16" s="10">
        <f>IF(管理者入力シート!$B$14=1,BM13*管理者用人口入力シート!AO$4,IF(管理者入力シート!$B$14=2,BM13*管理者用人口入力シート!AO$8))</f>
        <v>2.7142291166516914</v>
      </c>
      <c r="BO16" s="10">
        <f>IF(管理者入力シート!$B$14=1,BN13*管理者用人口入力シート!AP$4,IF(管理者入力シート!$B$14=2,BN13*管理者用人口入力シート!AP$8))</f>
        <v>1.6367907264184509</v>
      </c>
      <c r="BP16" s="10">
        <f>IF(管理者入力シート!$B$14=1,BO13*管理者用人口入力シート!AQ$4,IF(管理者入力シート!$B$14=2,BO13*管理者用人口入力シート!AQ$8))</f>
        <v>2.2821773229381916</v>
      </c>
      <c r="BQ16" s="10">
        <f>IF(管理者入力シート!$B$14=1,BP13*管理者用人口入力シート!AR$4,IF(管理者入力シート!$B$14=2,BP13*管理者用人口入力シート!AR$8))</f>
        <v>3.8729833462074166</v>
      </c>
      <c r="BR16" s="10">
        <f>IF(管理者入力シート!$B$14=1,BQ13*管理者用人口入力シート!AS$4,IF(管理者入力シート!$B$14=2,BQ13*管理者用人口入力シート!AS$8))</f>
        <v>1.8164975363768869</v>
      </c>
      <c r="BS16" s="10">
        <f>IF(管理者入力シート!$B$14=1,BR13*管理者用人口入力シート!AT$4,IF(管理者入力シート!$B$14=2,BR13*管理者用人口入力シート!AT$8))</f>
        <v>3.3774853674601473</v>
      </c>
      <c r="BT16" s="10">
        <f>IF(管理者入力シート!$B$14=1,BS13*管理者用人口入力シート!AU$4,IF(管理者入力シート!$B$14=2,BS13*管理者用人口入力シート!AU$8))</f>
        <v>4.8755952017603512</v>
      </c>
      <c r="BU16" s="10">
        <f>IF(管理者入力シート!$B$14=1,BT13*管理者用人口入力シート!AV$4,IF(管理者入力シート!$B$14=2,BT13*管理者用人口入力シート!AV$8))</f>
        <v>9.8954535014823826</v>
      </c>
      <c r="BV16" s="10">
        <f>IF(管理者入力シート!$B$14=1,BU13*管理者用人口入力シート!AW$4,IF(管理者入力シート!$B$14=2,BU13*管理者用人口入力シート!AW$8))</f>
        <v>8.2334757822434934</v>
      </c>
      <c r="BW16" s="10">
        <f>IF(管理者入力シート!$B$14=1,BV13*管理者用人口入力シート!AX$4,IF(管理者入力シート!$B$14=2,BV13*管理者用人口入力シート!AX$8))</f>
        <v>23.94922980944499</v>
      </c>
      <c r="BX16" s="10">
        <f>IF(管理者入力シート!$B$14=1,BW13*管理者用人口入力シート!AY$4,IF(管理者入力シート!$B$14=2,BW13*管理者用人口入力シート!AY$8))</f>
        <v>22.532463789812184</v>
      </c>
      <c r="BY16" s="10">
        <f>IF(管理者入力シート!$B$14=1,BX13*管理者用人口入力シート!AZ$4,IF(管理者入力シート!$B$14=2,BX13*管理者用人口入力シート!AZ$8))</f>
        <v>22.864745100500336</v>
      </c>
      <c r="BZ16" s="10">
        <f>IF(管理者入力シート!$B$14=1,BY13*管理者用人口入力シート!BA$4,IF(管理者入力シート!$B$14=2,BY13*管理者用人口入力シート!BA$8))</f>
        <v>14.293405810400721</v>
      </c>
      <c r="CA16" s="10">
        <f>IF(管理者入力シート!$B$14=1,BZ13*管理者用人口入力シート!BB$4,IF(管理者入力シート!$B$14=2,BZ13*管理者用人口入力シート!BB$8))</f>
        <v>11.343100322923037</v>
      </c>
      <c r="CB16" s="10">
        <f>IF(管理者入力シート!$B$14=1,CA13*管理者用人口入力シート!BC$4,IF(管理者入力シート!$B$14=2,CA13*管理者用人口入力シート!BC$8))</f>
        <v>8.0071953736337278</v>
      </c>
      <c r="CC16" s="10">
        <f>IF(管理者入力シート!$B$14=1,CB13*管理者用人口入力シート!BD$4,IF(管理者入力シート!$B$14=2,CB13*管理者用人口入力シート!BD$8))</f>
        <v>8.3503625017512082</v>
      </c>
      <c r="CD16" s="10">
        <f>IF(管理者入力シート!$B$14=1,CC13*管理者用人口入力シート!BE$4,IF(管理者入力シート!$B$14=2,CC13*管理者用人口入力シート!BE$8))</f>
        <v>0.12969935594687448</v>
      </c>
      <c r="CE16" s="10">
        <f>IF(管理者入力シート!$B$14=1,CD13*管理者用人口入力シート!BF$4,IF(管理者入力シート!$B$14=2,CD13*管理者用人口入力シート!BF$8))</f>
        <v>7.6511401048197567E-5</v>
      </c>
      <c r="CF16" s="10">
        <f t="shared" si="252"/>
        <v>157.79989842688863</v>
      </c>
      <c r="CG16" s="10">
        <f t="shared" si="253"/>
        <v>3.4662919852665506</v>
      </c>
      <c r="CH16" s="10">
        <f t="shared" si="254"/>
        <v>1.9405496054611668</v>
      </c>
      <c r="CI16" s="10">
        <f t="shared" si="255"/>
        <v>87.521048766369134</v>
      </c>
      <c r="CJ16" s="10">
        <f t="shared" si="256"/>
        <v>42.123839876056614</v>
      </c>
      <c r="CK16" s="14">
        <f t="shared" si="257"/>
        <v>0.55463311218111533</v>
      </c>
      <c r="CL16" s="14">
        <f t="shared" si="258"/>
        <v>0.26694465773419557</v>
      </c>
      <c r="CM16" s="10">
        <f t="shared" si="259"/>
        <v>9.608448931940945</v>
      </c>
      <c r="CO16" s="7" t="str">
        <f t="shared" si="26"/>
        <v>2045_2</v>
      </c>
      <c r="CP16" s="29">
        <f>CP15</f>
        <v>2045</v>
      </c>
      <c r="CQ16" s="4" t="s">
        <v>22</v>
      </c>
      <c r="CR16" s="10">
        <f>DT16*$AK$14+将来予測シート②!$H17</f>
        <v>4.214110814534882</v>
      </c>
      <c r="CS16" s="10">
        <f>IF(管理者入力シート!$B$14=1,CR13*管理者用人口入力シート!AM$4,IF(管理者入力シート!$B$14=2,CR13*管理者用人口入力シート!AM$8))+将来予測シート②!$H18</f>
        <v>4.627381134181678</v>
      </c>
      <c r="CT16" s="10">
        <f>IF(管理者入力シート!$B$14=1,CS13*管理者用人口入力シート!AN$4,IF(管理者入力シート!$B$14=2,CS13*管理者用人口入力シート!AN$8))+将来予測シート②!$H19</f>
        <v>7.5809341890849202</v>
      </c>
      <c r="CU16" s="10">
        <f>IF(管理者入力シート!$B$14=1,CT13*管理者用人口入力シート!AO$4,IF(管理者入力シート!$B$14=2,CT13*管理者用人口入力シート!AO$8))+将来予測シート②!$H20</f>
        <v>5.1604326315849951</v>
      </c>
      <c r="CV16" s="10">
        <f>IF(管理者入力シート!$B$14=1,CU13*管理者用人口入力シート!AP$4,IF(管理者入力シート!$B$14=2,CU13*管理者用人口入力シート!AP$8))+将来予測シート②!$H21</f>
        <v>2.473083142039711</v>
      </c>
      <c r="CW16" s="10">
        <f>IF(管理者入力シート!$B$14=1,CV13*管理者用人口入力シート!AQ$4,IF(管理者入力シート!$B$14=2,CV13*管理者用人口入力シート!AQ$8))+将来予測シート②!$H22</f>
        <v>4.5999981860200556</v>
      </c>
      <c r="CX16" s="10">
        <f>IF(管理者入力シート!$B$14=1,CW13*管理者用人口入力シート!AR$4,IF(管理者入力シート!$B$14=2,CW13*管理者用人口入力シート!AR$8))+将来予測シート②!$H23</f>
        <v>6.190804209289281</v>
      </c>
      <c r="CY16" s="10">
        <f>IF(管理者入力シート!$B$14=1,CX13*管理者用人口入力シート!AS$4,IF(管理者入力シート!$B$14=2,CX13*管理者用人口入力シート!AS$8))+将来予測シート②!$H24</f>
        <v>3.449490698232339</v>
      </c>
      <c r="CZ16" s="10">
        <f>IF(管理者入力シート!$B$14=1,CY13*管理者用人口入力シート!AT$4,IF(管理者入力シート!$B$14=2,CY13*管理者用人口入力シート!AT$8))+将来予測シート②!$H25</f>
        <v>6.4751030638004501</v>
      </c>
      <c r="DA16" s="10">
        <f>IF(管理者入力シート!$B$14=1,CZ13*管理者用人口入力シート!AU$4,IF(管理者入力シート!$B$14=2,CZ13*管理者用人口入力シート!AU$8))+将来予測シート②!$H26</f>
        <v>8.7640093850995804</v>
      </c>
      <c r="DB16" s="10">
        <f>IF(管理者入力シート!$B$14=1,DA13*管理者用人口入力シート!AV$4,IF(管理者入力シート!$B$14=2,DA13*管理者用人口入力シート!AV$8))+将来予測シート②!$H27</f>
        <v>11.467944287696177</v>
      </c>
      <c r="DC16" s="10">
        <f>IF(管理者入力シート!$B$14=1,DB13*管理者用人口入力シート!AW$4,IF(管理者入力シート!$B$14=2,DB13*管理者用人口入力シート!AW$8))+将来予測シート②!$H28</f>
        <v>9.8035380098092446</v>
      </c>
      <c r="DD16" s="10">
        <f>IF(管理者入力シート!$B$14=1,DC13*管理者用人口入力シート!AX$4,IF(管理者入力シート!$B$14=2,DC13*管理者用人口入力シート!AX$8))+将来予測シート②!$H29</f>
        <v>25.644179820366315</v>
      </c>
      <c r="DE16" s="10">
        <f>IF(管理者入力シート!$B$14=1,DD13*管理者用人口入力シート!AY$4,IF(管理者入力シート!$B$14=2,DD13*管理者用人口入力シート!AY$8))</f>
        <v>22.532463789812184</v>
      </c>
      <c r="DF16" s="10">
        <f>IF(管理者入力シート!$B$14=1,DE13*管理者用人口入力シート!AZ$4,IF(管理者入力シート!$B$14=2,DE13*管理者用人口入力シート!AZ$8))</f>
        <v>22.864745100500336</v>
      </c>
      <c r="DG16" s="10">
        <f>IF(管理者入力シート!$B$14=1,DF13*管理者用人口入力シート!BA$4,IF(管理者入力シート!$B$14=2,DF13*管理者用人口入力シート!BA$8))</f>
        <v>14.293405810400721</v>
      </c>
      <c r="DH16" s="10">
        <f>IF(管理者入力シート!$B$14=1,DG13*管理者用人口入力シート!BB$4,IF(管理者入力シート!$B$14=2,DG13*管理者用人口入力シート!BB$8))</f>
        <v>11.343100322923037</v>
      </c>
      <c r="DI16" s="10">
        <f>IF(管理者入力シート!$B$14=1,DH13*管理者用人口入力シート!BC$4,IF(管理者入力シート!$B$14=2,DH13*管理者用人口入力シート!BC$8))</f>
        <v>8.0071953736337278</v>
      </c>
      <c r="DJ16" s="10">
        <f>IF(管理者入力シート!$B$14=1,DI13*管理者用人口入力シート!BD$4,IF(管理者入力シート!$B$14=2,DI13*管理者用人口入力シート!BD$8))</f>
        <v>8.3503625017512082</v>
      </c>
      <c r="DK16" s="10">
        <f>IF(管理者入力シート!$B$14=1,DJ13*管理者用人口入力シート!BE$4,IF(管理者入力シート!$B$14=2,DJ13*管理者用人口入力シート!BE$8))</f>
        <v>0.12969935594687448</v>
      </c>
      <c r="DL16" s="10">
        <f>IF(管理者入力シート!$B$14=1,DK13*管理者用人口入力シート!BF$4,IF(管理者入力シート!$B$14=2,DK13*管理者用人口入力シート!BF$8))</f>
        <v>7.6511401048197567E-5</v>
      </c>
      <c r="DM16" s="10">
        <f t="shared" si="260"/>
        <v>187.97205833810881</v>
      </c>
      <c r="DN16" s="10">
        <f t="shared" si="261"/>
        <v>7.3249891939599587</v>
      </c>
      <c r="DO16" s="10">
        <f t="shared" si="262"/>
        <v>4.0644602019509666</v>
      </c>
      <c r="DP16" s="10">
        <f t="shared" si="263"/>
        <v>87.521048766369134</v>
      </c>
      <c r="DQ16" s="10">
        <f t="shared" si="264"/>
        <v>42.123839876056614</v>
      </c>
      <c r="DR16" s="14">
        <f t="shared" si="265"/>
        <v>0.46560669463406845</v>
      </c>
      <c r="DS16" s="14">
        <f t="shared" si="266"/>
        <v>0.2240962845673993</v>
      </c>
      <c r="DT16" s="10">
        <f t="shared" si="267"/>
        <v>16.713376235581386</v>
      </c>
      <c r="DV16" s="212" t="s">
        <v>406</v>
      </c>
      <c r="DW16" s="7">
        <f>IF(DW10&lt;0,ABS(DW10)/DW15,0)</f>
        <v>7.1772776089580006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4.0651130096673231</v>
      </c>
      <c r="BL17" s="16">
        <f t="shared" ref="BL17:CE17" si="268">BL15+BL16</f>
        <v>6.1570931922599819</v>
      </c>
      <c r="BM17" s="16">
        <f t="shared" si="268"/>
        <v>7.5909645506009973</v>
      </c>
      <c r="BN17" s="16">
        <f t="shared" si="268"/>
        <v>6.3557496034571237</v>
      </c>
      <c r="BO17" s="16">
        <f t="shared" si="268"/>
        <v>4.9006859035815253</v>
      </c>
      <c r="BP17" s="16">
        <f t="shared" si="268"/>
        <v>5.2922810473666679</v>
      </c>
      <c r="BQ17" s="16">
        <f t="shared" si="268"/>
        <v>7.4495195144247663</v>
      </c>
      <c r="BR17" s="16">
        <f t="shared" si="268"/>
        <v>4.6894769472302205</v>
      </c>
      <c r="BS17" s="16">
        <f t="shared" si="268"/>
        <v>3.7289528791375508</v>
      </c>
      <c r="BT17" s="16">
        <f t="shared" si="268"/>
        <v>10.404928743134455</v>
      </c>
      <c r="BU17" s="16">
        <f t="shared" si="268"/>
        <v>15.04298289173645</v>
      </c>
      <c r="BV17" s="16">
        <f t="shared" si="268"/>
        <v>19.664427915231656</v>
      </c>
      <c r="BW17" s="16">
        <f t="shared" si="268"/>
        <v>46.6318222538725</v>
      </c>
      <c r="BX17" s="16">
        <f t="shared" si="268"/>
        <v>49.541234295159626</v>
      </c>
      <c r="BY17" s="16">
        <f t="shared" si="268"/>
        <v>27.676214650902764</v>
      </c>
      <c r="BZ17" s="16">
        <f t="shared" si="268"/>
        <v>34.804648542017176</v>
      </c>
      <c r="CA17" s="16">
        <f t="shared" si="268"/>
        <v>24.969699697907089</v>
      </c>
      <c r="CB17" s="16">
        <f t="shared" si="268"/>
        <v>11.900509480772028</v>
      </c>
      <c r="CC17" s="16">
        <f t="shared" si="268"/>
        <v>12.461323459970101</v>
      </c>
      <c r="CD17" s="16">
        <f t="shared" si="268"/>
        <v>0.13269935594687449</v>
      </c>
      <c r="CE17" s="16">
        <f t="shared" si="268"/>
        <v>7.836304124774267E-5</v>
      </c>
      <c r="CF17" s="11">
        <f t="shared" si="252"/>
        <v>303.46040629741816</v>
      </c>
      <c r="CG17" s="11">
        <f t="shared" si="253"/>
        <v>8.2488346457165882</v>
      </c>
      <c r="CH17" s="11">
        <f t="shared" si="254"/>
        <v>4.307535740931824</v>
      </c>
      <c r="CI17" s="11">
        <f t="shared" si="255"/>
        <v>161.48640784571688</v>
      </c>
      <c r="CJ17" s="11">
        <f t="shared" si="256"/>
        <v>84.268958899654521</v>
      </c>
      <c r="CK17" s="15">
        <f t="shared" si="257"/>
        <v>0.53214984391553821</v>
      </c>
      <c r="CL17" s="15">
        <f t="shared" si="258"/>
        <v>0.27769342276917486</v>
      </c>
      <c r="CM17" s="11">
        <f t="shared" si="259"/>
        <v>22.33196341260318</v>
      </c>
      <c r="CO17" s="7" t="str">
        <f t="shared" si="26"/>
        <v>2045_3</v>
      </c>
      <c r="CP17" s="30">
        <f>CP16</f>
        <v>2045</v>
      </c>
      <c r="CQ17" s="5" t="s">
        <v>23</v>
      </c>
      <c r="CR17" s="16">
        <f>CR15+CR16</f>
        <v>9.0710437919767415</v>
      </c>
      <c r="CS17" s="16">
        <f>CS15+CS16</f>
        <v>12.180307324056628</v>
      </c>
      <c r="CT17" s="16">
        <f t="shared" ref="CT17:DL17" si="269">CT15+CT16</f>
        <v>16.015863629371754</v>
      </c>
      <c r="CU17" s="16">
        <f t="shared" si="269"/>
        <v>11.725724378300175</v>
      </c>
      <c r="CV17" s="16">
        <f t="shared" si="269"/>
        <v>7.1400989937351493</v>
      </c>
      <c r="CW17" s="16">
        <f t="shared" si="269"/>
        <v>9.9676503814156288</v>
      </c>
      <c r="CX17" s="16">
        <f t="shared" si="269"/>
        <v>12.568525368678415</v>
      </c>
      <c r="CY17" s="16">
        <f t="shared" si="269"/>
        <v>8.6182462818198786</v>
      </c>
      <c r="CZ17" s="16">
        <f t="shared" si="269"/>
        <v>8.3808183917895906</v>
      </c>
      <c r="DA17" s="16">
        <f t="shared" si="269"/>
        <v>17.303130880700984</v>
      </c>
      <c r="DB17" s="16">
        <f t="shared" si="269"/>
        <v>16.615473677950245</v>
      </c>
      <c r="DC17" s="16">
        <f t="shared" si="269"/>
        <v>21.234490142797405</v>
      </c>
      <c r="DD17" s="16">
        <f t="shared" si="269"/>
        <v>48.326772264793824</v>
      </c>
      <c r="DE17" s="16">
        <f t="shared" si="269"/>
        <v>49.541234295159626</v>
      </c>
      <c r="DF17" s="16">
        <f t="shared" si="269"/>
        <v>27.676214650902764</v>
      </c>
      <c r="DG17" s="16">
        <f t="shared" si="269"/>
        <v>34.804648542017176</v>
      </c>
      <c r="DH17" s="16">
        <f t="shared" si="269"/>
        <v>24.969699697907089</v>
      </c>
      <c r="DI17" s="16">
        <f t="shared" si="269"/>
        <v>11.900509480772028</v>
      </c>
      <c r="DJ17" s="16">
        <f t="shared" si="269"/>
        <v>12.461323459970101</v>
      </c>
      <c r="DK17" s="16">
        <f t="shared" si="269"/>
        <v>0.13269935594687449</v>
      </c>
      <c r="DL17" s="16">
        <f t="shared" si="269"/>
        <v>7.836304124774267E-5</v>
      </c>
      <c r="DM17" s="11">
        <f t="shared" si="260"/>
        <v>360.6345533531034</v>
      </c>
      <c r="DN17" s="11">
        <f t="shared" si="261"/>
        <v>16.917702572057031</v>
      </c>
      <c r="DO17" s="11">
        <f t="shared" si="262"/>
        <v>8.751490327408737</v>
      </c>
      <c r="DP17" s="11">
        <f t="shared" si="263"/>
        <v>161.48640784571688</v>
      </c>
      <c r="DQ17" s="11">
        <f t="shared" si="264"/>
        <v>84.268958899654521</v>
      </c>
      <c r="DR17" s="15">
        <f t="shared" si="265"/>
        <v>0.44778406934180487</v>
      </c>
      <c r="DS17" s="15">
        <f t="shared" si="266"/>
        <v>0.23366856591011498</v>
      </c>
      <c r="DT17" s="11">
        <f t="shared" si="267"/>
        <v>38.294521025649075</v>
      </c>
      <c r="DV17" s="62" t="s">
        <v>407</v>
      </c>
      <c r="DW17" s="7">
        <f>IF(DW9&gt;=0,0,IF(AND(DW10&lt;=0,DW9&lt;=0,DW16*2&gt;=ABS(DW9)),ROUND(DW16/3,0),ROUND(ABS(DW9)/6,0)))</f>
        <v>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1.9173553911128098</v>
      </c>
      <c r="BL18" s="9">
        <f>IF(管理者入力シート!$B$14=1,BK15*管理者用人口入力シート!AM$3,IF(管理者入力シート!$B$14=2,BK15*管理者用人口入力シート!AM$7))</f>
        <v>3.3260015533641734</v>
      </c>
      <c r="BM18" s="9">
        <f>IF(管理者入力シート!$B$14=1,BL15*管理者用人口入力シート!AN$3,IF(管理者入力シート!$B$14=2,BL15*管理者用人口入力シート!AN$7))</f>
        <v>3.6239816434727934</v>
      </c>
      <c r="BN18" s="9">
        <f>IF(管理者入力シート!$B$14=1,BM15*管理者用人口入力シート!AO$3,IF(管理者入力シート!$B$14=2,BM15*管理者用人口入力シート!AO$7))</f>
        <v>3.2387297507706769</v>
      </c>
      <c r="BO18" s="9">
        <f>IF(管理者入力シート!$B$14=1,BN15*管理者用人口入力シート!AP$3,IF(管理者入力シート!$B$14=2,BN15*管理者用人口入力シート!AP$7))</f>
        <v>2.6894411169159977</v>
      </c>
      <c r="BP18" s="9">
        <f>IF(管理者入力シート!$B$14=1,BO15*管理者用人口入力シート!AQ$3,IF(管理者入力シート!$B$14=2,BO15*管理者用人口入力シート!AQ$7))</f>
        <v>1.9987194394951084</v>
      </c>
      <c r="BQ18" s="9">
        <f>IF(管理者入力シート!$B$14=1,BP15*管理者用人口入力シート!AR$3,IF(管理者入力シート!$B$14=2,BP15*管理者用人口入力シート!AR$7))</f>
        <v>3.5765361682173498</v>
      </c>
      <c r="BR18" s="9">
        <f>IF(管理者入力シート!$B$14=1,BQ15*管理者用人口入力シート!AS$3,IF(管理者入力シート!$B$14=2,BQ15*管理者用人口入力シート!AS$7))</f>
        <v>3.4552622040006922</v>
      </c>
      <c r="BS18" s="9">
        <f>IF(管理者入力シート!$B$14=1,BR15*管理者用人口入力シート!AT$3,IF(管理者入力シート!$B$14=2,BR15*管理者用人口入力シート!AT$7))</f>
        <v>1.9450162557917396</v>
      </c>
      <c r="BT18" s="9">
        <f>IF(管理者入力シート!$B$14=1,BS15*管理者用人口入力シート!AU$3,IF(管理者入力シート!$B$14=2,BS15*管理者用人口入力シート!AU$7))</f>
        <v>0.68061390972977254</v>
      </c>
      <c r="BU18" s="9">
        <f>IF(管理者入力シート!$B$14=1,BT15*管理者用人口入力シート!AV$3,IF(管理者入力シート!$B$14=2,BT15*管理者用人口入力シート!AV$7))</f>
        <v>6.3044102210511399</v>
      </c>
      <c r="BV18" s="9">
        <f>IF(管理者入力シート!$B$14=1,BU15*管理者用人口入力シート!AW$3,IF(管理者入力シート!$B$14=2,BU15*管理者用人口入力シート!AW$7))</f>
        <v>5.0932481257629911</v>
      </c>
      <c r="BW18" s="9">
        <f>IF(管理者入力シート!$B$14=1,BV15*管理者用人口入力シート!AX$3,IF(管理者入力シート!$B$14=2,BV15*管理者用人口入力シート!AX$7))</f>
        <v>12.521980673998817</v>
      </c>
      <c r="BX18" s="9">
        <f>IF(管理者入力シート!$B$14=1,BW15*管理者用人口入力シート!AY$3,IF(管理者入力シート!$B$14=2,BW15*管理者用人口入力シート!AY$7))</f>
        <v>23.2718488171529</v>
      </c>
      <c r="BY18" s="9">
        <f>IF(管理者入力シート!$B$14=1,BX15*管理者用人口入力シート!AZ$3,IF(管理者入力シート!$B$14=2,BX15*管理者用人口入力シート!AZ$7))</f>
        <v>25.622769479302452</v>
      </c>
      <c r="BZ18" s="9">
        <f>IF(管理者入力シート!$B$14=1,BY15*管理者用人口入力シート!BA$3,IF(管理者入力シート!$B$14=2,BY15*管理者用人口入力シート!BA$7))</f>
        <v>5.1969810890738639</v>
      </c>
      <c r="CA18" s="9">
        <f>IF(管理者入力シート!$B$14=1,BZ15*管理者用人口入力シート!BB$3,IF(管理者入力シート!$B$14=2,BZ15*管理者用人口入力シート!BB$7))</f>
        <v>17.335164064395006</v>
      </c>
      <c r="CB18" s="9">
        <f>IF(管理者入力シート!$B$14=1,CA15*管理者用人口入力シート!BC$3,IF(管理者入力シート!$B$14=2,CA15*管理者用人口入力シート!BC$7))</f>
        <v>4.9757305731763752</v>
      </c>
      <c r="CC18" s="9">
        <f>IF(管理者入力シート!$B$14=1,CB15*管理者用人口入力シート!BD$3,IF(管理者入力シート!$B$14=2,CB15*管理者用人口入力シート!BD$7))</f>
        <v>1.9466570535691501</v>
      </c>
      <c r="CD18" s="9">
        <f>IF(管理者入力シート!$B$14=1,CC15*管理者用人口入力シート!BE$3,IF(管理者入力シート!$B$14=2,CC15*管理者用人口入力シート!BE$7))</f>
        <v>4.1109609582188934E-3</v>
      </c>
      <c r="CE18" s="9">
        <f>IF(管理者入力シート!$B$14=1,CD15*管理者用人口入力シート!BF$3,IF(管理者入力シート!$B$14=2,CD15*管理者用人口入力シート!BF$7))</f>
        <v>2.9999999999999997E-6</v>
      </c>
      <c r="CF18" s="9">
        <f t="shared" si="252"/>
        <v>128.72456149131202</v>
      </c>
      <c r="CG18" s="9">
        <f t="shared" si="253"/>
        <v>4.1699899181021802</v>
      </c>
      <c r="CH18" s="9">
        <f t="shared" si="254"/>
        <v>2.0973386075432527</v>
      </c>
      <c r="CI18" s="9">
        <f t="shared" si="255"/>
        <v>78.353265037627978</v>
      </c>
      <c r="CJ18" s="9">
        <f t="shared" si="256"/>
        <v>29.458646741172611</v>
      </c>
      <c r="CK18" s="13">
        <f t="shared" si="257"/>
        <v>0.60868931406626903</v>
      </c>
      <c r="CL18" s="13">
        <f t="shared" si="258"/>
        <v>0.22885023961150458</v>
      </c>
      <c r="CM18" s="9">
        <f t="shared" si="259"/>
        <v>11.719958928629147</v>
      </c>
      <c r="CO18" s="7" t="str">
        <f t="shared" si="26"/>
        <v>2050_1</v>
      </c>
      <c r="CP18" s="28">
        <f>管理者入力シート!B13</f>
        <v>2050</v>
      </c>
      <c r="CQ18" s="3" t="s">
        <v>21</v>
      </c>
      <c r="CR18" s="9">
        <f>DT19*$AK$13+将来予測シート②!$G17</f>
        <v>4.8096857679929519</v>
      </c>
      <c r="CS18" s="9">
        <f>IF(管理者入力シート!$B$14=1,CR15*管理者用人口入力シート!AM$3,IF(管理者入力シート!$B$14=2,CR15*管理者用人口入力シート!AM$7))+将来予測シート②!$G18</f>
        <v>7.2853994661627883</v>
      </c>
      <c r="CT18" s="9">
        <f>IF(管理者入力シート!$B$14=1,CS15*管理者用人口入力シート!AN$3,IF(管理者入力シート!$B$14=2,CS15*管理者用人口入力シート!AN$7))+将来予測シート②!$G19</f>
        <v>8.0651155175259923</v>
      </c>
      <c r="CU18" s="9">
        <f>IF(管理者入力シート!$B$14=1,CT15*管理者用人口入力シート!AO$3,IF(管理者入力シート!$B$14=2,CT15*管理者用人口入力シート!AO$7))+将来予測シート②!$G20</f>
        <v>6.6683972335289061</v>
      </c>
      <c r="CV18" s="9">
        <f>IF(管理者入力シート!$B$14=1,CU15*管理者用人口入力シート!AP$3,IF(管理者入力シート!$B$14=2,CU15*管理者用人口入力シート!AP$7))+将来予測シート②!$G21</f>
        <v>4.8487892989048742</v>
      </c>
      <c r="CW18" s="9">
        <f>IF(管理者入力シート!$B$14=1,CV15*管理者用人口入力シート!AQ$3,IF(管理者入力シート!$B$14=2,CV15*管理者用人口入力シート!AQ$7))+将来予測シート②!$G22</f>
        <v>4.8579518645336179</v>
      </c>
      <c r="CX18" s="9">
        <f>IF(管理者入力シート!$B$14=1,CW15*管理者用人口入力シート!AR$3,IF(管理者入力シート!$B$14=2,CW15*管理者用人口入力シート!AR$7))+将来予測シート②!$G23</f>
        <v>6.3777211593891341</v>
      </c>
      <c r="CY18" s="9">
        <f>IF(管理者入力シート!$B$14=1,CX15*管理者用人口入力シート!AS$3,IF(管理者入力シート!$B$14=2,CX15*管理者用人口入力シート!AS$7))+将来予測シート②!$G24</f>
        <v>6.1614640068568027</v>
      </c>
      <c r="CZ18" s="9">
        <f>IF(管理者入力シート!$B$14=1,CY15*管理者用人口入力シート!AT$3,IF(管理者入力シート!$B$14=2,CY15*管理者用人口入力シート!AT$7))+将来予測シート②!$G25</f>
        <v>3.4992640721034776</v>
      </c>
      <c r="DA18" s="9">
        <f>IF(管理者入力シート!$B$14=1,CZ15*管理者用人口入力シート!AU$3,IF(管理者入力シート!$B$14=2,CZ15*管理者用人口入力シート!AU$7))+将来予測シート②!$G26</f>
        <v>3.6904018639570739</v>
      </c>
      <c r="DB18" s="9">
        <f>IF(管理者入力シート!$B$14=1,DA15*管理者用人口入力シート!AV$3,IF(管理者入力シート!$B$14=2,DA15*管理者用人口入力シート!AV$7))+将来予測シート②!$G27</f>
        <v>9.7360964812205175</v>
      </c>
      <c r="DC18" s="9">
        <f>IF(管理者入力シート!$B$14=1,DB15*管理者用人口入力シート!AW$3,IF(管理者入力シート!$B$14=2,DB15*管理者用人口入力シート!AW$7))+将来予測シート②!$G28</f>
        <v>5.0932481257629911</v>
      </c>
      <c r="DD18" s="9">
        <f>IF(管理者入力シート!$B$14=1,DC15*管理者用人口入力シート!AX$3,IF(管理者入力シート!$B$14=2,DC15*管理者用人口入力シート!AX$7))+将来予測シート②!$G29</f>
        <v>12.521980673998817</v>
      </c>
      <c r="DE18" s="9">
        <f>IF(管理者入力シート!$B$14=1,DD15*管理者用人口入力シート!AY$3,IF(管理者入力シート!$B$14=2,DD15*管理者用人口入力シート!AY$7))</f>
        <v>23.2718488171529</v>
      </c>
      <c r="DF18" s="9">
        <f>IF(管理者入力シート!$B$14=1,DE15*管理者用人口入力シート!AZ$3,IF(管理者入力シート!$B$14=2,DE15*管理者用人口入力シート!AZ$7))</f>
        <v>25.622769479302452</v>
      </c>
      <c r="DG18" s="9">
        <f>IF(管理者入力シート!$B$14=1,DF15*管理者用人口入力シート!BA$3,IF(管理者入力シート!$B$14=2,DF15*管理者用人口入力シート!BA$7))</f>
        <v>5.1969810890738639</v>
      </c>
      <c r="DH18" s="9">
        <f>IF(管理者入力シート!$B$14=1,DG15*管理者用人口入力シート!BB$3,IF(管理者入力シート!$B$14=2,DG15*管理者用人口入力シート!BB$7))</f>
        <v>17.335164064395006</v>
      </c>
      <c r="DI18" s="9">
        <f>IF(管理者入力シート!$B$14=1,DH15*管理者用人口入力シート!BC$3,IF(管理者入力シート!$B$14=2,DH15*管理者用人口入力シート!BC$7))</f>
        <v>4.9757305731763752</v>
      </c>
      <c r="DJ18" s="9">
        <f>IF(管理者入力シート!$B$14=1,DI15*管理者用人口入力シート!BD$3,IF(管理者入力シート!$B$14=2,DI15*管理者用人口入力シート!BD$7))</f>
        <v>1.9466570535691501</v>
      </c>
      <c r="DK18" s="9">
        <f>IF(管理者入力シート!$B$14=1,DJ15*管理者用人口入力シート!BE$3,IF(管理者入力シート!$B$14=2,DJ15*管理者用人口入力シート!BE$7))</f>
        <v>4.1109609582188934E-3</v>
      </c>
      <c r="DL18" s="9">
        <f>IF(管理者入力シート!$B$14=1,DK15*管理者用人口入力シート!BF$3,IF(管理者入力シート!$B$14=2,DK15*管理者用人口入力シート!BF$7))</f>
        <v>2.9999999999999997E-6</v>
      </c>
      <c r="DM18" s="9">
        <f t="shared" si="260"/>
        <v>161.96878056956589</v>
      </c>
      <c r="DN18" s="9">
        <f t="shared" si="261"/>
        <v>9.2103089902132691</v>
      </c>
      <c r="DO18" s="9">
        <f t="shared" si="262"/>
        <v>4.5597256537161783</v>
      </c>
      <c r="DP18" s="9">
        <f t="shared" si="263"/>
        <v>78.353265037627978</v>
      </c>
      <c r="DQ18" s="9">
        <f t="shared" si="264"/>
        <v>29.458646741172611</v>
      </c>
      <c r="DR18" s="13">
        <f t="shared" si="265"/>
        <v>0.48375535558209071</v>
      </c>
      <c r="DS18" s="13">
        <f t="shared" si="266"/>
        <v>0.18187854867821313</v>
      </c>
      <c r="DT18" s="9">
        <f t="shared" si="267"/>
        <v>22.24592632968443</v>
      </c>
      <c r="DX18" s="308">
        <f>DX1</f>
        <v>3</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1.5977961592606749</v>
      </c>
      <c r="BL19" s="10">
        <f>IF(管理者入力シート!$B$14=1,BK16*管理者用人口入力シート!AM$4,IF(管理者入力シート!$B$14=2,BK16*管理者用人口入力シート!AM$8))</f>
        <v>1.9598652105173313</v>
      </c>
      <c r="BM19" s="10">
        <f>IF(管理者入力シート!$B$14=1,BL16*管理者用人口入力シート!AN$4,IF(管理者入力シート!$B$14=2,BL16*管理者用人口入力シート!AN$8))</f>
        <v>3.0910528898565568</v>
      </c>
      <c r="BN19" s="10">
        <f>IF(管理者入力シート!$B$14=1,BM16*管理者用人口入力シート!AO$4,IF(管理者入力シート!$B$14=2,BM16*管理者用人口入力シート!AO$8))</f>
        <v>2.4140066278247283</v>
      </c>
      <c r="BO19" s="10">
        <f>IF(管理者入力シート!$B$14=1,BN16*管理者用人口入力シート!AP$4,IF(管理者入力シート!$B$14=2,BN16*管理者用人口入力シート!AP$8))</f>
        <v>1.3487112914094197</v>
      </c>
      <c r="BP19" s="10">
        <f>IF(管理者入力シート!$B$14=1,BO16*管理者用人口入力シート!AQ$4,IF(管理者入力シート!$B$14=2,BO16*管理者用人口入力シート!AQ$8))</f>
        <v>1.5153737536395171</v>
      </c>
      <c r="BQ19" s="10">
        <f>IF(管理者入力シート!$B$14=1,BP16*管理者用人口入力シート!AR$4,IF(管理者入力シート!$B$14=2,BP16*管理者用人口入力シート!AR$8))</f>
        <v>2.2821773229381916</v>
      </c>
      <c r="BR19" s="10">
        <f>IF(管理者入力シート!$B$14=1,BQ16*管理者用人口入力シート!AS$4,IF(管理者入力シート!$B$14=2,BQ16*管理者用人口入力シート!AS$8))</f>
        <v>3.1622776601683791</v>
      </c>
      <c r="BS19" s="10">
        <f>IF(管理者入力シート!$B$14=1,BR16*管理者用人口入力シート!AT$4,IF(管理者入力シート!$B$14=2,BR16*管理者用人口入力シート!AT$8))</f>
        <v>2.3333333333333335</v>
      </c>
      <c r="BT19" s="10">
        <f>IF(管理者入力シート!$B$14=1,BS16*管理者用人口入力シート!AU$4,IF(管理者入力シート!$B$14=2,BS16*管理者用人口入力シート!AU$8))</f>
        <v>4.2397297840753136</v>
      </c>
      <c r="BU19" s="10">
        <f>IF(管理者入力シート!$B$14=1,BT16*管理者用人口入力シート!AV$4,IF(管理者入力シート!$B$14=2,BT16*管理者用人口入力シート!AV$8))</f>
        <v>6.107606498691375</v>
      </c>
      <c r="BV19" s="10">
        <f>IF(管理者入力シート!$B$14=1,BU16*管理者用人口入力シート!AW$4,IF(管理者入力シート!$B$14=2,BU16*管理者用人口入力シート!AW$8))</f>
        <v>9.8801709386921903</v>
      </c>
      <c r="BW19" s="10">
        <f>IF(管理者入力シート!$B$14=1,BV16*管理者用人口入力シート!AX$4,IF(管理者入力シート!$B$14=2,BV16*管理者用人口入力シート!AX$8))</f>
        <v>8.8883928433019133</v>
      </c>
      <c r="BX19" s="10">
        <f>IF(管理者入力シート!$B$14=1,BW16*管理者用人口入力シート!AY$4,IF(管理者入力シート!$B$14=2,BW16*管理者用人口入力シート!AY$8))</f>
        <v>26.531517645461381</v>
      </c>
      <c r="BY19" s="10">
        <f>IF(管理者入力シート!$B$14=1,BX16*管理者用人口入力シート!AZ$4,IF(管理者入力シート!$B$14=2,BX16*管理者用人口入力シート!AZ$8))</f>
        <v>21.526445771276588</v>
      </c>
      <c r="BZ19" s="10">
        <f>IF(管理者入力シート!$B$14=1,BY16*管理者用人口入力シート!BA$4,IF(管理者入力シート!$B$14=2,BY16*管理者用人口入力シート!BA$8))</f>
        <v>16.851951205661461</v>
      </c>
      <c r="CA19" s="10">
        <f>IF(管理者入力シート!$B$14=1,BZ16*管理者用人口入力シート!BB$4,IF(管理者入力シート!$B$14=2,BZ16*管理者用人口入力シート!BB$8))</f>
        <v>11.325582010811871</v>
      </c>
      <c r="CB19" s="10">
        <f>IF(管理者入力シート!$B$14=1,CA16*管理者用人口入力シート!BC$4,IF(管理者入力シート!$B$14=2,CA16*管理者用人口入力シート!BC$8))</f>
        <v>7.3474963606868373</v>
      </c>
      <c r="CC19" s="10">
        <f>IF(管理者入力シート!$B$14=1,CB16*管理者用人口入力シート!BD$4,IF(管理者入力シート!$B$14=2,CB16*管理者用人口入力シート!BD$8))</f>
        <v>5.9682110548556144</v>
      </c>
      <c r="CD19" s="10">
        <f>IF(管理者入力シート!$B$14=1,CC16*管理者用人口入力シート!BE$4,IF(管理者入力シート!$B$14=2,CC16*管理者用人口入力シート!BE$8))</f>
        <v>0.16700725003502417</v>
      </c>
      <c r="CE19" s="10">
        <f>IF(管理者入力シート!$B$14=1,CD16*管理者用人口入力シート!BF$4,IF(管理者入力シート!$B$14=2,CD16*管理者用人口入力シート!BF$8))</f>
        <v>1.2969935594687448E-4</v>
      </c>
      <c r="CF19" s="10">
        <f t="shared" si="252"/>
        <v>138.53883531185363</v>
      </c>
      <c r="CG19" s="10">
        <f t="shared" si="253"/>
        <v>3.030550860224333</v>
      </c>
      <c r="CH19" s="10">
        <f t="shared" si="254"/>
        <v>1.7192224815075685</v>
      </c>
      <c r="CI19" s="10">
        <f t="shared" si="255"/>
        <v>89.718340998144726</v>
      </c>
      <c r="CJ19" s="10">
        <f t="shared" si="256"/>
        <v>41.660377581406756</v>
      </c>
      <c r="CK19" s="14">
        <f t="shared" si="257"/>
        <v>0.64760426775775171</v>
      </c>
      <c r="CL19" s="14">
        <f t="shared" si="258"/>
        <v>0.30071263041607382</v>
      </c>
      <c r="CM19" s="10">
        <f t="shared" si="259"/>
        <v>8.3085400281555088</v>
      </c>
      <c r="CO19" s="7" t="str">
        <f t="shared" si="26"/>
        <v>2050_2</v>
      </c>
      <c r="CP19" s="29">
        <f>CP18</f>
        <v>2050</v>
      </c>
      <c r="CQ19" s="4" t="s">
        <v>22</v>
      </c>
      <c r="CR19" s="10">
        <f>DT19*$AK$14+将来予測シート②!$H17</f>
        <v>4.1747381399941261</v>
      </c>
      <c r="CS19" s="10">
        <f>IF(管理者入力シート!$B$14=1,CR16*管理者用人口入力シート!AM$4,IF(管理者入力シート!$B$14=2,CR16*管理者用人口入力シート!AM$8))+将来予測シート②!$H18</f>
        <v>4.4697395004437706</v>
      </c>
      <c r="CT19" s="10">
        <f>IF(管理者入力シート!$B$14=1,CS16*管理者用人口入力シート!AN$4,IF(管理者入力シート!$B$14=2,CS16*管理者用人口入力シート!AN$8))+将来予測シート②!$H19</f>
        <v>7.2655036744966441</v>
      </c>
      <c r="CU19" s="10">
        <f>IF(管理者入力シート!$B$14=1,CT16*管理者用人口入力シート!AO$4,IF(管理者入力シート!$B$14=2,CT16*管理者用人口入力シート!AO$8))+将来予測シート②!$H20</f>
        <v>5.2372829240412297</v>
      </c>
      <c r="CV19" s="10">
        <f>IF(管理者入力シート!$B$14=1,CU16*管理者用人口入力シート!AP$4,IF(管理者入力シート!$B$14=2,CU16*管理者用人口入力シート!AP$8))+将来予測シート②!$H21</f>
        <v>2.564239590562706</v>
      </c>
      <c r="CW19" s="10">
        <f>IF(管理者入力シート!$B$14=1,CV16*管理者用人口入力シート!AQ$4,IF(管理者入力シート!$B$14=2,CV16*管理者用人口入力シート!AQ$8))+将来予測シート②!$H22</f>
        <v>4.2896300813090207</v>
      </c>
      <c r="CX19" s="10">
        <f>IF(管理者入力シート!$B$14=1,CW16*管理者用人口入力シート!AR$4,IF(管理者入力シート!$B$14=2,CW16*管理者用人口入力シート!AR$8))+将来予測シート②!$H23</f>
        <v>4.5999981860200556</v>
      </c>
      <c r="CY19" s="10">
        <f>IF(管理者入力シート!$B$14=1,CX16*管理者用人口入力シート!AS$4,IF(管理者入力シート!$B$14=2,CX16*管理者用人口入力シート!AS$8))+将来予測シート②!$H24</f>
        <v>5.0547704700776723</v>
      </c>
      <c r="CZ19" s="10">
        <f>IF(管理者入力シート!$B$14=1,CY16*管理者用人口入力シート!AT$4,IF(管理者入力シート!$B$14=2,CY16*管理者用人口入力シート!AT$8))+将来予測シート②!$H25</f>
        <v>5.4309510296736363</v>
      </c>
      <c r="DA19" s="10">
        <f>IF(管理者入力シート!$B$14=1,CZ16*管理者用人口入力シート!AU$4,IF(管理者入力シート!$B$14=2,CZ16*管理者用人口入力シート!AU$8))+将来予測シート②!$H26</f>
        <v>8.1281439674145428</v>
      </c>
      <c r="DB19" s="10">
        <f>IF(管理者入力シート!$B$14=1,DA16*管理者用人口入力シート!AV$4,IF(管理者入力シート!$B$14=2,DA16*管理者用人口入力シート!AV$8))+将来予測シート②!$H27</f>
        <v>10.978581785399296</v>
      </c>
      <c r="DC19" s="10">
        <f>IF(管理者入力シート!$B$14=1,DB16*管理者用人口入力シート!AW$4,IF(管理者入力シート!$B$14=2,DB16*管理者用人口入力シート!AW$8))+将来予測シート②!$H28</f>
        <v>11.450233166257945</v>
      </c>
      <c r="DD19" s="10">
        <f>IF(管理者入力シート!$B$14=1,DC16*管理者用人口入力シート!AX$4,IF(管理者入力シート!$B$14=2,DC16*管理者用人口入力シート!AX$8))+将来予測シート②!$H29</f>
        <v>10.583342854223238</v>
      </c>
      <c r="DE19" s="10">
        <f>IF(管理者入力シート!$B$14=1,DD16*管理者用人口入力シート!AY$4,IF(管理者入力シート!$B$14=2,DD16*管理者用人口入力シート!AY$8))</f>
        <v>28.40922296127906</v>
      </c>
      <c r="DF19" s="10">
        <f>IF(管理者入力シート!$B$14=1,DE16*管理者用人口入力シート!AZ$4,IF(管理者入力シート!$B$14=2,DE16*管理者用人口入力シート!AZ$8))</f>
        <v>21.526445771276588</v>
      </c>
      <c r="DG19" s="10">
        <f>IF(管理者入力シート!$B$14=1,DF16*管理者用人口入力シート!BA$4,IF(管理者入力シート!$B$14=2,DF16*管理者用人口入力シート!BA$8))</f>
        <v>16.851951205661461</v>
      </c>
      <c r="DH19" s="10">
        <f>IF(管理者入力シート!$B$14=1,DG16*管理者用人口入力シート!BB$4,IF(管理者入力シート!$B$14=2,DG16*管理者用人口入力シート!BB$8))</f>
        <v>11.325582010811871</v>
      </c>
      <c r="DI19" s="10">
        <f>IF(管理者入力シート!$B$14=1,DH16*管理者用人口入力シート!BC$4,IF(管理者入力シート!$B$14=2,DH16*管理者用人口入力シート!BC$8))</f>
        <v>7.3474963606868373</v>
      </c>
      <c r="DJ19" s="10">
        <f>IF(管理者入力シート!$B$14=1,DI16*管理者用人口入力シート!BD$4,IF(管理者入力シート!$B$14=2,DI16*管理者用人口入力シート!BD$8))</f>
        <v>5.9682110548556144</v>
      </c>
      <c r="DK19" s="10">
        <f>IF(管理者入力シート!$B$14=1,DJ16*管理者用人口入力シート!BE$4,IF(管理者入力シート!$B$14=2,DJ16*管理者用人口入力シート!BE$8))</f>
        <v>0.16700725003502417</v>
      </c>
      <c r="DL19" s="10">
        <f>IF(管理者入力シート!$B$14=1,DK16*管理者用人口入力シート!BF$4,IF(管理者入力シート!$B$14=2,DK16*管理者用人口入力シート!BF$8))</f>
        <v>1.2969935594687448E-4</v>
      </c>
      <c r="DM19" s="10">
        <f t="shared" si="260"/>
        <v>175.82320168387628</v>
      </c>
      <c r="DN19" s="10">
        <f t="shared" si="261"/>
        <v>7.0411459049642495</v>
      </c>
      <c r="DO19" s="10">
        <f t="shared" si="262"/>
        <v>3.9536580546069038</v>
      </c>
      <c r="DP19" s="10">
        <f t="shared" si="263"/>
        <v>91.596046313962404</v>
      </c>
      <c r="DQ19" s="10">
        <f t="shared" si="264"/>
        <v>41.660377581406756</v>
      </c>
      <c r="DR19" s="14">
        <f t="shared" si="265"/>
        <v>0.52095539972391569</v>
      </c>
      <c r="DS19" s="14">
        <f t="shared" si="266"/>
        <v>0.23694471026816244</v>
      </c>
      <c r="DT19" s="10">
        <f t="shared" si="267"/>
        <v>16.508638327969457</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3.5151515503734849</v>
      </c>
      <c r="BL20" s="16">
        <f t="shared" ref="BL20:CE20" si="276">BL18+BL19</f>
        <v>5.2858667638815042</v>
      </c>
      <c r="BM20" s="16">
        <f t="shared" si="276"/>
        <v>6.7150345333293497</v>
      </c>
      <c r="BN20" s="16">
        <f t="shared" si="276"/>
        <v>5.6527363785954048</v>
      </c>
      <c r="BO20" s="16">
        <f t="shared" si="276"/>
        <v>4.0381524083254172</v>
      </c>
      <c r="BP20" s="16">
        <f t="shared" si="276"/>
        <v>3.5140931931346255</v>
      </c>
      <c r="BQ20" s="16">
        <f t="shared" si="276"/>
        <v>5.858713491155541</v>
      </c>
      <c r="BR20" s="16">
        <f t="shared" si="276"/>
        <v>6.6175398641690713</v>
      </c>
      <c r="BS20" s="16">
        <f t="shared" si="276"/>
        <v>4.2783495891250727</v>
      </c>
      <c r="BT20" s="16">
        <f t="shared" si="276"/>
        <v>4.9203436938050862</v>
      </c>
      <c r="BU20" s="16">
        <f t="shared" si="276"/>
        <v>12.412016719742514</v>
      </c>
      <c r="BV20" s="16">
        <f t="shared" si="276"/>
        <v>14.973419064455182</v>
      </c>
      <c r="BW20" s="16">
        <f t="shared" si="276"/>
        <v>21.41037351730073</v>
      </c>
      <c r="BX20" s="16">
        <f t="shared" si="276"/>
        <v>49.803366462614278</v>
      </c>
      <c r="BY20" s="16">
        <f t="shared" si="276"/>
        <v>47.14921525057904</v>
      </c>
      <c r="BZ20" s="16">
        <f t="shared" si="276"/>
        <v>22.048932294735323</v>
      </c>
      <c r="CA20" s="16">
        <f t="shared" si="276"/>
        <v>28.660746075206877</v>
      </c>
      <c r="CB20" s="16">
        <f t="shared" si="276"/>
        <v>12.323226933863213</v>
      </c>
      <c r="CC20" s="16">
        <f t="shared" si="276"/>
        <v>7.9148681084247645</v>
      </c>
      <c r="CD20" s="16">
        <f t="shared" si="276"/>
        <v>0.17111821099324306</v>
      </c>
      <c r="CE20" s="16">
        <f t="shared" si="276"/>
        <v>1.3269935594687447E-4</v>
      </c>
      <c r="CF20" s="11">
        <f t="shared" si="252"/>
        <v>267.26339680316568</v>
      </c>
      <c r="CG20" s="11">
        <f t="shared" si="253"/>
        <v>7.2005407783265118</v>
      </c>
      <c r="CH20" s="11">
        <f t="shared" si="254"/>
        <v>3.8165610890508206</v>
      </c>
      <c r="CI20" s="11">
        <f t="shared" si="255"/>
        <v>168.07160603577273</v>
      </c>
      <c r="CJ20" s="11">
        <f t="shared" si="256"/>
        <v>71.119024322579364</v>
      </c>
      <c r="CK20" s="15">
        <f t="shared" si="257"/>
        <v>0.62886129580832284</v>
      </c>
      <c r="CL20" s="15">
        <f t="shared" si="258"/>
        <v>0.26610087716185526</v>
      </c>
      <c r="CM20" s="11">
        <f t="shared" si="259"/>
        <v>20.028498956784656</v>
      </c>
      <c r="CO20" s="7" t="str">
        <f t="shared" si="26"/>
        <v>2050_3</v>
      </c>
      <c r="CP20" s="30">
        <f>CP19</f>
        <v>2050</v>
      </c>
      <c r="CQ20" s="5" t="s">
        <v>23</v>
      </c>
      <c r="CR20" s="16">
        <f>CR18+CR19</f>
        <v>8.9844239079870789</v>
      </c>
      <c r="CS20" s="16">
        <f t="shared" ref="CS20:DL20" si="277">CS18+CS19</f>
        <v>11.755138966606559</v>
      </c>
      <c r="CT20" s="16">
        <f t="shared" si="277"/>
        <v>15.330619192022636</v>
      </c>
      <c r="CU20" s="16">
        <f t="shared" si="277"/>
        <v>11.905680157570135</v>
      </c>
      <c r="CV20" s="16">
        <f t="shared" si="277"/>
        <v>7.4130288894675802</v>
      </c>
      <c r="CW20" s="16">
        <f t="shared" si="277"/>
        <v>9.1475819458426386</v>
      </c>
      <c r="CX20" s="16">
        <f t="shared" si="277"/>
        <v>10.97771934540919</v>
      </c>
      <c r="CY20" s="16">
        <f t="shared" si="277"/>
        <v>11.216234476934474</v>
      </c>
      <c r="CZ20" s="16">
        <f t="shared" si="277"/>
        <v>8.9302151017771134</v>
      </c>
      <c r="DA20" s="16">
        <f t="shared" si="277"/>
        <v>11.818545831371617</v>
      </c>
      <c r="DB20" s="16">
        <f t="shared" si="277"/>
        <v>20.714678266619813</v>
      </c>
      <c r="DC20" s="16">
        <f t="shared" si="277"/>
        <v>16.543481292020935</v>
      </c>
      <c r="DD20" s="16">
        <f t="shared" si="277"/>
        <v>23.105323528222055</v>
      </c>
      <c r="DE20" s="16">
        <f t="shared" si="277"/>
        <v>51.681071778431956</v>
      </c>
      <c r="DF20" s="16">
        <f t="shared" si="277"/>
        <v>47.14921525057904</v>
      </c>
      <c r="DG20" s="16">
        <f t="shared" si="277"/>
        <v>22.048932294735323</v>
      </c>
      <c r="DH20" s="16">
        <f t="shared" si="277"/>
        <v>28.660746075206877</v>
      </c>
      <c r="DI20" s="16">
        <f t="shared" si="277"/>
        <v>12.323226933863213</v>
      </c>
      <c r="DJ20" s="16">
        <f t="shared" si="277"/>
        <v>7.9148681084247645</v>
      </c>
      <c r="DK20" s="16">
        <f t="shared" si="277"/>
        <v>0.17111821099324306</v>
      </c>
      <c r="DL20" s="16">
        <f t="shared" si="277"/>
        <v>1.3269935594687447E-4</v>
      </c>
      <c r="DM20" s="11">
        <f t="shared" si="260"/>
        <v>337.79198225344226</v>
      </c>
      <c r="DN20" s="11">
        <f t="shared" si="261"/>
        <v>16.251454895177517</v>
      </c>
      <c r="DO20" s="11">
        <f t="shared" si="262"/>
        <v>8.5133837083230812</v>
      </c>
      <c r="DP20" s="11">
        <f t="shared" si="263"/>
        <v>169.94931135159041</v>
      </c>
      <c r="DQ20" s="11">
        <f t="shared" si="264"/>
        <v>71.119024322579364</v>
      </c>
      <c r="DR20" s="15">
        <f t="shared" si="265"/>
        <v>0.50311825111372532</v>
      </c>
      <c r="DS20" s="15">
        <f t="shared" si="266"/>
        <v>0.21054088924236042</v>
      </c>
      <c r="DT20" s="11">
        <f t="shared" si="267"/>
        <v>38.75456465765388</v>
      </c>
      <c r="DX20" s="28">
        <f>DX3</f>
        <v>2025</v>
      </c>
      <c r="DY20" s="3" t="s">
        <v>21</v>
      </c>
      <c r="DZ20" s="9">
        <f t="shared" ref="DZ20:ET20" si="278">ROUND(DZ3,0)</f>
        <v>4</v>
      </c>
      <c r="EA20" s="9">
        <f t="shared" si="278"/>
        <v>9</v>
      </c>
      <c r="EB20" s="9">
        <f t="shared" si="278"/>
        <v>8</v>
      </c>
      <c r="EC20" s="9">
        <f t="shared" si="278"/>
        <v>6</v>
      </c>
      <c r="ED20" s="9">
        <f t="shared" si="278"/>
        <v>1</v>
      </c>
      <c r="EE20" s="9">
        <f t="shared" si="278"/>
        <v>7</v>
      </c>
      <c r="EF20" s="9">
        <f t="shared" si="278"/>
        <v>7</v>
      </c>
      <c r="EG20" s="9">
        <f t="shared" si="278"/>
        <v>11</v>
      </c>
      <c r="EH20" s="9">
        <f t="shared" si="278"/>
        <v>9</v>
      </c>
      <c r="EI20" s="9">
        <f t="shared" si="278"/>
        <v>21</v>
      </c>
      <c r="EJ20" s="9">
        <f t="shared" si="278"/>
        <v>5</v>
      </c>
      <c r="EK20" s="9">
        <f t="shared" si="278"/>
        <v>18</v>
      </c>
      <c r="EL20" s="9">
        <f t="shared" si="278"/>
        <v>15</v>
      </c>
      <c r="EM20" s="9">
        <f t="shared" si="278"/>
        <v>12</v>
      </c>
      <c r="EN20" s="9">
        <f t="shared" si="278"/>
        <v>25</v>
      </c>
      <c r="EO20" s="9">
        <f t="shared" si="278"/>
        <v>19</v>
      </c>
      <c r="EP20" s="9">
        <f t="shared" si="278"/>
        <v>10</v>
      </c>
      <c r="EQ20" s="9">
        <f t="shared" si="278"/>
        <v>6</v>
      </c>
      <c r="ER20" s="9">
        <f t="shared" si="278"/>
        <v>4</v>
      </c>
      <c r="ES20" s="9">
        <f t="shared" si="278"/>
        <v>0</v>
      </c>
      <c r="ET20" s="9">
        <f t="shared" si="278"/>
        <v>0</v>
      </c>
      <c r="EU20" s="9">
        <f t="shared" ref="EU20:EU21" si="279">SUM(DZ20:ET20)</f>
        <v>197</v>
      </c>
      <c r="EV20" s="9">
        <f>EA20*3/5+EB20*3/5</f>
        <v>10.199999999999999</v>
      </c>
      <c r="EW20" s="9">
        <f>EB20*2/5+EC20*1/5</f>
        <v>4.4000000000000004</v>
      </c>
      <c r="EX20" s="9">
        <f t="shared" ref="EX20:EX31" si="280">SUM(EM20:ET20)</f>
        <v>76</v>
      </c>
      <c r="EY20" s="9">
        <f>SUM(EO20:ET20)</f>
        <v>39</v>
      </c>
      <c r="EZ20" s="13">
        <f>EX20/EU20</f>
        <v>0.38578680203045684</v>
      </c>
      <c r="FA20" s="13">
        <f>EY20/EU20</f>
        <v>0.19796954314720813</v>
      </c>
      <c r="FB20" s="9">
        <f>SUM(ED20:EG20)</f>
        <v>26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v>
      </c>
      <c r="EA21" s="10">
        <f t="shared" si="281"/>
        <v>5</v>
      </c>
      <c r="EB21" s="10">
        <f t="shared" si="281"/>
        <v>12</v>
      </c>
      <c r="EC21" s="10">
        <f t="shared" si="281"/>
        <v>5</v>
      </c>
      <c r="ED21" s="10">
        <f t="shared" si="281"/>
        <v>3</v>
      </c>
      <c r="EE21" s="10">
        <f t="shared" si="281"/>
        <v>7</v>
      </c>
      <c r="EF21" s="10">
        <f t="shared" si="281"/>
        <v>9</v>
      </c>
      <c r="EG21" s="10">
        <f t="shared" si="281"/>
        <v>7</v>
      </c>
      <c r="EH21" s="10">
        <f t="shared" si="281"/>
        <v>14</v>
      </c>
      <c r="EI21" s="10">
        <f t="shared" si="281"/>
        <v>15</v>
      </c>
      <c r="EJ21" s="10">
        <f t="shared" si="281"/>
        <v>20</v>
      </c>
      <c r="EK21" s="10">
        <f t="shared" si="281"/>
        <v>17</v>
      </c>
      <c r="EL21" s="10">
        <f t="shared" si="281"/>
        <v>18</v>
      </c>
      <c r="EM21" s="10">
        <f t="shared" si="281"/>
        <v>22</v>
      </c>
      <c r="EN21" s="10">
        <f t="shared" si="281"/>
        <v>30</v>
      </c>
      <c r="EO21" s="10">
        <f t="shared" si="281"/>
        <v>17</v>
      </c>
      <c r="EP21" s="10">
        <f t="shared" si="281"/>
        <v>8</v>
      </c>
      <c r="EQ21" s="10">
        <f t="shared" si="281"/>
        <v>11</v>
      </c>
      <c r="ER21" s="10">
        <f t="shared" si="281"/>
        <v>7</v>
      </c>
      <c r="ES21" s="10">
        <f t="shared" si="281"/>
        <v>0</v>
      </c>
      <c r="ET21" s="10">
        <f t="shared" si="281"/>
        <v>0</v>
      </c>
      <c r="EU21" s="10">
        <f t="shared" si="279"/>
        <v>230</v>
      </c>
      <c r="EV21" s="10">
        <f t="shared" ref="EV21:EV31" si="282">EA21*3/5+EB21*3/5</f>
        <v>10.199999999999999</v>
      </c>
      <c r="EW21" s="10">
        <f t="shared" ref="EW21:EW31" si="283">EB21*2/5+EC21*1/5</f>
        <v>5.8</v>
      </c>
      <c r="EX21" s="10">
        <f t="shared" si="280"/>
        <v>95</v>
      </c>
      <c r="EY21" s="10">
        <f t="shared" ref="EY21:EY31" si="284">SUM(EO21:ET21)</f>
        <v>43</v>
      </c>
      <c r="EZ21" s="14">
        <f t="shared" ref="EZ21:EZ31" si="285">EX21/EU21</f>
        <v>0.41304347826086957</v>
      </c>
      <c r="FA21" s="14">
        <f t="shared" ref="FA21:FA31" si="286">EY21/EU21</f>
        <v>0.18695652173913044</v>
      </c>
      <c r="FB21" s="10">
        <f>SUM(ED21:EG21)</f>
        <v>26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v>
      </c>
      <c r="EA22" s="16">
        <f t="shared" ref="EA22:ET22" si="287">EA20+EA21</f>
        <v>14</v>
      </c>
      <c r="EB22" s="16">
        <f t="shared" si="287"/>
        <v>20</v>
      </c>
      <c r="EC22" s="16">
        <f t="shared" si="287"/>
        <v>11</v>
      </c>
      <c r="ED22" s="16">
        <f t="shared" si="287"/>
        <v>4</v>
      </c>
      <c r="EE22" s="16">
        <f t="shared" si="287"/>
        <v>14</v>
      </c>
      <c r="EF22" s="16">
        <f t="shared" si="287"/>
        <v>16</v>
      </c>
      <c r="EG22" s="16">
        <f t="shared" si="287"/>
        <v>18</v>
      </c>
      <c r="EH22" s="16">
        <f t="shared" si="287"/>
        <v>23</v>
      </c>
      <c r="EI22" s="16">
        <f t="shared" si="287"/>
        <v>36</v>
      </c>
      <c r="EJ22" s="16">
        <f t="shared" si="287"/>
        <v>25</v>
      </c>
      <c r="EK22" s="16">
        <f t="shared" si="287"/>
        <v>35</v>
      </c>
      <c r="EL22" s="16">
        <f t="shared" si="287"/>
        <v>33</v>
      </c>
      <c r="EM22" s="16">
        <f t="shared" si="287"/>
        <v>34</v>
      </c>
      <c r="EN22" s="16">
        <f t="shared" si="287"/>
        <v>55</v>
      </c>
      <c r="EO22" s="16">
        <f t="shared" si="287"/>
        <v>36</v>
      </c>
      <c r="EP22" s="16">
        <f t="shared" si="287"/>
        <v>18</v>
      </c>
      <c r="EQ22" s="16">
        <f t="shared" si="287"/>
        <v>17</v>
      </c>
      <c r="ER22" s="16">
        <f t="shared" si="287"/>
        <v>11</v>
      </c>
      <c r="ES22" s="16">
        <f t="shared" si="287"/>
        <v>0</v>
      </c>
      <c r="ET22" s="16">
        <f t="shared" si="287"/>
        <v>0</v>
      </c>
      <c r="EU22" s="11">
        <f>SUM(DZ22:ET22)</f>
        <v>427</v>
      </c>
      <c r="EV22" s="11">
        <f t="shared" si="282"/>
        <v>20.399999999999999</v>
      </c>
      <c r="EW22" s="11">
        <f t="shared" si="283"/>
        <v>10.199999999999999</v>
      </c>
      <c r="EX22" s="11">
        <f t="shared" si="280"/>
        <v>171</v>
      </c>
      <c r="EY22" s="11">
        <f t="shared" si="284"/>
        <v>82</v>
      </c>
      <c r="EZ22" s="15">
        <f t="shared" si="285"/>
        <v>0.40046838407494145</v>
      </c>
      <c r="FA22" s="15">
        <f t="shared" si="286"/>
        <v>0.19203747072599531</v>
      </c>
      <c r="FB22" s="11">
        <f>SUM(ED22:EG22)</f>
        <v>52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7</v>
      </c>
      <c r="EA23" s="9">
        <f t="shared" si="288"/>
        <v>6</v>
      </c>
      <c r="EB23" s="9">
        <f t="shared" si="288"/>
        <v>8</v>
      </c>
      <c r="EC23" s="9">
        <f t="shared" si="288"/>
        <v>7</v>
      </c>
      <c r="ED23" s="9">
        <f t="shared" si="288"/>
        <v>4</v>
      </c>
      <c r="EE23" s="9">
        <f t="shared" si="288"/>
        <v>3</v>
      </c>
      <c r="EF23" s="9">
        <f t="shared" si="288"/>
        <v>11</v>
      </c>
      <c r="EG23" s="9">
        <f t="shared" si="288"/>
        <v>9</v>
      </c>
      <c r="EH23" s="9">
        <f t="shared" si="288"/>
        <v>7</v>
      </c>
      <c r="EI23" s="9">
        <f t="shared" si="288"/>
        <v>18</v>
      </c>
      <c r="EJ23" s="9">
        <f t="shared" si="288"/>
        <v>24</v>
      </c>
      <c r="EK23" s="9">
        <f t="shared" si="288"/>
        <v>5</v>
      </c>
      <c r="EL23" s="9">
        <f t="shared" si="288"/>
        <v>20</v>
      </c>
      <c r="EM23" s="9">
        <f t="shared" si="288"/>
        <v>16</v>
      </c>
      <c r="EN23" s="9">
        <f t="shared" si="288"/>
        <v>12</v>
      </c>
      <c r="EO23" s="9">
        <f t="shared" si="288"/>
        <v>27</v>
      </c>
      <c r="EP23" s="9">
        <f t="shared" si="288"/>
        <v>16</v>
      </c>
      <c r="EQ23" s="9">
        <f t="shared" si="288"/>
        <v>4</v>
      </c>
      <c r="ER23" s="9">
        <f t="shared" si="288"/>
        <v>3</v>
      </c>
      <c r="ES23" s="9">
        <f t="shared" si="288"/>
        <v>0</v>
      </c>
      <c r="ET23" s="9">
        <f t="shared" si="288"/>
        <v>0</v>
      </c>
      <c r="EU23" s="9">
        <f t="shared" ref="EU23:EU31" si="289">SUM(DZ23:ET23)</f>
        <v>207</v>
      </c>
      <c r="EV23" s="9">
        <f t="shared" si="282"/>
        <v>8.4</v>
      </c>
      <c r="EW23" s="9">
        <f t="shared" si="283"/>
        <v>4.5999999999999996</v>
      </c>
      <c r="EX23" s="9">
        <f t="shared" si="280"/>
        <v>78</v>
      </c>
      <c r="EY23" s="9">
        <f t="shared" si="284"/>
        <v>50</v>
      </c>
      <c r="EZ23" s="13">
        <f t="shared" si="285"/>
        <v>0.37681159420289856</v>
      </c>
      <c r="FA23" s="13">
        <f t="shared" si="286"/>
        <v>0.24154589371980675</v>
      </c>
      <c r="FB23" s="9">
        <f t="shared" ref="FB23:FB31" si="290">SUM(ED23:EG23)</f>
        <v>27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6</v>
      </c>
      <c r="EA24" s="10">
        <f t="shared" si="291"/>
        <v>4</v>
      </c>
      <c r="EB24" s="10">
        <f t="shared" si="291"/>
        <v>7</v>
      </c>
      <c r="EC24" s="10">
        <f t="shared" si="291"/>
        <v>8</v>
      </c>
      <c r="ED24" s="10">
        <f t="shared" si="291"/>
        <v>2</v>
      </c>
      <c r="EE24" s="10">
        <f t="shared" si="291"/>
        <v>6</v>
      </c>
      <c r="EF24" s="10">
        <f t="shared" si="291"/>
        <v>10</v>
      </c>
      <c r="EG24" s="10">
        <f t="shared" si="291"/>
        <v>10</v>
      </c>
      <c r="EH24" s="10">
        <f t="shared" si="291"/>
        <v>9</v>
      </c>
      <c r="EI24" s="10">
        <f t="shared" si="291"/>
        <v>18</v>
      </c>
      <c r="EJ24" s="10">
        <f t="shared" si="291"/>
        <v>19</v>
      </c>
      <c r="EK24" s="10">
        <f t="shared" si="291"/>
        <v>20</v>
      </c>
      <c r="EL24" s="10">
        <f t="shared" si="291"/>
        <v>18</v>
      </c>
      <c r="EM24" s="10">
        <f t="shared" si="291"/>
        <v>20</v>
      </c>
      <c r="EN24" s="10">
        <f t="shared" si="291"/>
        <v>21</v>
      </c>
      <c r="EO24" s="10">
        <f t="shared" si="291"/>
        <v>22</v>
      </c>
      <c r="EP24" s="10">
        <f t="shared" si="291"/>
        <v>13</v>
      </c>
      <c r="EQ24" s="10">
        <f t="shared" si="291"/>
        <v>5</v>
      </c>
      <c r="ER24" s="10">
        <f t="shared" si="291"/>
        <v>8</v>
      </c>
      <c r="ES24" s="10">
        <f t="shared" si="291"/>
        <v>0</v>
      </c>
      <c r="ET24" s="10">
        <f t="shared" si="291"/>
        <v>0</v>
      </c>
      <c r="EU24" s="10">
        <f t="shared" si="289"/>
        <v>226</v>
      </c>
      <c r="EV24" s="10">
        <f t="shared" si="282"/>
        <v>6.6</v>
      </c>
      <c r="EW24" s="10">
        <f t="shared" si="283"/>
        <v>4.4000000000000004</v>
      </c>
      <c r="EX24" s="10">
        <f t="shared" si="280"/>
        <v>89</v>
      </c>
      <c r="EY24" s="10">
        <f t="shared" si="284"/>
        <v>48</v>
      </c>
      <c r="EZ24" s="14">
        <f t="shared" si="285"/>
        <v>0.39380530973451328</v>
      </c>
      <c r="FA24" s="14">
        <f t="shared" si="286"/>
        <v>0.21238938053097345</v>
      </c>
      <c r="FB24" s="10">
        <f t="shared" si="290"/>
        <v>28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13</v>
      </c>
      <c r="EA25" s="16">
        <f t="shared" ref="EA25:ET25" si="292">EA23+EA24</f>
        <v>10</v>
      </c>
      <c r="EB25" s="16">
        <f t="shared" si="292"/>
        <v>15</v>
      </c>
      <c r="EC25" s="16">
        <f t="shared" si="292"/>
        <v>15</v>
      </c>
      <c r="ED25" s="16">
        <f t="shared" si="292"/>
        <v>6</v>
      </c>
      <c r="EE25" s="16">
        <f t="shared" si="292"/>
        <v>9</v>
      </c>
      <c r="EF25" s="16">
        <f t="shared" si="292"/>
        <v>21</v>
      </c>
      <c r="EG25" s="16">
        <f t="shared" si="292"/>
        <v>19</v>
      </c>
      <c r="EH25" s="16">
        <f t="shared" si="292"/>
        <v>16</v>
      </c>
      <c r="EI25" s="16">
        <f t="shared" si="292"/>
        <v>36</v>
      </c>
      <c r="EJ25" s="16">
        <f t="shared" si="292"/>
        <v>43</v>
      </c>
      <c r="EK25" s="16">
        <f t="shared" si="292"/>
        <v>25</v>
      </c>
      <c r="EL25" s="16">
        <f t="shared" si="292"/>
        <v>38</v>
      </c>
      <c r="EM25" s="16">
        <f t="shared" si="292"/>
        <v>36</v>
      </c>
      <c r="EN25" s="16">
        <f t="shared" si="292"/>
        <v>33</v>
      </c>
      <c r="EO25" s="16">
        <f t="shared" si="292"/>
        <v>49</v>
      </c>
      <c r="EP25" s="16">
        <f t="shared" si="292"/>
        <v>29</v>
      </c>
      <c r="EQ25" s="16">
        <f t="shared" si="292"/>
        <v>9</v>
      </c>
      <c r="ER25" s="16">
        <f t="shared" si="292"/>
        <v>11</v>
      </c>
      <c r="ES25" s="16">
        <f t="shared" si="292"/>
        <v>0</v>
      </c>
      <c r="ET25" s="16">
        <f t="shared" si="292"/>
        <v>0</v>
      </c>
      <c r="EU25" s="11">
        <f t="shared" si="289"/>
        <v>433</v>
      </c>
      <c r="EV25" s="11">
        <f t="shared" si="282"/>
        <v>15</v>
      </c>
      <c r="EW25" s="11">
        <f t="shared" si="283"/>
        <v>9</v>
      </c>
      <c r="EX25" s="11">
        <f t="shared" si="280"/>
        <v>167</v>
      </c>
      <c r="EY25" s="11">
        <f t="shared" si="284"/>
        <v>98</v>
      </c>
      <c r="EZ25" s="15">
        <f t="shared" si="285"/>
        <v>0.38568129330254042</v>
      </c>
      <c r="FA25" s="15">
        <f t="shared" si="286"/>
        <v>0.22632794457274827</v>
      </c>
      <c r="FB25" s="11">
        <f t="shared" si="290"/>
        <v>55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7</v>
      </c>
      <c r="EA26" s="9">
        <f t="shared" si="293"/>
        <v>10</v>
      </c>
      <c r="EB26" s="9">
        <f t="shared" si="293"/>
        <v>6</v>
      </c>
      <c r="EC26" s="9">
        <f t="shared" si="293"/>
        <v>7</v>
      </c>
      <c r="ED26" s="9">
        <f t="shared" si="293"/>
        <v>5</v>
      </c>
      <c r="EE26" s="9">
        <f t="shared" si="293"/>
        <v>6</v>
      </c>
      <c r="EF26" s="9">
        <f t="shared" si="293"/>
        <v>7</v>
      </c>
      <c r="EG26" s="9">
        <f t="shared" si="293"/>
        <v>14</v>
      </c>
      <c r="EH26" s="9">
        <f t="shared" si="293"/>
        <v>6</v>
      </c>
      <c r="EI26" s="9">
        <f t="shared" si="293"/>
        <v>14</v>
      </c>
      <c r="EJ26" s="9">
        <f t="shared" si="293"/>
        <v>21</v>
      </c>
      <c r="EK26" s="9">
        <f t="shared" si="293"/>
        <v>24</v>
      </c>
      <c r="EL26" s="9">
        <f t="shared" si="293"/>
        <v>5</v>
      </c>
      <c r="EM26" s="9">
        <f t="shared" si="293"/>
        <v>20</v>
      </c>
      <c r="EN26" s="9">
        <f t="shared" si="293"/>
        <v>15</v>
      </c>
      <c r="EO26" s="9">
        <f t="shared" si="293"/>
        <v>13</v>
      </c>
      <c r="EP26" s="9">
        <f t="shared" si="293"/>
        <v>23</v>
      </c>
      <c r="EQ26" s="9">
        <f t="shared" si="293"/>
        <v>6</v>
      </c>
      <c r="ER26" s="9">
        <f t="shared" si="293"/>
        <v>2</v>
      </c>
      <c r="ES26" s="9">
        <f t="shared" si="293"/>
        <v>0</v>
      </c>
      <c r="ET26" s="9">
        <f t="shared" si="293"/>
        <v>0</v>
      </c>
      <c r="EU26" s="9">
        <f t="shared" si="289"/>
        <v>211</v>
      </c>
      <c r="EV26" s="9">
        <f t="shared" si="282"/>
        <v>9.6</v>
      </c>
      <c r="EW26" s="9">
        <f t="shared" si="283"/>
        <v>3.8</v>
      </c>
      <c r="EX26" s="9">
        <f t="shared" si="280"/>
        <v>79</v>
      </c>
      <c r="EY26" s="9">
        <f t="shared" si="284"/>
        <v>44</v>
      </c>
      <c r="EZ26" s="13">
        <f t="shared" si="285"/>
        <v>0.37440758293838861</v>
      </c>
      <c r="FA26" s="13">
        <f t="shared" si="286"/>
        <v>0.20853080568720378</v>
      </c>
      <c r="FB26" s="9">
        <f t="shared" si="290"/>
        <v>32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v>
      </c>
      <c r="EA27" s="10">
        <f t="shared" si="294"/>
        <v>6</v>
      </c>
      <c r="EB27" s="10">
        <f t="shared" si="294"/>
        <v>5</v>
      </c>
      <c r="EC27" s="10">
        <f t="shared" si="294"/>
        <v>5</v>
      </c>
      <c r="ED27" s="10">
        <f t="shared" si="294"/>
        <v>4</v>
      </c>
      <c r="EE27" s="10">
        <f t="shared" si="294"/>
        <v>5</v>
      </c>
      <c r="EF27" s="10">
        <f t="shared" si="294"/>
        <v>9</v>
      </c>
      <c r="EG27" s="10">
        <f t="shared" si="294"/>
        <v>11</v>
      </c>
      <c r="EH27" s="10">
        <f t="shared" si="294"/>
        <v>13</v>
      </c>
      <c r="EI27" s="10">
        <f t="shared" si="294"/>
        <v>11</v>
      </c>
      <c r="EJ27" s="10">
        <f t="shared" si="294"/>
        <v>22</v>
      </c>
      <c r="EK27" s="10">
        <f t="shared" si="294"/>
        <v>19</v>
      </c>
      <c r="EL27" s="10">
        <f t="shared" si="294"/>
        <v>22</v>
      </c>
      <c r="EM27" s="10">
        <f t="shared" si="294"/>
        <v>20</v>
      </c>
      <c r="EN27" s="10">
        <f t="shared" si="294"/>
        <v>19</v>
      </c>
      <c r="EO27" s="10">
        <f t="shared" si="294"/>
        <v>16</v>
      </c>
      <c r="EP27" s="10">
        <f t="shared" si="294"/>
        <v>17</v>
      </c>
      <c r="EQ27" s="10">
        <f t="shared" si="294"/>
        <v>9</v>
      </c>
      <c r="ER27" s="10">
        <f t="shared" si="294"/>
        <v>4</v>
      </c>
      <c r="ES27" s="10">
        <f t="shared" si="294"/>
        <v>0</v>
      </c>
      <c r="ET27" s="10">
        <f t="shared" si="294"/>
        <v>0</v>
      </c>
      <c r="EU27" s="10">
        <f t="shared" si="289"/>
        <v>223</v>
      </c>
      <c r="EV27" s="10">
        <f t="shared" si="282"/>
        <v>6.6</v>
      </c>
      <c r="EW27" s="10">
        <f t="shared" si="283"/>
        <v>3</v>
      </c>
      <c r="EX27" s="10">
        <f t="shared" si="280"/>
        <v>85</v>
      </c>
      <c r="EY27" s="10">
        <f t="shared" si="284"/>
        <v>46</v>
      </c>
      <c r="EZ27" s="14">
        <f t="shared" si="285"/>
        <v>0.3811659192825112</v>
      </c>
      <c r="FA27" s="14">
        <f t="shared" si="286"/>
        <v>0.20627802690582961</v>
      </c>
      <c r="FB27" s="10">
        <f t="shared" si="290"/>
        <v>29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13</v>
      </c>
      <c r="EA28" s="16">
        <f t="shared" ref="EA28:ET28" si="295">EA26+EA27</f>
        <v>16</v>
      </c>
      <c r="EB28" s="16">
        <f t="shared" si="295"/>
        <v>11</v>
      </c>
      <c r="EC28" s="16">
        <f t="shared" si="295"/>
        <v>12</v>
      </c>
      <c r="ED28" s="16">
        <f t="shared" si="295"/>
        <v>9</v>
      </c>
      <c r="EE28" s="16">
        <f t="shared" si="295"/>
        <v>11</v>
      </c>
      <c r="EF28" s="16">
        <f t="shared" si="295"/>
        <v>16</v>
      </c>
      <c r="EG28" s="16">
        <f t="shared" si="295"/>
        <v>25</v>
      </c>
      <c r="EH28" s="16">
        <f t="shared" si="295"/>
        <v>19</v>
      </c>
      <c r="EI28" s="16">
        <f t="shared" si="295"/>
        <v>25</v>
      </c>
      <c r="EJ28" s="16">
        <f t="shared" si="295"/>
        <v>43</v>
      </c>
      <c r="EK28" s="16">
        <f t="shared" si="295"/>
        <v>43</v>
      </c>
      <c r="EL28" s="16">
        <f t="shared" si="295"/>
        <v>27</v>
      </c>
      <c r="EM28" s="16">
        <f t="shared" si="295"/>
        <v>40</v>
      </c>
      <c r="EN28" s="16">
        <f t="shared" si="295"/>
        <v>34</v>
      </c>
      <c r="EO28" s="16">
        <f t="shared" si="295"/>
        <v>29</v>
      </c>
      <c r="EP28" s="16">
        <f t="shared" si="295"/>
        <v>40</v>
      </c>
      <c r="EQ28" s="16">
        <f t="shared" si="295"/>
        <v>15</v>
      </c>
      <c r="ER28" s="16">
        <f t="shared" si="295"/>
        <v>6</v>
      </c>
      <c r="ES28" s="16">
        <f t="shared" si="295"/>
        <v>0</v>
      </c>
      <c r="ET28" s="16">
        <f t="shared" si="295"/>
        <v>0</v>
      </c>
      <c r="EU28" s="11">
        <f t="shared" si="289"/>
        <v>434</v>
      </c>
      <c r="EV28" s="11">
        <f t="shared" si="282"/>
        <v>16.2</v>
      </c>
      <c r="EW28" s="11">
        <f t="shared" si="283"/>
        <v>6.8000000000000007</v>
      </c>
      <c r="EX28" s="11">
        <f t="shared" si="280"/>
        <v>164</v>
      </c>
      <c r="EY28" s="11">
        <f t="shared" si="284"/>
        <v>90</v>
      </c>
      <c r="EZ28" s="15">
        <f t="shared" si="285"/>
        <v>0.37788018433179721</v>
      </c>
      <c r="FA28" s="15">
        <f t="shared" si="286"/>
        <v>0.20737327188940091</v>
      </c>
      <c r="FB28" s="11">
        <f t="shared" si="290"/>
        <v>61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v>
      </c>
      <c r="EA29" s="9">
        <f t="shared" si="296"/>
        <v>10</v>
      </c>
      <c r="EB29" s="9">
        <f t="shared" si="296"/>
        <v>9</v>
      </c>
      <c r="EC29" s="9">
        <f t="shared" si="296"/>
        <v>4</v>
      </c>
      <c r="ED29" s="9">
        <f t="shared" si="296"/>
        <v>5</v>
      </c>
      <c r="EE29" s="9">
        <f t="shared" si="296"/>
        <v>6</v>
      </c>
      <c r="EF29" s="9">
        <f t="shared" si="296"/>
        <v>10</v>
      </c>
      <c r="EG29" s="9">
        <f t="shared" si="296"/>
        <v>10</v>
      </c>
      <c r="EH29" s="9">
        <f t="shared" si="296"/>
        <v>9</v>
      </c>
      <c r="EI29" s="9">
        <f t="shared" si="296"/>
        <v>12</v>
      </c>
      <c r="EJ29" s="9">
        <f t="shared" si="296"/>
        <v>16</v>
      </c>
      <c r="EK29" s="9">
        <f t="shared" si="296"/>
        <v>21</v>
      </c>
      <c r="EL29" s="9">
        <f t="shared" si="296"/>
        <v>26</v>
      </c>
      <c r="EM29" s="9">
        <f t="shared" si="296"/>
        <v>5</v>
      </c>
      <c r="EN29" s="9">
        <f t="shared" si="296"/>
        <v>19</v>
      </c>
      <c r="EO29" s="9">
        <f t="shared" si="296"/>
        <v>16</v>
      </c>
      <c r="EP29" s="9">
        <f t="shared" si="296"/>
        <v>11</v>
      </c>
      <c r="EQ29" s="9">
        <f t="shared" si="296"/>
        <v>8</v>
      </c>
      <c r="ER29" s="9">
        <f t="shared" si="296"/>
        <v>3</v>
      </c>
      <c r="ES29" s="9">
        <f t="shared" si="296"/>
        <v>0</v>
      </c>
      <c r="ET29" s="9">
        <f t="shared" si="296"/>
        <v>0</v>
      </c>
      <c r="EU29" s="9">
        <f t="shared" si="289"/>
        <v>206</v>
      </c>
      <c r="EV29" s="9">
        <f t="shared" si="282"/>
        <v>11.4</v>
      </c>
      <c r="EW29" s="9">
        <f t="shared" si="283"/>
        <v>4.4000000000000004</v>
      </c>
      <c r="EX29" s="9">
        <f t="shared" si="280"/>
        <v>62</v>
      </c>
      <c r="EY29" s="9">
        <f t="shared" si="284"/>
        <v>38</v>
      </c>
      <c r="EZ29" s="13">
        <f t="shared" si="285"/>
        <v>0.30097087378640774</v>
      </c>
      <c r="FA29" s="13">
        <f t="shared" si="286"/>
        <v>0.18446601941747573</v>
      </c>
      <c r="FB29" s="9">
        <f t="shared" si="290"/>
        <v>31</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v>
      </c>
      <c r="EA30" s="10">
        <f t="shared" si="297"/>
        <v>6</v>
      </c>
      <c r="EB30" s="10">
        <f t="shared" si="297"/>
        <v>8</v>
      </c>
      <c r="EC30" s="10">
        <f t="shared" si="297"/>
        <v>3</v>
      </c>
      <c r="ED30" s="10">
        <f t="shared" si="297"/>
        <v>2</v>
      </c>
      <c r="EE30" s="10">
        <f t="shared" si="297"/>
        <v>7</v>
      </c>
      <c r="EF30" s="10">
        <f t="shared" si="297"/>
        <v>8</v>
      </c>
      <c r="EG30" s="10">
        <f t="shared" si="297"/>
        <v>11</v>
      </c>
      <c r="EH30" s="10">
        <f t="shared" si="297"/>
        <v>14</v>
      </c>
      <c r="EI30" s="10">
        <f t="shared" si="297"/>
        <v>17</v>
      </c>
      <c r="EJ30" s="10">
        <f t="shared" si="297"/>
        <v>14</v>
      </c>
      <c r="EK30" s="10">
        <f t="shared" si="297"/>
        <v>22</v>
      </c>
      <c r="EL30" s="10">
        <f t="shared" si="297"/>
        <v>20</v>
      </c>
      <c r="EM30" s="10">
        <f t="shared" si="297"/>
        <v>24</v>
      </c>
      <c r="EN30" s="10">
        <f t="shared" si="297"/>
        <v>19</v>
      </c>
      <c r="EO30" s="10">
        <f t="shared" si="297"/>
        <v>14</v>
      </c>
      <c r="EP30" s="10">
        <f t="shared" si="297"/>
        <v>12</v>
      </c>
      <c r="EQ30" s="10">
        <f t="shared" si="297"/>
        <v>11</v>
      </c>
      <c r="ER30" s="10">
        <f t="shared" si="297"/>
        <v>6</v>
      </c>
      <c r="ES30" s="10">
        <f t="shared" si="297"/>
        <v>0</v>
      </c>
      <c r="ET30" s="10">
        <f t="shared" si="297"/>
        <v>0</v>
      </c>
      <c r="EU30" s="10">
        <f t="shared" si="289"/>
        <v>223</v>
      </c>
      <c r="EV30" s="10">
        <f t="shared" si="282"/>
        <v>8.4</v>
      </c>
      <c r="EW30" s="10">
        <f t="shared" si="283"/>
        <v>3.8000000000000003</v>
      </c>
      <c r="EX30" s="10">
        <f t="shared" si="280"/>
        <v>86</v>
      </c>
      <c r="EY30" s="10">
        <f t="shared" si="284"/>
        <v>43</v>
      </c>
      <c r="EZ30" s="14">
        <f t="shared" si="285"/>
        <v>0.38565022421524664</v>
      </c>
      <c r="FA30" s="14">
        <f t="shared" si="286"/>
        <v>0.19282511210762332</v>
      </c>
      <c r="FB30" s="10">
        <f t="shared" si="290"/>
        <v>28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11</v>
      </c>
      <c r="EA31" s="16">
        <f t="shared" ref="EA31:ET31" si="298">EA29+EA30</f>
        <v>16</v>
      </c>
      <c r="EB31" s="16">
        <f t="shared" si="298"/>
        <v>17</v>
      </c>
      <c r="EC31" s="16">
        <f t="shared" si="298"/>
        <v>7</v>
      </c>
      <c r="ED31" s="16">
        <f t="shared" si="298"/>
        <v>7</v>
      </c>
      <c r="EE31" s="16">
        <f t="shared" si="298"/>
        <v>13</v>
      </c>
      <c r="EF31" s="16">
        <f t="shared" si="298"/>
        <v>18</v>
      </c>
      <c r="EG31" s="16">
        <f t="shared" si="298"/>
        <v>21</v>
      </c>
      <c r="EH31" s="16">
        <f t="shared" si="298"/>
        <v>23</v>
      </c>
      <c r="EI31" s="16">
        <f t="shared" si="298"/>
        <v>29</v>
      </c>
      <c r="EJ31" s="16">
        <f t="shared" si="298"/>
        <v>30</v>
      </c>
      <c r="EK31" s="16">
        <f t="shared" si="298"/>
        <v>43</v>
      </c>
      <c r="EL31" s="16">
        <f t="shared" si="298"/>
        <v>46</v>
      </c>
      <c r="EM31" s="16">
        <f t="shared" si="298"/>
        <v>29</v>
      </c>
      <c r="EN31" s="16">
        <f t="shared" si="298"/>
        <v>38</v>
      </c>
      <c r="EO31" s="16">
        <f t="shared" si="298"/>
        <v>30</v>
      </c>
      <c r="EP31" s="16">
        <f t="shared" si="298"/>
        <v>23</v>
      </c>
      <c r="EQ31" s="16">
        <f t="shared" si="298"/>
        <v>19</v>
      </c>
      <c r="ER31" s="16">
        <f t="shared" si="298"/>
        <v>9</v>
      </c>
      <c r="ES31" s="16">
        <f t="shared" si="298"/>
        <v>0</v>
      </c>
      <c r="ET31" s="16">
        <f t="shared" si="298"/>
        <v>0</v>
      </c>
      <c r="EU31" s="11">
        <f t="shared" si="289"/>
        <v>429</v>
      </c>
      <c r="EV31" s="11">
        <f t="shared" si="282"/>
        <v>19.799999999999997</v>
      </c>
      <c r="EW31" s="11">
        <f t="shared" si="283"/>
        <v>8.1999999999999993</v>
      </c>
      <c r="EX31" s="11">
        <f t="shared" si="280"/>
        <v>148</v>
      </c>
      <c r="EY31" s="11">
        <f t="shared" si="284"/>
        <v>81</v>
      </c>
      <c r="EZ31" s="15">
        <f t="shared" si="285"/>
        <v>0.34498834498834496</v>
      </c>
      <c r="FA31" s="15">
        <f t="shared" si="286"/>
        <v>0.1888111888111888</v>
      </c>
      <c r="FB31" s="11">
        <f t="shared" si="290"/>
        <v>59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209</v>
      </c>
      <c r="D4" s="17">
        <f>SUM(C41:C61)</f>
        <v>250</v>
      </c>
      <c r="E4" s="17">
        <f>C4+D4</f>
        <v>459</v>
      </c>
      <c r="F4" s="85"/>
      <c r="G4" s="1" t="s">
        <v>58</v>
      </c>
      <c r="H4" s="1">
        <f>B4</f>
        <v>2010</v>
      </c>
      <c r="I4" s="17">
        <f>C4</f>
        <v>209</v>
      </c>
      <c r="J4" s="17">
        <f>D4</f>
        <v>250</v>
      </c>
      <c r="K4" s="17">
        <f>I4+J4</f>
        <v>459</v>
      </c>
      <c r="N4" s="1" t="s">
        <v>58</v>
      </c>
      <c r="O4" s="1">
        <f>H4</f>
        <v>2010</v>
      </c>
      <c r="P4" s="17">
        <f>I4</f>
        <v>209</v>
      </c>
      <c r="Q4" s="17">
        <f t="shared" ref="Q4:R4" si="0">J4</f>
        <v>250</v>
      </c>
      <c r="R4" s="17">
        <f t="shared" si="0"/>
        <v>459</v>
      </c>
      <c r="S4" s="1"/>
      <c r="T4" s="1"/>
      <c r="U4" s="1"/>
    </row>
    <row r="5" spans="1:21" x14ac:dyDescent="0.15">
      <c r="A5" s="1" t="s">
        <v>61</v>
      </c>
      <c r="B5" s="1">
        <f>管理者入力シート!B6</f>
        <v>2015</v>
      </c>
      <c r="C5" s="17">
        <f>SUM(B65:B85)</f>
        <v>191</v>
      </c>
      <c r="D5" s="17">
        <f>SUM(C65:C85)</f>
        <v>242</v>
      </c>
      <c r="E5" s="17">
        <f t="shared" ref="E5" si="1">C5+D5</f>
        <v>433</v>
      </c>
      <c r="F5" s="85"/>
      <c r="G5" s="1" t="s">
        <v>57</v>
      </c>
      <c r="H5" s="1">
        <f t="shared" ref="H5:H6" si="2">B5</f>
        <v>2015</v>
      </c>
      <c r="I5" s="17">
        <f t="shared" ref="I5" si="3">C5</f>
        <v>191</v>
      </c>
      <c r="J5" s="17">
        <f>D5</f>
        <v>242</v>
      </c>
      <c r="K5" s="17">
        <f t="shared" ref="K5:K10" si="4">I5+J5</f>
        <v>433</v>
      </c>
      <c r="N5" s="1" t="s">
        <v>57</v>
      </c>
      <c r="O5" s="1">
        <f t="shared" ref="O5:O10" si="5">H5</f>
        <v>2015</v>
      </c>
      <c r="P5" s="17">
        <f t="shared" ref="P5:P10" si="6">I5</f>
        <v>191</v>
      </c>
      <c r="Q5" s="17">
        <f t="shared" ref="Q5:Q10" si="7">J5</f>
        <v>242</v>
      </c>
      <c r="R5" s="17">
        <f t="shared" ref="R5:R10" si="8">K5</f>
        <v>433</v>
      </c>
      <c r="S5" s="1"/>
      <c r="T5" s="1"/>
      <c r="U5" s="1"/>
    </row>
    <row r="6" spans="1:21" x14ac:dyDescent="0.15">
      <c r="A6" s="1" t="s">
        <v>62</v>
      </c>
      <c r="B6" s="1">
        <f>管理者入力シート!B5</f>
        <v>2020</v>
      </c>
      <c r="C6" s="17">
        <f>SUM(B89:B109)</f>
        <v>192</v>
      </c>
      <c r="D6" s="17">
        <f>SUM(C89:C109)</f>
        <v>233</v>
      </c>
      <c r="E6" s="17">
        <f>C6+D6</f>
        <v>425</v>
      </c>
      <c r="F6" s="85"/>
      <c r="G6" s="1" t="s">
        <v>62</v>
      </c>
      <c r="H6" s="1">
        <f t="shared" si="2"/>
        <v>2020</v>
      </c>
      <c r="I6" s="17">
        <f>C6</f>
        <v>192</v>
      </c>
      <c r="J6" s="17">
        <f>D6</f>
        <v>233</v>
      </c>
      <c r="K6" s="17">
        <f t="shared" si="4"/>
        <v>425</v>
      </c>
      <c r="N6" s="1" t="s">
        <v>62</v>
      </c>
      <c r="O6" s="1">
        <f t="shared" si="5"/>
        <v>2020</v>
      </c>
      <c r="P6" s="17">
        <f t="shared" si="6"/>
        <v>192</v>
      </c>
      <c r="Q6" s="17">
        <f t="shared" si="7"/>
        <v>233</v>
      </c>
      <c r="R6" s="17">
        <f t="shared" si="8"/>
        <v>425</v>
      </c>
      <c r="S6" s="1"/>
      <c r="T6" s="1"/>
      <c r="U6" s="1"/>
    </row>
    <row r="7" spans="1:21" x14ac:dyDescent="0.15">
      <c r="G7" s="1" t="s">
        <v>106</v>
      </c>
      <c r="H7" s="1">
        <f>管理者入力シート!B8</f>
        <v>2025</v>
      </c>
      <c r="I7" s="17">
        <f>SUM(H69:H89)</f>
        <v>188</v>
      </c>
      <c r="J7" s="17">
        <f>SUM(I69:I89)</f>
        <v>221</v>
      </c>
      <c r="K7" s="17">
        <f t="shared" si="4"/>
        <v>409</v>
      </c>
      <c r="N7" s="1" t="s">
        <v>106</v>
      </c>
      <c r="O7" s="1">
        <f t="shared" si="5"/>
        <v>2025</v>
      </c>
      <c r="P7" s="17">
        <f t="shared" si="6"/>
        <v>188</v>
      </c>
      <c r="Q7" s="17">
        <f t="shared" si="7"/>
        <v>221</v>
      </c>
      <c r="R7" s="17">
        <f t="shared" si="8"/>
        <v>409</v>
      </c>
      <c r="S7" s="236">
        <f>SUM(O69:O89)</f>
        <v>192</v>
      </c>
      <c r="T7" s="236">
        <f>SUM(P69:P89)</f>
        <v>226</v>
      </c>
      <c r="U7" s="236">
        <f>S7+T7</f>
        <v>418</v>
      </c>
    </row>
    <row r="8" spans="1:21" x14ac:dyDescent="0.15">
      <c r="A8" s="69" t="s">
        <v>71</v>
      </c>
      <c r="G8" s="1" t="s">
        <v>107</v>
      </c>
      <c r="H8" s="1">
        <f>管理者入力シート!B9</f>
        <v>2030</v>
      </c>
      <c r="I8" s="17">
        <f>SUM(H93:H113)</f>
        <v>185</v>
      </c>
      <c r="J8" s="17">
        <f>SUM(I93:I113)</f>
        <v>205</v>
      </c>
      <c r="K8" s="17">
        <f t="shared" si="4"/>
        <v>390</v>
      </c>
      <c r="N8" s="1" t="s">
        <v>107</v>
      </c>
      <c r="O8" s="1">
        <f t="shared" si="5"/>
        <v>2030</v>
      </c>
      <c r="P8" s="17">
        <f t="shared" si="6"/>
        <v>185</v>
      </c>
      <c r="Q8" s="17">
        <f t="shared" si="7"/>
        <v>205</v>
      </c>
      <c r="R8" s="17">
        <f t="shared" si="8"/>
        <v>390</v>
      </c>
      <c r="S8" s="236">
        <f>SUM(O93:O113)</f>
        <v>194</v>
      </c>
      <c r="T8" s="236">
        <f>SUM(P93:P113)</f>
        <v>216</v>
      </c>
      <c r="U8" s="236">
        <f t="shared" ref="U8:U10" si="9">S8+T8</f>
        <v>410</v>
      </c>
    </row>
    <row r="9" spans="1:21" x14ac:dyDescent="0.15">
      <c r="A9" s="2" t="s">
        <v>72</v>
      </c>
      <c r="G9" s="1" t="s">
        <v>108</v>
      </c>
      <c r="H9" s="1">
        <f>管理者入力シート!B10</f>
        <v>2035</v>
      </c>
      <c r="I9" s="17">
        <f>SUM(H117:H137)</f>
        <v>175</v>
      </c>
      <c r="J9" s="17">
        <f>SUM(I117:I137)</f>
        <v>188</v>
      </c>
      <c r="K9" s="17">
        <f t="shared" si="4"/>
        <v>363</v>
      </c>
      <c r="N9" s="1" t="s">
        <v>108</v>
      </c>
      <c r="O9" s="1">
        <f t="shared" si="5"/>
        <v>2035</v>
      </c>
      <c r="P9" s="17">
        <f t="shared" si="6"/>
        <v>175</v>
      </c>
      <c r="Q9" s="17">
        <f t="shared" si="7"/>
        <v>188</v>
      </c>
      <c r="R9" s="17">
        <f t="shared" si="8"/>
        <v>363</v>
      </c>
      <c r="S9" s="236">
        <f>SUM(O117:O137)</f>
        <v>189</v>
      </c>
      <c r="T9" s="236">
        <f>SUM(P117:P137)</f>
        <v>207</v>
      </c>
      <c r="U9" s="236">
        <f t="shared" si="9"/>
        <v>396</v>
      </c>
    </row>
    <row r="10" spans="1:21" x14ac:dyDescent="0.15">
      <c r="A10" s="1" t="s">
        <v>58</v>
      </c>
      <c r="B10" s="1">
        <f>B4</f>
        <v>2010</v>
      </c>
      <c r="C10" s="17">
        <f>ROUND(VLOOKUP(B10&amp;"_3",管理者用人口入力シート!A:AA,26,FALSE),0)</f>
        <v>17</v>
      </c>
      <c r="D10" s="12"/>
      <c r="E10" s="12"/>
      <c r="G10" s="1" t="s">
        <v>109</v>
      </c>
      <c r="H10" s="1">
        <f>管理者入力シート!B11</f>
        <v>2040</v>
      </c>
      <c r="I10" s="17">
        <f>SUM(H141:H161)</f>
        <v>157</v>
      </c>
      <c r="J10" s="17">
        <f>SUM(I141:I161)</f>
        <v>171</v>
      </c>
      <c r="K10" s="17">
        <f t="shared" si="4"/>
        <v>328</v>
      </c>
      <c r="N10" s="1" t="s">
        <v>109</v>
      </c>
      <c r="O10" s="1">
        <f t="shared" si="5"/>
        <v>2040</v>
      </c>
      <c r="P10" s="17">
        <f t="shared" si="6"/>
        <v>157</v>
      </c>
      <c r="Q10" s="17">
        <f t="shared" si="7"/>
        <v>171</v>
      </c>
      <c r="R10" s="17">
        <f t="shared" si="8"/>
        <v>328</v>
      </c>
      <c r="S10" s="236">
        <f>SUM(O141:O161)</f>
        <v>175</v>
      </c>
      <c r="T10" s="236">
        <f>SUM(P141:P161)</f>
        <v>194</v>
      </c>
      <c r="U10" s="236">
        <f t="shared" si="9"/>
        <v>369</v>
      </c>
    </row>
    <row r="11" spans="1:21" x14ac:dyDescent="0.15">
      <c r="A11" s="1" t="s">
        <v>61</v>
      </c>
      <c r="B11" s="1">
        <f t="shared" ref="B11:B12" si="10">B5</f>
        <v>2015</v>
      </c>
      <c r="C11" s="17">
        <f>ROUND(VLOOKUP(B11&amp;"_3",管理者用人口入力シート!A:AA,26,FALSE),0)</f>
        <v>16</v>
      </c>
      <c r="D11" s="12"/>
      <c r="E11" s="12"/>
      <c r="I11" s="12"/>
      <c r="J11" s="12"/>
      <c r="K11" s="12"/>
      <c r="P11" s="12"/>
    </row>
    <row r="12" spans="1:21" x14ac:dyDescent="0.15">
      <c r="A12" s="1" t="s">
        <v>62</v>
      </c>
      <c r="B12" s="1">
        <f t="shared" si="10"/>
        <v>2020</v>
      </c>
      <c r="C12" s="17">
        <f>ROUND(VLOOKUP(B12&amp;"_3",管理者用人口入力シート!A:AA,26,FALSE),0)</f>
        <v>19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12</v>
      </c>
      <c r="D14" s="12"/>
      <c r="E14" s="12"/>
      <c r="G14" s="1" t="s">
        <v>58</v>
      </c>
      <c r="H14" s="1">
        <f>H4</f>
        <v>2010</v>
      </c>
      <c r="I14" s="17">
        <f>C10</f>
        <v>17</v>
      </c>
      <c r="J14" s="12"/>
      <c r="K14" s="12"/>
      <c r="N14" s="1" t="s">
        <v>58</v>
      </c>
      <c r="O14" s="1">
        <f>O4</f>
        <v>2010</v>
      </c>
      <c r="P14" s="17">
        <f>I14</f>
        <v>17</v>
      </c>
      <c r="Q14" s="17"/>
    </row>
    <row r="15" spans="1:21" x14ac:dyDescent="0.15">
      <c r="A15" s="1" t="s">
        <v>61</v>
      </c>
      <c r="B15" s="1">
        <f t="shared" ref="B15:B16" si="11">B5</f>
        <v>2015</v>
      </c>
      <c r="C15" s="17">
        <f>ROUND(VLOOKUP(B15&amp;"_3",管理者用人口入力シート!A:AA,27,FALSE),0)</f>
        <v>8</v>
      </c>
      <c r="D15" s="12"/>
      <c r="E15" s="12"/>
      <c r="G15" s="1" t="s">
        <v>57</v>
      </c>
      <c r="H15" s="1">
        <f t="shared" ref="H15:H20" si="12">H5</f>
        <v>2015</v>
      </c>
      <c r="I15" s="17">
        <f>C11</f>
        <v>16</v>
      </c>
      <c r="J15" s="12"/>
      <c r="K15" s="12"/>
      <c r="N15" s="1" t="s">
        <v>57</v>
      </c>
      <c r="O15" s="1">
        <f t="shared" ref="O15:O20" si="13">O5</f>
        <v>2015</v>
      </c>
      <c r="P15" s="17">
        <f t="shared" ref="P15:P20" si="14">I15</f>
        <v>16</v>
      </c>
      <c r="Q15" s="17"/>
    </row>
    <row r="16" spans="1:21" x14ac:dyDescent="0.15">
      <c r="A16" s="1" t="s">
        <v>62</v>
      </c>
      <c r="B16" s="1">
        <f t="shared" si="11"/>
        <v>2020</v>
      </c>
      <c r="C16" s="17">
        <f>ROUND(VLOOKUP(B16&amp;"_3",管理者用人口入力シート!A:AA,27,FALSE),0)</f>
        <v>7</v>
      </c>
      <c r="D16" s="12"/>
      <c r="E16" s="12"/>
      <c r="G16" s="1" t="s">
        <v>62</v>
      </c>
      <c r="H16" s="1">
        <f t="shared" si="12"/>
        <v>2020</v>
      </c>
      <c r="I16" s="17">
        <f>C12</f>
        <v>19</v>
      </c>
      <c r="J16" s="12"/>
      <c r="K16" s="12"/>
      <c r="N16" s="1" t="s">
        <v>62</v>
      </c>
      <c r="O16" s="1">
        <f t="shared" si="13"/>
        <v>2020</v>
      </c>
      <c r="P16" s="17">
        <f t="shared" si="14"/>
        <v>19</v>
      </c>
      <c r="Q16" s="17"/>
    </row>
    <row r="17" spans="1:17" x14ac:dyDescent="0.15">
      <c r="G17" s="1" t="s">
        <v>106</v>
      </c>
      <c r="H17" s="1">
        <f t="shared" si="12"/>
        <v>2025</v>
      </c>
      <c r="I17" s="17">
        <f>ROUND(VLOOKUP(H17&amp;"_3",管理者用人口入力シート!BH:CM,26,FALSE),0)</f>
        <v>21</v>
      </c>
      <c r="J17" s="12"/>
      <c r="K17" s="12"/>
      <c r="N17" s="1" t="s">
        <v>106</v>
      </c>
      <c r="O17" s="1">
        <f t="shared" si="13"/>
        <v>2025</v>
      </c>
      <c r="P17" s="17">
        <f t="shared" si="14"/>
        <v>21</v>
      </c>
      <c r="Q17" s="17">
        <f>ROUND(VLOOKUP(H17&amp;"_3",管理者用人口入力シート!CO:DT,26,FALSE),0)</f>
        <v>22</v>
      </c>
    </row>
    <row r="18" spans="1:17" x14ac:dyDescent="0.15">
      <c r="A18" s="69" t="s">
        <v>110</v>
      </c>
      <c r="G18" s="1" t="s">
        <v>107</v>
      </c>
      <c r="H18" s="1">
        <f t="shared" si="12"/>
        <v>2030</v>
      </c>
      <c r="I18" s="17">
        <f>ROUND(VLOOKUP(H18&amp;"_3",管理者用人口入力シート!BH:CM,26,FALSE),0)</f>
        <v>15</v>
      </c>
      <c r="J18" s="12"/>
      <c r="K18" s="12"/>
      <c r="N18" s="1" t="s">
        <v>107</v>
      </c>
      <c r="O18" s="1">
        <f t="shared" si="13"/>
        <v>2030</v>
      </c>
      <c r="P18" s="17">
        <f t="shared" si="14"/>
        <v>15</v>
      </c>
      <c r="Q18" s="17">
        <f>ROUND(VLOOKUP(H18&amp;"_3",管理者用人口入力シート!CO:DT,26,FALSE),0)</f>
        <v>18</v>
      </c>
    </row>
    <row r="19" spans="1:17" x14ac:dyDescent="0.15">
      <c r="A19" s="2" t="s">
        <v>84</v>
      </c>
      <c r="G19" s="1" t="s">
        <v>108</v>
      </c>
      <c r="H19" s="1">
        <f t="shared" si="12"/>
        <v>2035</v>
      </c>
      <c r="I19" s="17">
        <f>ROUND(VLOOKUP(H19&amp;"_3",管理者用人口入力シート!BH:CM,26,FALSE),0)</f>
        <v>11</v>
      </c>
      <c r="J19" s="12"/>
      <c r="K19" s="12"/>
      <c r="N19" s="1" t="s">
        <v>108</v>
      </c>
      <c r="O19" s="1">
        <f t="shared" si="13"/>
        <v>2035</v>
      </c>
      <c r="P19" s="17">
        <f t="shared" si="14"/>
        <v>11</v>
      </c>
      <c r="Q19" s="17">
        <f>ROUND(VLOOKUP(H19&amp;"_3",管理者用人口入力シート!CO:DT,26,FALSE),0)</f>
        <v>17</v>
      </c>
    </row>
    <row r="20" spans="1:17" x14ac:dyDescent="0.15">
      <c r="A20" s="1" t="s">
        <v>58</v>
      </c>
      <c r="B20" s="1">
        <f>B4</f>
        <v>2010</v>
      </c>
      <c r="C20" s="17">
        <f>SUM(B54:C61)</f>
        <v>137</v>
      </c>
      <c r="D20" s="12"/>
      <c r="E20" s="12"/>
      <c r="G20" s="1" t="s">
        <v>109</v>
      </c>
      <c r="H20" s="1">
        <f t="shared" si="12"/>
        <v>2040</v>
      </c>
      <c r="I20" s="17">
        <f>ROUND(VLOOKUP(H20&amp;"_3",管理者用人口入力シート!BH:CM,26,FALSE),0)</f>
        <v>9</v>
      </c>
      <c r="J20" s="12"/>
      <c r="K20" s="12"/>
      <c r="N20" s="1" t="s">
        <v>109</v>
      </c>
      <c r="O20" s="1">
        <f t="shared" si="13"/>
        <v>2040</v>
      </c>
      <c r="P20" s="17">
        <f t="shared" si="14"/>
        <v>9</v>
      </c>
      <c r="Q20" s="17">
        <f>ROUND(VLOOKUP(H20&amp;"_3",管理者用人口入力シート!CO:DT,26,FALSE),0)</f>
        <v>17</v>
      </c>
    </row>
    <row r="21" spans="1:17" x14ac:dyDescent="0.15">
      <c r="A21" s="1" t="s">
        <v>61</v>
      </c>
      <c r="B21" s="1">
        <f t="shared" ref="B21:B22" si="15">B5</f>
        <v>2015</v>
      </c>
      <c r="C21" s="17">
        <f>SUM(B78:C85)</f>
        <v>159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176</v>
      </c>
      <c r="D22" s="12"/>
      <c r="E22" s="12"/>
      <c r="G22" s="1" t="s">
        <v>58</v>
      </c>
      <c r="H22" s="1">
        <f>H4</f>
        <v>2010</v>
      </c>
      <c r="I22" s="17">
        <f>C14</f>
        <v>12</v>
      </c>
      <c r="J22" s="12"/>
      <c r="K22" s="12"/>
      <c r="N22" s="1" t="s">
        <v>58</v>
      </c>
      <c r="O22" s="1">
        <f>O4</f>
        <v>2010</v>
      </c>
      <c r="P22" s="17">
        <f>I22</f>
        <v>12</v>
      </c>
      <c r="Q22" s="17"/>
    </row>
    <row r="23" spans="1:17" x14ac:dyDescent="0.15">
      <c r="A23" s="2" t="s">
        <v>86</v>
      </c>
      <c r="G23" s="1" t="s">
        <v>57</v>
      </c>
      <c r="H23" s="1">
        <f t="shared" ref="H23:H28" si="16">H5</f>
        <v>2015</v>
      </c>
      <c r="I23" s="17">
        <f t="shared" ref="I23:I24" si="17">C15</f>
        <v>8</v>
      </c>
      <c r="J23" s="12"/>
      <c r="K23" s="12"/>
      <c r="N23" s="1" t="s">
        <v>57</v>
      </c>
      <c r="O23" s="1">
        <f t="shared" ref="O23:O28" si="18">O5</f>
        <v>2015</v>
      </c>
      <c r="P23" s="17">
        <f t="shared" ref="P23:P28" si="19">I23</f>
        <v>8</v>
      </c>
      <c r="Q23" s="17"/>
    </row>
    <row r="24" spans="1:17" x14ac:dyDescent="0.15">
      <c r="A24" s="1" t="s">
        <v>58</v>
      </c>
      <c r="B24" s="1">
        <f>B4</f>
        <v>2010</v>
      </c>
      <c r="C24" s="17">
        <f>SUM(B56:C61)</f>
        <v>66</v>
      </c>
      <c r="D24" s="12"/>
      <c r="E24" s="12"/>
      <c r="G24" s="1" t="s">
        <v>62</v>
      </c>
      <c r="H24" s="1">
        <f t="shared" si="16"/>
        <v>2020</v>
      </c>
      <c r="I24" s="17">
        <f t="shared" si="17"/>
        <v>7</v>
      </c>
      <c r="J24" s="12"/>
      <c r="K24" s="12"/>
      <c r="N24" s="1" t="s">
        <v>62</v>
      </c>
      <c r="O24" s="1">
        <f t="shared" si="18"/>
        <v>2020</v>
      </c>
      <c r="P24" s="17">
        <f t="shared" si="19"/>
        <v>7</v>
      </c>
      <c r="Q24" s="17"/>
    </row>
    <row r="25" spans="1:17" x14ac:dyDescent="0.15">
      <c r="A25" s="1" t="s">
        <v>61</v>
      </c>
      <c r="B25" s="1">
        <f t="shared" ref="B25:B26" si="20">B5</f>
        <v>2015</v>
      </c>
      <c r="C25" s="17">
        <f>SUM(B80:C85)</f>
        <v>85</v>
      </c>
      <c r="D25" s="12"/>
      <c r="E25" s="12"/>
      <c r="G25" s="1" t="s">
        <v>106</v>
      </c>
      <c r="H25" s="1">
        <f t="shared" si="16"/>
        <v>2025</v>
      </c>
      <c r="I25" s="17">
        <f>ROUND(VLOOKUP(H25&amp;"_3",管理者用人口入力シート!BH:CM,27,FALSE),0)</f>
        <v>10</v>
      </c>
      <c r="J25" s="12"/>
      <c r="K25" s="12"/>
      <c r="N25" s="1" t="s">
        <v>106</v>
      </c>
      <c r="O25" s="1">
        <f t="shared" si="18"/>
        <v>2025</v>
      </c>
      <c r="P25" s="17">
        <f t="shared" si="19"/>
        <v>10</v>
      </c>
      <c r="Q25" s="17">
        <f>ROUND(VLOOKUP(H17&amp;"_3",管理者用人口入力シート!CO:DT,27,FALSE),0)</f>
        <v>11</v>
      </c>
    </row>
    <row r="26" spans="1:17" x14ac:dyDescent="0.15">
      <c r="A26" s="1" t="s">
        <v>62</v>
      </c>
      <c r="B26" s="1">
        <f t="shared" si="20"/>
        <v>2020</v>
      </c>
      <c r="C26" s="17">
        <f>SUM(B104:C109)</f>
        <v>78</v>
      </c>
      <c r="D26" s="12"/>
      <c r="E26" s="12"/>
      <c r="G26" s="1" t="s">
        <v>107</v>
      </c>
      <c r="H26" s="1">
        <f t="shared" si="16"/>
        <v>2030</v>
      </c>
      <c r="I26" s="17">
        <f>ROUND(VLOOKUP(H26&amp;"_3",管理者用人口入力シート!BH:CM,27,FALSE),0)</f>
        <v>9</v>
      </c>
      <c r="J26" s="12"/>
      <c r="K26" s="12"/>
      <c r="N26" s="1" t="s">
        <v>107</v>
      </c>
      <c r="O26" s="1">
        <f t="shared" si="18"/>
        <v>2030</v>
      </c>
      <c r="P26" s="17">
        <f t="shared" si="19"/>
        <v>9</v>
      </c>
      <c r="Q26" s="17">
        <f>ROUND(VLOOKUP(H18&amp;"_3",管理者用人口入力シート!CO:DT,27,FALSE),0)</f>
        <v>10</v>
      </c>
    </row>
    <row r="27" spans="1:17" x14ac:dyDescent="0.15">
      <c r="G27" s="1" t="s">
        <v>108</v>
      </c>
      <c r="H27" s="1">
        <f t="shared" si="16"/>
        <v>2035</v>
      </c>
      <c r="I27" s="17">
        <f>ROUND(VLOOKUP(H27&amp;"_3",管理者用人口入力シート!BH:CM,27,FALSE),0)</f>
        <v>6</v>
      </c>
      <c r="J27" s="12"/>
      <c r="K27" s="12"/>
      <c r="N27" s="1" t="s">
        <v>108</v>
      </c>
      <c r="O27" s="1">
        <f t="shared" si="18"/>
        <v>2035</v>
      </c>
      <c r="P27" s="17">
        <f t="shared" si="19"/>
        <v>6</v>
      </c>
      <c r="Q27" s="17">
        <f>ROUND(VLOOKUP(H19&amp;"_3",管理者用人口入力シート!CO:DT,27,FALSE),0)</f>
        <v>9</v>
      </c>
    </row>
    <row r="28" spans="1:17" x14ac:dyDescent="0.15">
      <c r="A28" s="69" t="s">
        <v>85</v>
      </c>
      <c r="G28" s="1" t="s">
        <v>109</v>
      </c>
      <c r="H28" s="1">
        <f t="shared" si="16"/>
        <v>2040</v>
      </c>
      <c r="I28" s="17">
        <f>ROUND(VLOOKUP(H28&amp;"_3",管理者用人口入力シート!BH:CM,27,FALSE),0)</f>
        <v>5</v>
      </c>
      <c r="J28" s="12"/>
      <c r="K28" s="12"/>
      <c r="N28" s="1" t="s">
        <v>109</v>
      </c>
      <c r="O28" s="1">
        <f t="shared" si="18"/>
        <v>2040</v>
      </c>
      <c r="P28" s="17">
        <f t="shared" si="19"/>
        <v>5</v>
      </c>
      <c r="Q28" s="17">
        <f>ROUND(VLOOKUP(H20&amp;"_3",管理者用人口入力シート!CO:DT,27,FALSE),0)</f>
        <v>9</v>
      </c>
    </row>
    <row r="29" spans="1:17" x14ac:dyDescent="0.15">
      <c r="A29" s="2" t="s">
        <v>84</v>
      </c>
    </row>
    <row r="30" spans="1:17" x14ac:dyDescent="0.15">
      <c r="A30" s="1" t="s">
        <v>58</v>
      </c>
      <c r="B30" s="1">
        <f>B4</f>
        <v>2010</v>
      </c>
      <c r="C30" s="38">
        <f>ROUND((SUM(B54:C61)/SUM(B41:C61)),2)</f>
        <v>0.3</v>
      </c>
      <c r="D30" s="205"/>
      <c r="E30" s="205"/>
      <c r="G30" s="69" t="s">
        <v>110</v>
      </c>
      <c r="N30" s="69" t="s">
        <v>110</v>
      </c>
    </row>
    <row r="31" spans="1:17" x14ac:dyDescent="0.15">
      <c r="A31" s="1" t="s">
        <v>61</v>
      </c>
      <c r="B31" s="1">
        <f t="shared" ref="B31:B32" si="21">B5</f>
        <v>2015</v>
      </c>
      <c r="C31" s="38">
        <f>ROUND((SUM(B78:C85)/SUM(B65:C85)),2)</f>
        <v>0.37</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0.41</v>
      </c>
      <c r="D32" s="205"/>
      <c r="E32" s="205"/>
      <c r="G32" s="1" t="s">
        <v>58</v>
      </c>
      <c r="H32" s="1">
        <f>H4</f>
        <v>2010</v>
      </c>
      <c r="I32" s="17">
        <f>C20</f>
        <v>137</v>
      </c>
      <c r="J32" s="12"/>
      <c r="K32" s="12"/>
      <c r="N32" s="1" t="s">
        <v>58</v>
      </c>
      <c r="O32" s="1">
        <f>O4</f>
        <v>2010</v>
      </c>
      <c r="P32" s="17">
        <f>I32</f>
        <v>137</v>
      </c>
      <c r="Q32" s="17"/>
    </row>
    <row r="33" spans="1:17" x14ac:dyDescent="0.15">
      <c r="A33" s="2" t="s">
        <v>86</v>
      </c>
      <c r="G33" s="1" t="s">
        <v>57</v>
      </c>
      <c r="H33" s="1">
        <f t="shared" ref="H33:H38" si="22">H5</f>
        <v>2015</v>
      </c>
      <c r="I33" s="17">
        <f>C21</f>
        <v>159</v>
      </c>
      <c r="J33" s="12"/>
      <c r="K33" s="12"/>
      <c r="N33" s="1" t="s">
        <v>57</v>
      </c>
      <c r="O33" s="1">
        <f t="shared" ref="O33:O38" si="23">O5</f>
        <v>2015</v>
      </c>
      <c r="P33" s="17">
        <f t="shared" ref="P33:P38" si="24">I33</f>
        <v>159</v>
      </c>
      <c r="Q33" s="17"/>
    </row>
    <row r="34" spans="1:17" x14ac:dyDescent="0.15">
      <c r="A34" s="1" t="s">
        <v>58</v>
      </c>
      <c r="B34" s="1">
        <f>B4</f>
        <v>2010</v>
      </c>
      <c r="C34" s="38">
        <f>ROUND((SUM(B56:C61)/SUM(B41:C61)),2)</f>
        <v>0.14000000000000001</v>
      </c>
      <c r="D34" s="205"/>
      <c r="E34" s="205"/>
      <c r="G34" s="1" t="s">
        <v>62</v>
      </c>
      <c r="H34" s="1">
        <f t="shared" si="22"/>
        <v>2020</v>
      </c>
      <c r="I34" s="17">
        <f>C22</f>
        <v>176</v>
      </c>
      <c r="J34" s="12"/>
      <c r="K34" s="12"/>
      <c r="N34" s="1" t="s">
        <v>62</v>
      </c>
      <c r="O34" s="1">
        <f t="shared" si="23"/>
        <v>2020</v>
      </c>
      <c r="P34" s="17">
        <f t="shared" si="24"/>
        <v>176</v>
      </c>
      <c r="Q34" s="17"/>
    </row>
    <row r="35" spans="1:17" x14ac:dyDescent="0.15">
      <c r="A35" s="1" t="s">
        <v>61</v>
      </c>
      <c r="B35" s="1">
        <f t="shared" ref="B35:B36" si="25">B5</f>
        <v>2015</v>
      </c>
      <c r="C35" s="38">
        <f>ROUND((SUM(B80:C85)/SUM(B65:C85)),2)</f>
        <v>0.2</v>
      </c>
      <c r="D35" s="205"/>
      <c r="E35" s="205"/>
      <c r="G35" s="1" t="s">
        <v>106</v>
      </c>
      <c r="H35" s="1">
        <f t="shared" si="22"/>
        <v>2025</v>
      </c>
      <c r="I35" s="17">
        <f>SUM(H82:I89)</f>
        <v>171</v>
      </c>
      <c r="J35" s="12"/>
      <c r="K35" s="12"/>
      <c r="N35" s="1" t="s">
        <v>106</v>
      </c>
      <c r="O35" s="1">
        <f t="shared" si="23"/>
        <v>2025</v>
      </c>
      <c r="P35" s="17">
        <f t="shared" si="24"/>
        <v>171</v>
      </c>
      <c r="Q35" s="17">
        <f>SUM(O82:P89)</f>
        <v>171</v>
      </c>
    </row>
    <row r="36" spans="1:17" x14ac:dyDescent="0.15">
      <c r="A36" s="1" t="s">
        <v>62</v>
      </c>
      <c r="B36" s="1">
        <f t="shared" si="25"/>
        <v>2020</v>
      </c>
      <c r="C36" s="38">
        <f>ROUND((SUM(B104:C109)/SUM(B89:C109)),2)</f>
        <v>0.18</v>
      </c>
      <c r="D36" s="205"/>
      <c r="E36" s="205"/>
      <c r="G36" s="1" t="s">
        <v>107</v>
      </c>
      <c r="H36" s="1">
        <f t="shared" si="22"/>
        <v>2030</v>
      </c>
      <c r="I36" s="17">
        <f>SUM(H106:I113)</f>
        <v>167</v>
      </c>
      <c r="J36" s="12"/>
      <c r="K36" s="12"/>
      <c r="N36" s="1" t="s">
        <v>107</v>
      </c>
      <c r="O36" s="1">
        <f t="shared" si="23"/>
        <v>2030</v>
      </c>
      <c r="P36" s="17">
        <f t="shared" si="24"/>
        <v>167</v>
      </c>
      <c r="Q36" s="17">
        <f>SUM(O106:P113)</f>
        <v>167</v>
      </c>
    </row>
    <row r="37" spans="1:17" x14ac:dyDescent="0.15">
      <c r="G37" s="1" t="s">
        <v>108</v>
      </c>
      <c r="H37" s="1">
        <f t="shared" si="22"/>
        <v>2035</v>
      </c>
      <c r="I37" s="17">
        <f>SUM(H130:I137)</f>
        <v>164</v>
      </c>
      <c r="J37" s="12"/>
      <c r="K37" s="12"/>
      <c r="N37" s="1" t="s">
        <v>108</v>
      </c>
      <c r="O37" s="1">
        <f t="shared" si="23"/>
        <v>2035</v>
      </c>
      <c r="P37" s="17">
        <f t="shared" si="24"/>
        <v>164</v>
      </c>
      <c r="Q37" s="17">
        <f>SUM(O130:P137)</f>
        <v>164</v>
      </c>
    </row>
    <row r="38" spans="1:17" x14ac:dyDescent="0.15">
      <c r="A38" s="69" t="s">
        <v>113</v>
      </c>
      <c r="G38" s="1" t="s">
        <v>109</v>
      </c>
      <c r="H38" s="1">
        <f t="shared" si="22"/>
        <v>2040</v>
      </c>
      <c r="I38" s="17">
        <f>SUM(H154:I161)</f>
        <v>148</v>
      </c>
      <c r="J38" s="12"/>
      <c r="K38" s="12"/>
      <c r="N38" s="1" t="s">
        <v>109</v>
      </c>
      <c r="O38" s="1">
        <f t="shared" si="23"/>
        <v>2040</v>
      </c>
      <c r="P38" s="17">
        <f t="shared" si="24"/>
        <v>148</v>
      </c>
      <c r="Q38" s="17">
        <f>SUM(O154:P161)</f>
        <v>148</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66</v>
      </c>
      <c r="J40" s="12"/>
      <c r="K40" s="12"/>
      <c r="N40" s="1" t="s">
        <v>58</v>
      </c>
      <c r="O40" s="1">
        <f>O4</f>
        <v>2010</v>
      </c>
      <c r="P40" s="17">
        <f>I40</f>
        <v>66</v>
      </c>
      <c r="Q40" s="17"/>
    </row>
    <row r="41" spans="1:17" x14ac:dyDescent="0.15">
      <c r="A41" s="2" t="s">
        <v>0</v>
      </c>
      <c r="B41" s="17">
        <f>ROUND(VLOOKUP(B$39&amp;"_1",管理者用人口入力シート!A:X,D41,FALSE),0)</f>
        <v>8</v>
      </c>
      <c r="C41" s="17">
        <f>ROUND(VLOOKUP(B$39&amp;"_2",管理者用人口入力シート!A:X,D41,FALSE),0)</f>
        <v>8</v>
      </c>
      <c r="D41" s="2">
        <v>4</v>
      </c>
      <c r="G41" s="1" t="s">
        <v>57</v>
      </c>
      <c r="H41" s="1">
        <f t="shared" ref="H41:H46" si="26">H5</f>
        <v>2015</v>
      </c>
      <c r="I41" s="17">
        <f>C25</f>
        <v>85</v>
      </c>
      <c r="J41" s="12"/>
      <c r="K41" s="12"/>
      <c r="N41" s="1" t="s">
        <v>57</v>
      </c>
      <c r="O41" s="1">
        <f t="shared" ref="O41:O46" si="27">O5</f>
        <v>2015</v>
      </c>
      <c r="P41" s="17">
        <f t="shared" ref="P41:P46" si="28">I41</f>
        <v>85</v>
      </c>
      <c r="Q41" s="17"/>
    </row>
    <row r="42" spans="1:17" x14ac:dyDescent="0.15">
      <c r="A42" s="2" t="s">
        <v>1</v>
      </c>
      <c r="B42" s="17">
        <f>ROUND(VLOOKUP(B$39&amp;"_1",管理者用人口入力シート!A:X,D42,FALSE),0)</f>
        <v>1</v>
      </c>
      <c r="C42" s="17">
        <f>ROUND(VLOOKUP(B$39&amp;"_2",管理者用人口入力シート!A:X,D42,FALSE),0)</f>
        <v>7</v>
      </c>
      <c r="D42" s="2">
        <v>5</v>
      </c>
      <c r="G42" s="1" t="s">
        <v>62</v>
      </c>
      <c r="H42" s="1">
        <f t="shared" si="26"/>
        <v>2020</v>
      </c>
      <c r="I42" s="17">
        <f>C26</f>
        <v>78</v>
      </c>
      <c r="J42" s="12"/>
      <c r="K42" s="12"/>
      <c r="N42" s="1" t="s">
        <v>62</v>
      </c>
      <c r="O42" s="1">
        <f t="shared" si="27"/>
        <v>2020</v>
      </c>
      <c r="P42" s="17">
        <f t="shared" si="28"/>
        <v>78</v>
      </c>
      <c r="Q42" s="17"/>
    </row>
    <row r="43" spans="1:17" x14ac:dyDescent="0.15">
      <c r="A43" s="2" t="s">
        <v>2</v>
      </c>
      <c r="B43" s="17">
        <f>ROUND(VLOOKUP(B$39&amp;"_1",管理者用人口入力シート!A:X,D43,FALSE),0)</f>
        <v>8</v>
      </c>
      <c r="C43" s="17">
        <f>ROUND(VLOOKUP(B$39&amp;"_2",管理者用人口入力シート!A:X,D43,FALSE),0)</f>
        <v>12</v>
      </c>
      <c r="D43" s="2">
        <v>6</v>
      </c>
      <c r="G43" s="1" t="s">
        <v>106</v>
      </c>
      <c r="H43" s="1">
        <f t="shared" si="26"/>
        <v>2025</v>
      </c>
      <c r="I43" s="17">
        <f>SUM(H84:I89)</f>
        <v>82</v>
      </c>
      <c r="J43" s="12"/>
      <c r="K43" s="12"/>
      <c r="N43" s="1" t="s">
        <v>106</v>
      </c>
      <c r="O43" s="1">
        <f t="shared" si="27"/>
        <v>2025</v>
      </c>
      <c r="P43" s="17">
        <f t="shared" si="28"/>
        <v>82</v>
      </c>
      <c r="Q43" s="17">
        <f>SUM(O84:P89)</f>
        <v>82</v>
      </c>
    </row>
    <row r="44" spans="1:17" x14ac:dyDescent="0.15">
      <c r="A44" s="2" t="s">
        <v>3</v>
      </c>
      <c r="B44" s="17">
        <f>ROUND(VLOOKUP(B$39&amp;"_1",管理者用人口入力シート!A:X,D44,FALSE),0)</f>
        <v>11</v>
      </c>
      <c r="C44" s="17">
        <f>ROUND(VLOOKUP(B$39&amp;"_2",管理者用人口入力シート!A:X,D44,FALSE),0)</f>
        <v>9</v>
      </c>
      <c r="D44" s="2">
        <v>7</v>
      </c>
      <c r="G44" s="1" t="s">
        <v>107</v>
      </c>
      <c r="H44" s="1">
        <f t="shared" si="26"/>
        <v>2030</v>
      </c>
      <c r="I44" s="17">
        <f>SUM(H108:I113)</f>
        <v>98</v>
      </c>
      <c r="J44" s="12"/>
      <c r="K44" s="12"/>
      <c r="N44" s="1" t="s">
        <v>107</v>
      </c>
      <c r="O44" s="1">
        <f t="shared" si="27"/>
        <v>2030</v>
      </c>
      <c r="P44" s="17">
        <f t="shared" si="28"/>
        <v>98</v>
      </c>
      <c r="Q44" s="17">
        <f>SUM(O108:P113)</f>
        <v>98</v>
      </c>
    </row>
    <row r="45" spans="1:17" x14ac:dyDescent="0.15">
      <c r="A45" s="2" t="s">
        <v>4</v>
      </c>
      <c r="B45" s="17">
        <f>ROUND(VLOOKUP(B$39&amp;"_1",管理者用人口入力シート!A:X,D45,FALSE),0)</f>
        <v>8</v>
      </c>
      <c r="C45" s="17">
        <f>ROUND(VLOOKUP(B$39&amp;"_2",管理者用人口入力シート!A:X,D45,FALSE),0)</f>
        <v>7</v>
      </c>
      <c r="D45" s="2">
        <v>8</v>
      </c>
      <c r="G45" s="1" t="s">
        <v>108</v>
      </c>
      <c r="H45" s="1">
        <f t="shared" si="26"/>
        <v>2035</v>
      </c>
      <c r="I45" s="17">
        <f>SUM(H132:I137)</f>
        <v>90</v>
      </c>
      <c r="J45" s="12"/>
      <c r="K45" s="12"/>
      <c r="N45" s="1" t="s">
        <v>108</v>
      </c>
      <c r="O45" s="1">
        <f t="shared" si="27"/>
        <v>2035</v>
      </c>
      <c r="P45" s="17">
        <f t="shared" si="28"/>
        <v>90</v>
      </c>
      <c r="Q45" s="17">
        <f>SUM(O132:P137)</f>
        <v>90</v>
      </c>
    </row>
    <row r="46" spans="1:17" x14ac:dyDescent="0.15">
      <c r="A46" s="2" t="s">
        <v>5</v>
      </c>
      <c r="B46" s="17">
        <f>ROUND(VLOOKUP(B$39&amp;"_1",管理者用人口入力シート!A:X,D46,FALSE),0)</f>
        <v>17</v>
      </c>
      <c r="C46" s="17">
        <f>ROUND(VLOOKUP(B$39&amp;"_2",管理者用人口入力シート!A:X,D46,FALSE),0)</f>
        <v>12</v>
      </c>
      <c r="D46" s="2">
        <v>9</v>
      </c>
      <c r="G46" s="1" t="s">
        <v>109</v>
      </c>
      <c r="H46" s="1">
        <f t="shared" si="26"/>
        <v>2040</v>
      </c>
      <c r="I46" s="17">
        <f>SUM(H156:I161)</f>
        <v>81</v>
      </c>
      <c r="J46" s="12"/>
      <c r="K46" s="12"/>
      <c r="N46" s="1" t="s">
        <v>109</v>
      </c>
      <c r="O46" s="1">
        <f t="shared" si="27"/>
        <v>2040</v>
      </c>
      <c r="P46" s="17">
        <f t="shared" si="28"/>
        <v>81</v>
      </c>
      <c r="Q46" s="17">
        <f>SUM(O156:P161)</f>
        <v>81</v>
      </c>
    </row>
    <row r="47" spans="1:17" x14ac:dyDescent="0.15">
      <c r="A47" s="2" t="s">
        <v>6</v>
      </c>
      <c r="B47" s="17">
        <f>ROUND(VLOOKUP(B$39&amp;"_1",管理者用人口入力シート!A:X,D47,FALSE),0)</f>
        <v>12</v>
      </c>
      <c r="C47" s="17">
        <f>ROUND(VLOOKUP(B$39&amp;"_2",管理者用人口入力シート!A:X,D47,FALSE),0)</f>
        <v>11</v>
      </c>
      <c r="D47" s="2">
        <v>10</v>
      </c>
    </row>
    <row r="48" spans="1:17" x14ac:dyDescent="0.15">
      <c r="A48" s="2" t="s">
        <v>7</v>
      </c>
      <c r="B48" s="17">
        <f>ROUND(VLOOKUP(B$39&amp;"_1",管理者用人口入力シート!A:X,D48,FALSE),0)</f>
        <v>2</v>
      </c>
      <c r="C48" s="17">
        <f>ROUND(VLOOKUP(B$39&amp;"_2",管理者用人口入力シート!A:X,D48,FALSE),0)</f>
        <v>10</v>
      </c>
      <c r="D48" s="2">
        <v>11</v>
      </c>
      <c r="G48" s="69" t="s">
        <v>85</v>
      </c>
      <c r="N48" s="69" t="s">
        <v>85</v>
      </c>
    </row>
    <row r="49" spans="1:17" x14ac:dyDescent="0.15">
      <c r="A49" s="2" t="s">
        <v>8</v>
      </c>
      <c r="B49" s="17">
        <f>ROUND(VLOOKUP(B$39&amp;"_1",管理者用人口入力シート!A:X,D49,FALSE),0)</f>
        <v>16</v>
      </c>
      <c r="C49" s="17">
        <f>ROUND(VLOOKUP(B$39&amp;"_2",管理者用人口入力シート!A:X,D49,FALSE),0)</f>
        <v>12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12</v>
      </c>
      <c r="C50" s="17">
        <f>ROUND(VLOOKUP(B$39&amp;"_2",管理者用人口入力シート!A:X,D50,FALSE),0)</f>
        <v>15</v>
      </c>
      <c r="D50" s="2">
        <v>13</v>
      </c>
      <c r="G50" s="1" t="s">
        <v>58</v>
      </c>
      <c r="H50" s="1">
        <f>H4</f>
        <v>2010</v>
      </c>
      <c r="I50" s="38">
        <f>C30</f>
        <v>0.3</v>
      </c>
      <c r="J50" s="205"/>
      <c r="K50" s="205"/>
      <c r="N50" s="1" t="s">
        <v>58</v>
      </c>
      <c r="O50" s="1">
        <f>O4</f>
        <v>2010</v>
      </c>
      <c r="P50" s="38">
        <f t="shared" ref="P50:P56" si="29">I50</f>
        <v>0.3</v>
      </c>
      <c r="Q50" s="1"/>
    </row>
    <row r="51" spans="1:17" x14ac:dyDescent="0.15">
      <c r="A51" s="2" t="s">
        <v>10</v>
      </c>
      <c r="B51" s="17">
        <f>ROUND(VLOOKUP(B$39&amp;"_1",管理者用人口入力シート!A:X,D51,FALSE),0)</f>
        <v>11</v>
      </c>
      <c r="C51" s="17">
        <f>ROUND(VLOOKUP(B$39&amp;"_2",管理者用人口入力シート!A:X,D51,FALSE),0)</f>
        <v>18</v>
      </c>
      <c r="D51" s="2">
        <v>14</v>
      </c>
      <c r="G51" s="1" t="s">
        <v>57</v>
      </c>
      <c r="H51" s="1">
        <f t="shared" ref="H51:H56" si="30">H5</f>
        <v>2015</v>
      </c>
      <c r="I51" s="38">
        <f t="shared" ref="I51:I52" si="31">C31</f>
        <v>0.37</v>
      </c>
      <c r="J51" s="205"/>
      <c r="K51" s="205"/>
      <c r="N51" s="1" t="s">
        <v>57</v>
      </c>
      <c r="O51" s="1">
        <f t="shared" ref="O51:O56" si="32">O5</f>
        <v>2015</v>
      </c>
      <c r="P51" s="38">
        <f t="shared" si="29"/>
        <v>0.37</v>
      </c>
      <c r="Q51" s="1"/>
    </row>
    <row r="52" spans="1:17" x14ac:dyDescent="0.15">
      <c r="A52" s="2" t="s">
        <v>11</v>
      </c>
      <c r="B52" s="17">
        <f>ROUND(VLOOKUP(B$39&amp;"_1",管理者用人口入力シート!A:X,D52,FALSE),0)</f>
        <v>26</v>
      </c>
      <c r="C52" s="17">
        <f>ROUND(VLOOKUP(B$39&amp;"_2",管理者用人口入力シート!A:X,D52,FALSE),0)</f>
        <v>28</v>
      </c>
      <c r="D52" s="2">
        <v>15</v>
      </c>
      <c r="G52" s="1" t="s">
        <v>62</v>
      </c>
      <c r="H52" s="1">
        <f t="shared" si="30"/>
        <v>2020</v>
      </c>
      <c r="I52" s="38">
        <f t="shared" si="31"/>
        <v>0.41</v>
      </c>
      <c r="J52" s="205"/>
      <c r="K52" s="205"/>
      <c r="N52" s="1" t="s">
        <v>62</v>
      </c>
      <c r="O52" s="1">
        <f t="shared" si="32"/>
        <v>2020</v>
      </c>
      <c r="P52" s="38">
        <f t="shared" si="29"/>
        <v>0.41</v>
      </c>
      <c r="Q52" s="1"/>
    </row>
    <row r="53" spans="1:17" x14ac:dyDescent="0.15">
      <c r="A53" s="2" t="s">
        <v>12</v>
      </c>
      <c r="B53" s="17">
        <f>ROUND(VLOOKUP(B$39&amp;"_1",管理者用人口入力シート!A:X,D53,FALSE),0)</f>
        <v>19</v>
      </c>
      <c r="C53" s="17">
        <f>ROUND(VLOOKUP(B$39&amp;"_2",管理者用人口入力シート!A:X,D53,FALSE),0)</f>
        <v>22</v>
      </c>
      <c r="D53" s="2">
        <v>16</v>
      </c>
      <c r="G53" s="1" t="s">
        <v>106</v>
      </c>
      <c r="H53" s="1">
        <f t="shared" si="30"/>
        <v>2025</v>
      </c>
      <c r="I53" s="38">
        <f>ROUND((SUM(H82:I89)/SUM(H69:I89)),2)</f>
        <v>0.42</v>
      </c>
      <c r="J53" s="205"/>
      <c r="K53" s="205"/>
      <c r="L53" s="70"/>
      <c r="M53" s="70"/>
      <c r="N53" s="1" t="s">
        <v>106</v>
      </c>
      <c r="O53" s="1">
        <f t="shared" si="32"/>
        <v>2025</v>
      </c>
      <c r="P53" s="38">
        <f t="shared" si="29"/>
        <v>0.42</v>
      </c>
      <c r="Q53" s="38">
        <f>ROUND((SUM(O82:P89)/SUM(O69:P89)),2)</f>
        <v>0.41</v>
      </c>
    </row>
    <row r="54" spans="1:17" x14ac:dyDescent="0.15">
      <c r="A54" s="2" t="s">
        <v>13</v>
      </c>
      <c r="B54" s="17">
        <f>ROUND(VLOOKUP(B$39&amp;"_1",管理者用人口入力シート!A:X,D54,FALSE),0)</f>
        <v>12</v>
      </c>
      <c r="C54" s="17">
        <f>ROUND(VLOOKUP(B$39&amp;"_2",管理者用人口入力シート!A:X,D54,FALSE),0)</f>
        <v>14</v>
      </c>
      <c r="D54" s="2">
        <v>17</v>
      </c>
      <c r="G54" s="1" t="s">
        <v>107</v>
      </c>
      <c r="H54" s="1">
        <f t="shared" si="30"/>
        <v>2030</v>
      </c>
      <c r="I54" s="38">
        <f>ROUND((SUM(H106:I113)/SUM(H93:I113)),2)</f>
        <v>0.43</v>
      </c>
      <c r="J54" s="205"/>
      <c r="K54" s="205"/>
      <c r="N54" s="1" t="s">
        <v>107</v>
      </c>
      <c r="O54" s="1">
        <f t="shared" si="32"/>
        <v>2030</v>
      </c>
      <c r="P54" s="38">
        <f t="shared" si="29"/>
        <v>0.43</v>
      </c>
      <c r="Q54" s="38">
        <f>ROUND((SUM(O106:P113)/SUM(O93:P113)),2)</f>
        <v>0.41</v>
      </c>
    </row>
    <row r="55" spans="1:17" x14ac:dyDescent="0.15">
      <c r="A55" s="2" t="s">
        <v>14</v>
      </c>
      <c r="B55" s="17">
        <f>ROUND(VLOOKUP(B$39&amp;"_1",管理者用人口入力シート!A:X,D55,FALSE),0)</f>
        <v>18</v>
      </c>
      <c r="C55" s="17">
        <f>ROUND(VLOOKUP(B$39&amp;"_2",管理者用人口入力シート!A:X,D55,FALSE),0)</f>
        <v>27</v>
      </c>
      <c r="D55" s="2">
        <v>18</v>
      </c>
      <c r="G55" s="1" t="s">
        <v>108</v>
      </c>
      <c r="H55" s="1">
        <f t="shared" si="30"/>
        <v>2035</v>
      </c>
      <c r="I55" s="38">
        <f>ROUND((SUM(H130:I137)/SUM(H117:I137)),2)</f>
        <v>0.45</v>
      </c>
      <c r="J55" s="205"/>
      <c r="K55" s="205"/>
      <c r="N55" s="1" t="s">
        <v>108</v>
      </c>
      <c r="O55" s="1">
        <f t="shared" si="32"/>
        <v>2035</v>
      </c>
      <c r="P55" s="38">
        <f t="shared" si="29"/>
        <v>0.45</v>
      </c>
      <c r="Q55" s="38">
        <f>ROUND((SUM(O130:P137)/SUM(O117:P137)),2)</f>
        <v>0.41</v>
      </c>
    </row>
    <row r="56" spans="1:17" x14ac:dyDescent="0.15">
      <c r="A56" s="2" t="s">
        <v>15</v>
      </c>
      <c r="B56" s="17">
        <f>ROUND(VLOOKUP(B$39&amp;"_1",管理者用人口入力シート!A:X,D56,FALSE),0)</f>
        <v>16</v>
      </c>
      <c r="C56" s="17">
        <f>ROUND(VLOOKUP(B$39&amp;"_2",管理者用人口入力シート!A:X,D56,FALSE),0)</f>
        <v>16</v>
      </c>
      <c r="D56" s="2">
        <v>19</v>
      </c>
      <c r="G56" s="1" t="s">
        <v>109</v>
      </c>
      <c r="H56" s="1">
        <f t="shared" si="30"/>
        <v>2040</v>
      </c>
      <c r="I56" s="38">
        <f>ROUND((SUM(H154:I161)/SUM(H141:I161)),2)</f>
        <v>0.45</v>
      </c>
      <c r="J56" s="205"/>
      <c r="K56" s="205"/>
      <c r="N56" s="1" t="s">
        <v>109</v>
      </c>
      <c r="O56" s="1">
        <f t="shared" si="32"/>
        <v>2040</v>
      </c>
      <c r="P56" s="38">
        <f t="shared" si="29"/>
        <v>0.45</v>
      </c>
      <c r="Q56" s="38">
        <f>ROUND((SUM(O154:P161)/SUM(O141:P161)),2)</f>
        <v>0.4</v>
      </c>
    </row>
    <row r="57" spans="1:17" x14ac:dyDescent="0.15">
      <c r="A57" s="2" t="s">
        <v>16</v>
      </c>
      <c r="B57" s="17">
        <f>ROUND(VLOOKUP(B$39&amp;"_1",管理者用人口入力シート!A:X,D57,FALSE),0)</f>
        <v>7</v>
      </c>
      <c r="C57" s="17">
        <f>ROUND(VLOOKUP(B$39&amp;"_2",管理者用人口入力シート!A:X,D57,FALSE),0)</f>
        <v>11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v>
      </c>
      <c r="C58" s="17">
        <f>ROUND(VLOOKUP(B$39&amp;"_2",管理者用人口入力シート!A:X,D58,FALSE),0)</f>
        <v>6</v>
      </c>
      <c r="D58" s="2">
        <v>21</v>
      </c>
      <c r="G58" s="1" t="s">
        <v>58</v>
      </c>
      <c r="H58" s="1">
        <f>H4</f>
        <v>2010</v>
      </c>
      <c r="I58" s="38">
        <f>C34</f>
        <v>0.14000000000000001</v>
      </c>
      <c r="J58" s="205"/>
      <c r="K58" s="205"/>
      <c r="N58" s="1" t="s">
        <v>58</v>
      </c>
      <c r="O58" s="1">
        <f>O4</f>
        <v>2010</v>
      </c>
      <c r="P58" s="38">
        <f t="shared" ref="P58:P64" si="33">I58</f>
        <v>0.14000000000000001</v>
      </c>
      <c r="Q58" s="1"/>
    </row>
    <row r="59" spans="1:17" x14ac:dyDescent="0.15">
      <c r="A59" s="2" t="s">
        <v>18</v>
      </c>
      <c r="B59" s="17">
        <f>ROUND(VLOOKUP(B$39&amp;"_1",管理者用人口入力シート!A:X,D59,FALSE),0)</f>
        <v>2</v>
      </c>
      <c r="C59" s="17">
        <f>ROUND(VLOOKUP(B$39&amp;"_2",管理者用人口入力シート!A:X,D59,FALSE),0)</f>
        <v>5</v>
      </c>
      <c r="D59" s="2">
        <v>22</v>
      </c>
      <c r="G59" s="1" t="s">
        <v>57</v>
      </c>
      <c r="H59" s="1">
        <f t="shared" ref="H59:H64" si="34">H5</f>
        <v>2015</v>
      </c>
      <c r="I59" s="38">
        <f t="shared" ref="I59:I60" si="35">C35</f>
        <v>0.2</v>
      </c>
      <c r="J59" s="205"/>
      <c r="K59" s="205"/>
      <c r="N59" s="1" t="s">
        <v>57</v>
      </c>
      <c r="O59" s="1">
        <f t="shared" ref="O59:O64" si="36">O5</f>
        <v>2015</v>
      </c>
      <c r="P59" s="38">
        <f t="shared" si="33"/>
        <v>0.2</v>
      </c>
      <c r="Q59" s="1"/>
    </row>
    <row r="60" spans="1:17" x14ac:dyDescent="0.15">
      <c r="A60" s="2" t="s">
        <v>19</v>
      </c>
      <c r="B60" s="17">
        <f>ROUND(VLOOKUP(B$39&amp;"_1",管理者用人口入力シート!A:X,D60,FALSE),0)</f>
        <v>1</v>
      </c>
      <c r="C60" s="17">
        <f>ROUND(VLOOKUP(B$39&amp;"_2",管理者用人口入力シート!A:X,D60,FALSE),0)</f>
        <v>0</v>
      </c>
      <c r="D60" s="2">
        <v>23</v>
      </c>
      <c r="G60" s="1" t="s">
        <v>62</v>
      </c>
      <c r="H60" s="1">
        <f t="shared" si="34"/>
        <v>2020</v>
      </c>
      <c r="I60" s="38">
        <f t="shared" si="35"/>
        <v>0.18</v>
      </c>
      <c r="J60" s="205"/>
      <c r="K60" s="205"/>
      <c r="N60" s="1" t="s">
        <v>62</v>
      </c>
      <c r="O60" s="1">
        <f t="shared" si="36"/>
        <v>2020</v>
      </c>
      <c r="P60" s="38">
        <f t="shared" si="33"/>
        <v>0.18</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v>
      </c>
      <c r="J61" s="205"/>
      <c r="K61" s="205"/>
      <c r="N61" s="1" t="s">
        <v>106</v>
      </c>
      <c r="O61" s="1">
        <f t="shared" si="36"/>
        <v>2025</v>
      </c>
      <c r="P61" s="38">
        <f t="shared" si="33"/>
        <v>0.2</v>
      </c>
      <c r="Q61" s="38">
        <f>ROUND((SUM(O84:P89)/SUM(O69:P89)),2)</f>
        <v>0.2</v>
      </c>
    </row>
    <row r="62" spans="1:17" x14ac:dyDescent="0.15">
      <c r="G62" s="1" t="s">
        <v>107</v>
      </c>
      <c r="H62" s="1">
        <f t="shared" si="34"/>
        <v>2030</v>
      </c>
      <c r="I62" s="38">
        <f>ROUND((SUM(H108:I113)/SUM(H93:I113)),2)</f>
        <v>0.25</v>
      </c>
      <c r="J62" s="205"/>
      <c r="K62" s="205"/>
      <c r="N62" s="1" t="s">
        <v>107</v>
      </c>
      <c r="O62" s="1">
        <f t="shared" si="36"/>
        <v>2030</v>
      </c>
      <c r="P62" s="38">
        <f t="shared" si="33"/>
        <v>0.25</v>
      </c>
      <c r="Q62" s="38">
        <f>ROUND((SUM(O108:P113)/SUM(O93:P113)),2)</f>
        <v>0.24</v>
      </c>
    </row>
    <row r="63" spans="1:17" x14ac:dyDescent="0.15">
      <c r="A63" s="2" t="s">
        <v>384</v>
      </c>
      <c r="B63" s="316">
        <f>管理者入力シート!B6</f>
        <v>2015</v>
      </c>
      <c r="C63" s="317"/>
      <c r="D63" s="2" t="s">
        <v>114</v>
      </c>
      <c r="G63" s="1" t="s">
        <v>108</v>
      </c>
      <c r="H63" s="1">
        <f t="shared" si="34"/>
        <v>2035</v>
      </c>
      <c r="I63" s="38">
        <f>ROUND((SUM(H132:I137)/SUM(H117:I137)),2)</f>
        <v>0.25</v>
      </c>
      <c r="J63" s="205"/>
      <c r="K63" s="205"/>
      <c r="N63" s="1" t="s">
        <v>108</v>
      </c>
      <c r="O63" s="1">
        <f t="shared" si="36"/>
        <v>2035</v>
      </c>
      <c r="P63" s="38">
        <f t="shared" si="33"/>
        <v>0.25</v>
      </c>
      <c r="Q63" s="38">
        <f>ROUND((SUM(O132:P137)/SUM(O117:P137)),2)</f>
        <v>0.23</v>
      </c>
    </row>
    <row r="64" spans="1:17" x14ac:dyDescent="0.15">
      <c r="A64" s="2" t="s">
        <v>115</v>
      </c>
      <c r="B64" s="18" t="s">
        <v>21</v>
      </c>
      <c r="C64" s="18" t="s">
        <v>22</v>
      </c>
      <c r="G64" s="1" t="s">
        <v>109</v>
      </c>
      <c r="H64" s="1">
        <f t="shared" si="34"/>
        <v>2040</v>
      </c>
      <c r="I64" s="38">
        <f>ROUND((SUM(H156:I161)/SUM(H141:I161)),2)</f>
        <v>0.25</v>
      </c>
      <c r="J64" s="205"/>
      <c r="K64" s="205"/>
      <c r="N64" s="1" t="s">
        <v>109</v>
      </c>
      <c r="O64" s="1">
        <f t="shared" si="36"/>
        <v>2040</v>
      </c>
      <c r="P64" s="38">
        <f t="shared" si="33"/>
        <v>0.25</v>
      </c>
      <c r="Q64" s="38">
        <f>ROUND((SUM(O156:P161)/SUM(O141:P161)),2)</f>
        <v>0.22</v>
      </c>
    </row>
    <row r="65" spans="1:21" x14ac:dyDescent="0.15">
      <c r="A65" s="2" t="s">
        <v>0</v>
      </c>
      <c r="B65" s="17">
        <f>ROUND(VLOOKUP(B$63&amp;"_1",管理者用人口入力シート!A:X,D65,FALSE),0)</f>
        <v>4</v>
      </c>
      <c r="C65" s="17">
        <f>ROUND(VLOOKUP(B$63&amp;"_2",管理者用人口入力シート!A:X,D65,FALSE),0)</f>
        <v>6</v>
      </c>
      <c r="D65" s="2">
        <v>4</v>
      </c>
    </row>
    <row r="66" spans="1:21" x14ac:dyDescent="0.15">
      <c r="A66" s="2" t="s">
        <v>1</v>
      </c>
      <c r="B66" s="17">
        <f>ROUND(VLOOKUP(B$63&amp;"_1",管理者用人口入力シート!A:X,D66,FALSE),0)</f>
        <v>8</v>
      </c>
      <c r="C66" s="17">
        <f>ROUND(VLOOKUP(B$63&amp;"_2",管理者用人口入力シート!A:X,D66,FALSE),0)</f>
        <v>6</v>
      </c>
      <c r="D66" s="2">
        <v>5</v>
      </c>
      <c r="G66" s="69" t="s">
        <v>113</v>
      </c>
      <c r="N66" s="69" t="s">
        <v>113</v>
      </c>
    </row>
    <row r="67" spans="1:21" x14ac:dyDescent="0.15">
      <c r="A67" s="2" t="s">
        <v>2</v>
      </c>
      <c r="B67" s="17">
        <f>ROUND(VLOOKUP(B$63&amp;"_1",管理者用人口入力シート!A:X,D67,FALSE),0)</f>
        <v>1</v>
      </c>
      <c r="C67" s="17">
        <f>ROUND(VLOOKUP(B$63&amp;"_2",管理者用人口入力シート!A:X,D67,FALSE),0)</f>
        <v>11</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5</v>
      </c>
      <c r="C68" s="17">
        <f>ROUND(VLOOKUP(B$63&amp;"_2",管理者用人口入力シート!A:X,D68,FALSE),0)</f>
        <v>9</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5</v>
      </c>
      <c r="C69" s="17">
        <f>ROUND(VLOOKUP(B$63&amp;"_2",管理者用人口入力シート!A:X,D69,FALSE),0)</f>
        <v>5</v>
      </c>
      <c r="D69" s="2">
        <v>8</v>
      </c>
      <c r="G69" s="2" t="s">
        <v>0</v>
      </c>
      <c r="H69" s="17">
        <f>ROUND(VLOOKUP(H$67&amp;"_1",管理者用人口入力シート!BH:CE,J69,FALSE),0)</f>
        <v>4</v>
      </c>
      <c r="I69" s="17">
        <f>ROUND(VLOOKUP(H$67&amp;"_2",管理者用人口入力シート!BH:CE,J69,FALSE),0)</f>
        <v>3</v>
      </c>
      <c r="J69" s="2">
        <v>4</v>
      </c>
      <c r="K69" s="12"/>
      <c r="N69" s="2" t="s">
        <v>0</v>
      </c>
      <c r="O69" s="17">
        <f>ROUND(VLOOKUP(O$67&amp;"_1",管理者用人口入力シート!CO:DL,Q69,FALSE),0)</f>
        <v>5</v>
      </c>
      <c r="P69" s="17">
        <f>ROUND(VLOOKUP(O$67&amp;"_2",管理者用人口入力シート!CO:DL,Q69,FALSE),0)</f>
        <v>4</v>
      </c>
      <c r="Q69" s="2">
        <v>4</v>
      </c>
      <c r="U69" s="85"/>
    </row>
    <row r="70" spans="1:21" x14ac:dyDescent="0.15">
      <c r="A70" s="2" t="s">
        <v>5</v>
      </c>
      <c r="B70" s="17">
        <f>ROUND(VLOOKUP(B$63&amp;"_1",管理者用人口入力シート!A:X,D70,FALSE),0)</f>
        <v>5</v>
      </c>
      <c r="C70" s="17">
        <f>ROUND(VLOOKUP(B$63&amp;"_2",管理者用人口入力シート!A:X,D70,FALSE),0)</f>
        <v>5</v>
      </c>
      <c r="D70" s="2">
        <v>9</v>
      </c>
      <c r="G70" s="2" t="s">
        <v>1</v>
      </c>
      <c r="H70" s="17">
        <f>ROUND(VLOOKUP(H$67&amp;"_1",管理者用人口入力シート!BH:CE,J70,FALSE),0)</f>
        <v>9</v>
      </c>
      <c r="I70" s="17">
        <f>ROUND(VLOOKUP(H$67&amp;"_2",管理者用人口入力シート!BH:CE,J70,FALSE),0)</f>
        <v>5</v>
      </c>
      <c r="J70" s="2">
        <v>5</v>
      </c>
      <c r="K70" s="12"/>
      <c r="N70" s="2" t="s">
        <v>1</v>
      </c>
      <c r="O70" s="17">
        <f>ROUND(VLOOKUP(O$67&amp;"_1",管理者用人口入力シート!CO:DL,Q70,FALSE),0)</f>
        <v>9</v>
      </c>
      <c r="P70" s="17">
        <f>ROUND(VLOOKUP(O$67&amp;"_2",管理者用人口入力シート!CO:DL,Q70,FALSE),0)</f>
        <v>5</v>
      </c>
      <c r="Q70" s="2">
        <v>5</v>
      </c>
      <c r="U70" s="85"/>
    </row>
    <row r="71" spans="1:21" x14ac:dyDescent="0.15">
      <c r="A71" s="2" t="s">
        <v>6</v>
      </c>
      <c r="B71" s="17">
        <f>ROUND(VLOOKUP(B$63&amp;"_1",管理者用人口入力シート!A:X,D71,FALSE),0)</f>
        <v>15</v>
      </c>
      <c r="C71" s="17">
        <f>ROUND(VLOOKUP(B$63&amp;"_2",管理者用人口入力シート!A:X,D71,FALSE),0)</f>
        <v>12</v>
      </c>
      <c r="D71" s="2">
        <v>10</v>
      </c>
      <c r="G71" s="2" t="s">
        <v>2</v>
      </c>
      <c r="H71" s="17">
        <f>ROUND(VLOOKUP(H$67&amp;"_1",管理者用人口入力シート!BH:CE,J71,FALSE),0)</f>
        <v>8</v>
      </c>
      <c r="I71" s="17">
        <f>ROUND(VLOOKUP(H$67&amp;"_2",管理者用人口入力シート!BH:CE,J71,FALSE),0)</f>
        <v>12</v>
      </c>
      <c r="J71" s="2">
        <v>6</v>
      </c>
      <c r="K71" s="12"/>
      <c r="N71" s="2" t="s">
        <v>2</v>
      </c>
      <c r="O71" s="17">
        <f>ROUND(VLOOKUP(O$67&amp;"_1",管理者用人口入力シート!CO:DL,Q71,FALSE),0)</f>
        <v>9</v>
      </c>
      <c r="P71" s="17">
        <f>ROUND(VLOOKUP(O$67&amp;"_2",管理者用人口入力シート!CO:DL,Q71,FALSE),0)</f>
        <v>13</v>
      </c>
      <c r="Q71" s="2">
        <v>6</v>
      </c>
      <c r="U71" s="85"/>
    </row>
    <row r="72" spans="1:21" x14ac:dyDescent="0.15">
      <c r="A72" s="2" t="s">
        <v>7</v>
      </c>
      <c r="B72" s="17">
        <f>ROUND(VLOOKUP(B$63&amp;"_1",管理者用人口入力シート!A:X,D72,FALSE),0)</f>
        <v>12</v>
      </c>
      <c r="C72" s="17">
        <f>ROUND(VLOOKUP(B$63&amp;"_2",管理者用人口入力シート!A:X,D72,FALSE),0)</f>
        <v>8</v>
      </c>
      <c r="D72" s="2">
        <v>11</v>
      </c>
      <c r="G72" s="2" t="s">
        <v>3</v>
      </c>
      <c r="H72" s="17">
        <f>ROUND(VLOOKUP(H$67&amp;"_1",管理者用人口入力シート!BH:CE,J72,FALSE),0)</f>
        <v>6</v>
      </c>
      <c r="I72" s="17">
        <f>ROUND(VLOOKUP(H$67&amp;"_2",管理者用人口入力シート!BH:CE,J72,FALSE),0)</f>
        <v>5</v>
      </c>
      <c r="J72" s="2">
        <v>7</v>
      </c>
      <c r="K72" s="12"/>
      <c r="N72" s="2" t="s">
        <v>3</v>
      </c>
      <c r="O72" s="17">
        <f>ROUND(VLOOKUP(O$67&amp;"_1",管理者用人口入力シート!CO:DL,Q72,FALSE),0)</f>
        <v>6</v>
      </c>
      <c r="P72" s="17">
        <f>ROUND(VLOOKUP(O$67&amp;"_2",管理者用人口入力シート!CO:DL,Q72,FALSE),0)</f>
        <v>5</v>
      </c>
      <c r="Q72" s="2">
        <v>7</v>
      </c>
      <c r="U72" s="85"/>
    </row>
    <row r="73" spans="1:21" x14ac:dyDescent="0.15">
      <c r="A73" s="2" t="s">
        <v>8</v>
      </c>
      <c r="B73" s="17">
        <f>ROUND(VLOOKUP(B$63&amp;"_1",管理者用人口入力シート!A:X,D73,FALSE),0)</f>
        <v>1</v>
      </c>
      <c r="C73" s="17">
        <f>ROUND(VLOOKUP(B$63&amp;"_2",管理者用人口入力シート!A:X,D73,FALSE),0)</f>
        <v>11</v>
      </c>
      <c r="D73" s="2">
        <v>12</v>
      </c>
      <c r="G73" s="2" t="s">
        <v>4</v>
      </c>
      <c r="H73" s="17">
        <f>ROUND(VLOOKUP(H$67&amp;"_1",管理者用人口入力シート!BH:CE,J73,FALSE),0)</f>
        <v>1</v>
      </c>
      <c r="I73" s="17">
        <f>ROUND(VLOOKUP(H$67&amp;"_2",管理者用人口入力シート!BH:CE,J73,FALSE),0)</f>
        <v>3</v>
      </c>
      <c r="J73" s="2">
        <v>8</v>
      </c>
      <c r="K73" s="12"/>
      <c r="N73" s="2" t="s">
        <v>4</v>
      </c>
      <c r="O73" s="17">
        <f>ROUND(VLOOKUP(O$67&amp;"_1",管理者用人口入力シート!CO:DL,Q73,FALSE),0)</f>
        <v>1</v>
      </c>
      <c r="P73" s="17">
        <f>ROUND(VLOOKUP(O$67&amp;"_2",管理者用人口入力シート!CO:DL,Q73,FALSE),0)</f>
        <v>3</v>
      </c>
      <c r="Q73" s="2">
        <v>8</v>
      </c>
      <c r="U73" s="85"/>
    </row>
    <row r="74" spans="1:21" x14ac:dyDescent="0.15">
      <c r="A74" s="2" t="s">
        <v>9</v>
      </c>
      <c r="B74" s="17">
        <f>ROUND(VLOOKUP(B$63&amp;"_1",管理者用人口入力シート!A:X,D74,FALSE),0)</f>
        <v>15</v>
      </c>
      <c r="C74" s="17">
        <f>ROUND(VLOOKUP(B$63&amp;"_2",管理者用人口入力シート!A:X,D74,FALSE),0)</f>
        <v>13</v>
      </c>
      <c r="D74" s="2">
        <v>13</v>
      </c>
      <c r="G74" s="2" t="s">
        <v>5</v>
      </c>
      <c r="H74" s="17">
        <f>ROUND(VLOOKUP(H$67&amp;"_1",管理者用人口入力シート!BH:CE,J74,FALSE),0)</f>
        <v>4</v>
      </c>
      <c r="I74" s="17">
        <f>ROUND(VLOOKUP(H$67&amp;"_2",管理者用人口入力シート!BH:CE,J74,FALSE),0)</f>
        <v>4</v>
      </c>
      <c r="J74" s="2">
        <v>9</v>
      </c>
      <c r="K74" s="12"/>
      <c r="N74" s="2" t="s">
        <v>5</v>
      </c>
      <c r="O74" s="17">
        <f>ROUND(VLOOKUP(O$67&amp;"_1",管理者用人口入力シート!CO:DL,Q74,FALSE),0)</f>
        <v>6</v>
      </c>
      <c r="P74" s="17">
        <f>ROUND(VLOOKUP(O$67&amp;"_2",管理者用人口入力シート!CO:DL,Q74,FALSE),0)</f>
        <v>6</v>
      </c>
      <c r="Q74" s="2">
        <v>9</v>
      </c>
      <c r="U74" s="85"/>
    </row>
    <row r="75" spans="1:21" x14ac:dyDescent="0.15">
      <c r="A75" s="2" t="s">
        <v>10</v>
      </c>
      <c r="B75" s="17">
        <f>ROUND(VLOOKUP(B$63&amp;"_1",管理者用人口入力シート!A:X,D75,FALSE),0)</f>
        <v>13</v>
      </c>
      <c r="C75" s="17">
        <f>ROUND(VLOOKUP(B$63&amp;"_2",管理者用人口入力シート!A:X,D75,FALSE),0)</f>
        <v>18</v>
      </c>
      <c r="D75" s="2">
        <v>14</v>
      </c>
      <c r="G75" s="2" t="s">
        <v>6</v>
      </c>
      <c r="H75" s="17">
        <f>ROUND(VLOOKUP(H$67&amp;"_1",管理者用人口入力シート!BH:CE,J75,FALSE),0)</f>
        <v>4</v>
      </c>
      <c r="I75" s="17">
        <f>ROUND(VLOOKUP(H$67&amp;"_2",管理者用人口入力シート!BH:CE,J75,FALSE),0)</f>
        <v>6</v>
      </c>
      <c r="J75" s="2">
        <v>10</v>
      </c>
      <c r="K75" s="12"/>
      <c r="N75" s="2" t="s">
        <v>6</v>
      </c>
      <c r="O75" s="17">
        <f>ROUND(VLOOKUP(O$67&amp;"_1",管理者用人口入力シート!CO:DL,Q75,FALSE),0)</f>
        <v>4</v>
      </c>
      <c r="P75" s="17">
        <f>ROUND(VLOOKUP(O$67&amp;"_2",管理者用人口入力シート!CO:DL,Q75,FALSE),0)</f>
        <v>6</v>
      </c>
      <c r="Q75" s="2">
        <v>10</v>
      </c>
      <c r="U75" s="85"/>
    </row>
    <row r="76" spans="1:21" x14ac:dyDescent="0.15">
      <c r="A76" s="2" t="s">
        <v>11</v>
      </c>
      <c r="B76" s="17">
        <f>ROUND(VLOOKUP(B$63&amp;"_1",管理者用人口入力シート!A:X,D76,FALSE),0)</f>
        <v>10</v>
      </c>
      <c r="C76" s="17">
        <f>ROUND(VLOOKUP(B$63&amp;"_2",管理者用人口入力シート!A:X,D76,FALSE),0)</f>
        <v>19</v>
      </c>
      <c r="D76" s="2">
        <v>15</v>
      </c>
      <c r="G76" s="2" t="s">
        <v>7</v>
      </c>
      <c r="H76" s="17">
        <f>ROUND(VLOOKUP(H$67&amp;"_1",管理者用人口入力シート!BH:CE,J76,FALSE),0)</f>
        <v>8</v>
      </c>
      <c r="I76" s="17">
        <f>ROUND(VLOOKUP(H$67&amp;"_2",管理者用人口入力シート!BH:CE,J76,FALSE),0)</f>
        <v>4</v>
      </c>
      <c r="J76" s="2">
        <v>11</v>
      </c>
      <c r="K76" s="12"/>
      <c r="N76" s="2" t="s">
        <v>7</v>
      </c>
      <c r="O76" s="17">
        <f>ROUND(VLOOKUP(O$67&amp;"_1",管理者用人口入力シート!CO:DL,Q76,FALSE),0)</f>
        <v>8</v>
      </c>
      <c r="P76" s="17">
        <f>ROUND(VLOOKUP(O$67&amp;"_2",管理者用人口入力シート!CO:DL,Q76,FALSE),0)</f>
        <v>4</v>
      </c>
      <c r="Q76" s="2">
        <v>11</v>
      </c>
      <c r="U76" s="85"/>
    </row>
    <row r="77" spans="1:21" x14ac:dyDescent="0.15">
      <c r="A77" s="2" t="s">
        <v>12</v>
      </c>
      <c r="B77" s="17">
        <f>ROUND(VLOOKUP(B$63&amp;"_1",管理者用人口入力シート!A:X,D77,FALSE),0)</f>
        <v>26</v>
      </c>
      <c r="C77" s="17">
        <f>ROUND(VLOOKUP(B$63&amp;"_2",管理者用人口入力シート!A:X,D77,FALSE),0)</f>
        <v>31</v>
      </c>
      <c r="D77" s="2">
        <v>16</v>
      </c>
      <c r="G77" s="2" t="s">
        <v>8</v>
      </c>
      <c r="H77" s="17">
        <f>ROUND(VLOOKUP(H$67&amp;"_1",管理者用人口入力シート!BH:CE,J77,FALSE),0)</f>
        <v>9</v>
      </c>
      <c r="I77" s="17">
        <f>ROUND(VLOOKUP(H$67&amp;"_2",管理者用人口入力シート!BH:CE,J77,FALSE),0)</f>
        <v>14</v>
      </c>
      <c r="J77" s="2">
        <v>12</v>
      </c>
      <c r="K77" s="12"/>
      <c r="N77" s="2" t="s">
        <v>8</v>
      </c>
      <c r="O77" s="17">
        <f>ROUND(VLOOKUP(O$67&amp;"_1",管理者用人口入力シート!CO:DL,Q77,FALSE),0)</f>
        <v>9</v>
      </c>
      <c r="P77" s="17">
        <f>ROUND(VLOOKUP(O$67&amp;"_2",管理者用人口入力シート!CO:DL,Q77,FALSE),0)</f>
        <v>15</v>
      </c>
      <c r="Q77" s="2">
        <v>12</v>
      </c>
      <c r="U77" s="85"/>
    </row>
    <row r="78" spans="1:21" x14ac:dyDescent="0.15">
      <c r="A78" s="2" t="s">
        <v>13</v>
      </c>
      <c r="B78" s="17">
        <f>ROUND(VLOOKUP(B$63&amp;"_1",管理者用人口入力シート!A:X,D78,FALSE),0)</f>
        <v>20</v>
      </c>
      <c r="C78" s="17">
        <f>ROUND(VLOOKUP(B$63&amp;"_2",管理者用人口入力シート!A:X,D78,FALSE),0)</f>
        <v>27</v>
      </c>
      <c r="D78" s="2">
        <v>17</v>
      </c>
      <c r="G78" s="2" t="s">
        <v>9</v>
      </c>
      <c r="H78" s="17">
        <f>ROUND(VLOOKUP(H$67&amp;"_1",管理者用人口入力シート!BH:CE,J78,FALSE),0)</f>
        <v>21</v>
      </c>
      <c r="I78" s="17">
        <f>ROUND(VLOOKUP(H$67&amp;"_2",管理者用人口入力シート!BH:CE,J78,FALSE),0)</f>
        <v>15</v>
      </c>
      <c r="J78" s="2">
        <v>13</v>
      </c>
      <c r="K78" s="12"/>
      <c r="N78" s="2" t="s">
        <v>9</v>
      </c>
      <c r="O78" s="17">
        <f>ROUND(VLOOKUP(O$67&amp;"_1",管理者用人口入力シート!CO:DL,Q78,FALSE),0)</f>
        <v>21</v>
      </c>
      <c r="P78" s="17">
        <f>ROUND(VLOOKUP(O$67&amp;"_2",管理者用人口入力シート!CO:DL,Q78,FALSE),0)</f>
        <v>15</v>
      </c>
      <c r="Q78" s="2">
        <v>13</v>
      </c>
      <c r="U78" s="85"/>
    </row>
    <row r="79" spans="1:21" x14ac:dyDescent="0.15">
      <c r="A79" s="2" t="s">
        <v>14</v>
      </c>
      <c r="B79" s="17">
        <f>ROUND(VLOOKUP(B$63&amp;"_1",管理者用人口入力シート!A:X,D79,FALSE),0)</f>
        <v>12</v>
      </c>
      <c r="C79" s="17">
        <f>ROUND(VLOOKUP(B$63&amp;"_2",管理者用人口入力シート!A:X,D79,FALSE),0)</f>
        <v>15</v>
      </c>
      <c r="D79" s="2">
        <v>18</v>
      </c>
      <c r="G79" s="2" t="s">
        <v>10</v>
      </c>
      <c r="H79" s="17">
        <f>ROUND(VLOOKUP(H$67&amp;"_1",管理者用人口入力シート!BH:CE,J79,FALSE),0)</f>
        <v>5</v>
      </c>
      <c r="I79" s="17">
        <f>ROUND(VLOOKUP(H$67&amp;"_2",管理者用人口入力シート!BH:CE,J79,FALSE),0)</f>
        <v>20</v>
      </c>
      <c r="J79" s="2">
        <v>14</v>
      </c>
      <c r="K79" s="12"/>
      <c r="N79" s="2" t="s">
        <v>10</v>
      </c>
      <c r="O79" s="17">
        <f>ROUND(VLOOKUP(O$67&amp;"_1",管理者用人口入力シート!CO:DL,Q79,FALSE),0)</f>
        <v>5</v>
      </c>
      <c r="P79" s="17">
        <f>ROUND(VLOOKUP(O$67&amp;"_2",管理者用人口入力シート!CO:DL,Q79,FALSE),0)</f>
        <v>20</v>
      </c>
      <c r="Q79" s="2">
        <v>14</v>
      </c>
      <c r="U79" s="85"/>
    </row>
    <row r="80" spans="1:21" x14ac:dyDescent="0.15">
      <c r="A80" s="2" t="s">
        <v>15</v>
      </c>
      <c r="B80" s="17">
        <f>ROUND(VLOOKUP(B$63&amp;"_1",管理者用人口入力シート!A:X,D80,FALSE),0)</f>
        <v>21</v>
      </c>
      <c r="C80" s="17">
        <f>ROUND(VLOOKUP(B$63&amp;"_2",管理者用人口入力シート!A:X,D80,FALSE),0)</f>
        <v>22</v>
      </c>
      <c r="D80" s="2">
        <v>19</v>
      </c>
      <c r="G80" s="2" t="s">
        <v>11</v>
      </c>
      <c r="H80" s="17">
        <f>ROUND(VLOOKUP(H$67&amp;"_1",管理者用人口入力シート!BH:CE,J80,FALSE),0)</f>
        <v>18</v>
      </c>
      <c r="I80" s="17">
        <f>ROUND(VLOOKUP(H$67&amp;"_2",管理者用人口入力シート!BH:CE,J80,FALSE),0)</f>
        <v>17</v>
      </c>
      <c r="J80" s="2">
        <v>15</v>
      </c>
      <c r="K80" s="12"/>
      <c r="N80" s="2" t="s">
        <v>11</v>
      </c>
      <c r="O80" s="17">
        <f>ROUND(VLOOKUP(O$67&amp;"_1",管理者用人口入力シート!CO:DL,Q80,FALSE),0)</f>
        <v>18</v>
      </c>
      <c r="P80" s="17">
        <f>ROUND(VLOOKUP(O$67&amp;"_2",管理者用人口入力シート!CO:DL,Q80,FALSE),0)</f>
        <v>17</v>
      </c>
      <c r="Q80" s="2">
        <v>15</v>
      </c>
      <c r="U80" s="85"/>
    </row>
    <row r="81" spans="1:21" x14ac:dyDescent="0.15">
      <c r="A81" s="2" t="s">
        <v>16</v>
      </c>
      <c r="B81" s="17">
        <f>ROUND(VLOOKUP(B$63&amp;"_1",管理者用人口入力シート!A:X,D81,FALSE),0)</f>
        <v>15</v>
      </c>
      <c r="C81" s="17">
        <f>ROUND(VLOOKUP(B$63&amp;"_2",管理者用人口入力シート!A:X,D81,FALSE),0)</f>
        <v>13</v>
      </c>
      <c r="D81" s="2">
        <v>20</v>
      </c>
      <c r="G81" s="2" t="s">
        <v>12</v>
      </c>
      <c r="H81" s="17">
        <f>ROUND(VLOOKUP(H$67&amp;"_1",管理者用人口入力シート!BH:CE,J81,FALSE),0)</f>
        <v>15</v>
      </c>
      <c r="I81" s="17">
        <f>ROUND(VLOOKUP(H$67&amp;"_2",管理者用人口入力シート!BH:CE,J81,FALSE),0)</f>
        <v>18</v>
      </c>
      <c r="J81" s="2">
        <v>16</v>
      </c>
      <c r="K81" s="12"/>
      <c r="N81" s="2" t="s">
        <v>12</v>
      </c>
      <c r="O81" s="17">
        <f>ROUND(VLOOKUP(O$67&amp;"_1",管理者用人口入力シート!CO:DL,Q81,FALSE),0)</f>
        <v>15</v>
      </c>
      <c r="P81" s="17">
        <f>ROUND(VLOOKUP(O$67&amp;"_2",管理者用人口入力シート!CO:DL,Q81,FALSE),0)</f>
        <v>18</v>
      </c>
      <c r="Q81" s="2">
        <v>16</v>
      </c>
      <c r="U81" s="85"/>
    </row>
    <row r="82" spans="1:21" x14ac:dyDescent="0.15">
      <c r="A82" s="2" t="s">
        <v>17</v>
      </c>
      <c r="B82" s="17">
        <f>ROUND(VLOOKUP(B$63&amp;"_1",管理者用人口入力シート!A:X,D82,FALSE),0)</f>
        <v>2</v>
      </c>
      <c r="C82" s="17">
        <f>ROUND(VLOOKUP(B$63&amp;"_2",管理者用人口入力シート!A:X,D82,FALSE),0)</f>
        <v>6</v>
      </c>
      <c r="D82" s="2">
        <v>21</v>
      </c>
      <c r="G82" s="2" t="s">
        <v>13</v>
      </c>
      <c r="H82" s="17">
        <f>ROUND(VLOOKUP(H$67&amp;"_1",管理者用人口入力シート!BH:CE,J82,FALSE),0)</f>
        <v>12</v>
      </c>
      <c r="I82" s="17">
        <f>ROUND(VLOOKUP(H$67&amp;"_2",管理者用人口入力シート!BH:CE,J82,FALSE),0)</f>
        <v>22</v>
      </c>
      <c r="J82" s="2">
        <v>17</v>
      </c>
      <c r="K82" s="12"/>
      <c r="N82" s="2" t="s">
        <v>13</v>
      </c>
      <c r="O82" s="17">
        <f>ROUND(VLOOKUP(O$67&amp;"_1",管理者用人口入力シート!CO:DL,Q82,FALSE),0)</f>
        <v>12</v>
      </c>
      <c r="P82" s="17">
        <f>ROUND(VLOOKUP(O$67&amp;"_2",管理者用人口入力シート!CO:DL,Q82,FALSE),0)</f>
        <v>22</v>
      </c>
      <c r="Q82" s="2">
        <v>17</v>
      </c>
      <c r="U82" s="85"/>
    </row>
    <row r="83" spans="1:21" x14ac:dyDescent="0.15">
      <c r="A83" s="2" t="s">
        <v>18</v>
      </c>
      <c r="B83" s="17">
        <f>ROUND(VLOOKUP(B$63&amp;"_1",管理者用人口入力シート!A:X,D83,FALSE),0)</f>
        <v>1</v>
      </c>
      <c r="C83" s="17">
        <f>ROUND(VLOOKUP(B$63&amp;"_2",管理者用人口入力シート!A:X,D83,FALSE),0)</f>
        <v>5</v>
      </c>
      <c r="D83" s="2">
        <v>22</v>
      </c>
      <c r="G83" s="2" t="s">
        <v>14</v>
      </c>
      <c r="H83" s="17">
        <f>ROUND(VLOOKUP(H$67&amp;"_1",管理者用人口入力シート!BH:CE,J83,FALSE),0)</f>
        <v>25</v>
      </c>
      <c r="I83" s="17">
        <f>ROUND(VLOOKUP(H$67&amp;"_2",管理者用人口入力シート!BH:CE,J83,FALSE),0)</f>
        <v>30</v>
      </c>
      <c r="J83" s="2">
        <v>18</v>
      </c>
      <c r="K83" s="12"/>
      <c r="N83" s="2" t="s">
        <v>14</v>
      </c>
      <c r="O83" s="17">
        <f>ROUND(VLOOKUP(O$67&amp;"_1",管理者用人口入力シート!CO:DL,Q83,FALSE),0)</f>
        <v>25</v>
      </c>
      <c r="P83" s="17">
        <f>ROUND(VLOOKUP(O$67&amp;"_2",管理者用人口入力シート!CO:DL,Q83,FALSE),0)</f>
        <v>30</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19</v>
      </c>
      <c r="I84" s="17">
        <f>ROUND(VLOOKUP(H$67&amp;"_2",管理者用人口入力シート!BH:CE,J84,FALSE),0)</f>
        <v>17</v>
      </c>
      <c r="J84" s="2">
        <v>19</v>
      </c>
      <c r="K84" s="12"/>
      <c r="N84" s="2" t="s">
        <v>15</v>
      </c>
      <c r="O84" s="17">
        <f>ROUND(VLOOKUP(O$67&amp;"_1",管理者用人口入力シート!CO:DL,Q84,FALSE),0)</f>
        <v>19</v>
      </c>
      <c r="P84" s="17">
        <f>ROUND(VLOOKUP(O$67&amp;"_2",管理者用人口入力シート!CO:DL,Q84,FALSE),0)</f>
        <v>17</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10</v>
      </c>
      <c r="I85" s="17">
        <f>ROUND(VLOOKUP(H$67&amp;"_2",管理者用人口入力シート!BH:CE,J85,FALSE),0)</f>
        <v>8</v>
      </c>
      <c r="J85" s="2">
        <v>20</v>
      </c>
      <c r="K85" s="12"/>
      <c r="N85" s="2" t="s">
        <v>16</v>
      </c>
      <c r="O85" s="17">
        <f>ROUND(VLOOKUP(O$67&amp;"_1",管理者用人口入力シート!CO:DL,Q85,FALSE),0)</f>
        <v>10</v>
      </c>
      <c r="P85" s="17">
        <f>ROUND(VLOOKUP(O$67&amp;"_2",管理者用人口入力シート!CO:DL,Q85,FALSE),0)</f>
        <v>8</v>
      </c>
      <c r="Q85" s="2">
        <v>20</v>
      </c>
      <c r="U85" s="85"/>
    </row>
    <row r="86" spans="1:21" x14ac:dyDescent="0.15">
      <c r="G86" s="2" t="s">
        <v>17</v>
      </c>
      <c r="H86" s="17">
        <f>ROUND(VLOOKUP(H$67&amp;"_1",管理者用人口入力シート!BH:CE,J86,FALSE),0)</f>
        <v>6</v>
      </c>
      <c r="I86" s="17">
        <f>ROUND(VLOOKUP(H$67&amp;"_2",管理者用人口入力シート!BH:CE,J86,FALSE),0)</f>
        <v>11</v>
      </c>
      <c r="J86" s="2">
        <v>21</v>
      </c>
      <c r="K86" s="12"/>
      <c r="N86" s="2" t="s">
        <v>17</v>
      </c>
      <c r="O86" s="17">
        <f>ROUND(VLOOKUP(O$67&amp;"_1",管理者用人口入力シート!CO:DL,Q86,FALSE),0)</f>
        <v>6</v>
      </c>
      <c r="P86" s="17">
        <f>ROUND(VLOOKUP(O$67&amp;"_2",管理者用人口入力シート!CO:DL,Q86,FALSE),0)</f>
        <v>11</v>
      </c>
      <c r="Q86" s="2">
        <v>21</v>
      </c>
      <c r="U86" s="85"/>
    </row>
    <row r="87" spans="1:21" x14ac:dyDescent="0.15">
      <c r="A87" s="2" t="s">
        <v>62</v>
      </c>
      <c r="B87" s="316">
        <f>管理者入力シート!B5</f>
        <v>2020</v>
      </c>
      <c r="C87" s="317"/>
      <c r="D87" s="2" t="s">
        <v>114</v>
      </c>
      <c r="G87" s="2" t="s">
        <v>18</v>
      </c>
      <c r="H87" s="17">
        <f>ROUND(VLOOKUP(H$67&amp;"_1",管理者用人口入力シート!BH:CE,J87,FALSE),0)</f>
        <v>4</v>
      </c>
      <c r="I87" s="17">
        <f>ROUND(VLOOKUP(H$67&amp;"_2",管理者用人口入力シート!BH:CE,J87,FALSE),0)</f>
        <v>7</v>
      </c>
      <c r="J87" s="2">
        <v>22</v>
      </c>
      <c r="K87" s="12"/>
      <c r="N87" s="2" t="s">
        <v>18</v>
      </c>
      <c r="O87" s="17">
        <f>ROUND(VLOOKUP(O$67&amp;"_1",管理者用人口入力シート!CO:DL,Q87,FALSE),0)</f>
        <v>4</v>
      </c>
      <c r="P87" s="17">
        <f>ROUND(VLOOKUP(O$67&amp;"_2",管理者用人口入力シート!CO:DL,Q87,FALSE),0)</f>
        <v>7</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6</v>
      </c>
      <c r="C89" s="17">
        <f>ROUND(VLOOKUP(B$87&amp;"_2",管理者用人口入力シート!A:X,D89,FALSE),0)</f>
        <v>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9</v>
      </c>
      <c r="C90" s="17">
        <f>ROUND(VLOOKUP(B$87&amp;"_2",管理者用人口入力シート!A:X,D90,FALSE),0)</f>
        <v>9</v>
      </c>
      <c r="D90" s="2">
        <v>5</v>
      </c>
    </row>
    <row r="91" spans="1:21" x14ac:dyDescent="0.15">
      <c r="A91" s="2" t="s">
        <v>2</v>
      </c>
      <c r="B91" s="17">
        <f>ROUND(VLOOKUP(B$87&amp;"_1",管理者用人口入力シート!A:X,D91,FALSE),0)</f>
        <v>7</v>
      </c>
      <c r="C91" s="17">
        <f>ROUND(VLOOKUP(B$87&amp;"_2",管理者用人口入力シート!A:X,D91,FALSE),0)</f>
        <v>7</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1</v>
      </c>
      <c r="C92" s="17">
        <f>ROUND(VLOOKUP(B$87&amp;"_2",管理者用人口入力シート!A:X,D92,FALSE),0)</f>
        <v>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6</v>
      </c>
      <c r="C93" s="17">
        <f>ROUND(VLOOKUP(B$87&amp;"_2",管理者用人口入力シート!A:X,D93,FALSE),0)</f>
        <v>4</v>
      </c>
      <c r="D93" s="2">
        <v>8</v>
      </c>
      <c r="G93" s="2" t="s">
        <v>0</v>
      </c>
      <c r="H93" s="17">
        <f>ROUND(VLOOKUP(H$91&amp;"_1",管理者用人口入力シート!BH:CE,J93,FALSE),0)</f>
        <v>3</v>
      </c>
      <c r="I93" s="17">
        <f>ROUND(VLOOKUP(H$91&amp;"_2",管理者用人口入力シート!BH:CE,J93,FALSE),0)</f>
        <v>3</v>
      </c>
      <c r="J93" s="2">
        <v>4</v>
      </c>
      <c r="K93" s="12"/>
      <c r="N93" s="2" t="s">
        <v>0</v>
      </c>
      <c r="O93" s="17">
        <f>ROUND(VLOOKUP(O$91&amp;"_1",管理者用人口入力シート!CO:DL,Q93,FALSE),0)</f>
        <v>5</v>
      </c>
      <c r="P93" s="17">
        <f>ROUND(VLOOKUP(O$91&amp;"_2",管理者用人口入力シート!CO:DL,Q93,FALSE),0)</f>
        <v>5</v>
      </c>
      <c r="Q93" s="2">
        <v>4</v>
      </c>
      <c r="T93" s="85"/>
    </row>
    <row r="94" spans="1:21" x14ac:dyDescent="0.15">
      <c r="A94" s="2" t="s">
        <v>5</v>
      </c>
      <c r="B94" s="17">
        <f>ROUND(VLOOKUP(B$87&amp;"_1",管理者用人口入力シート!A:X,D94,FALSE),0)</f>
        <v>3</v>
      </c>
      <c r="C94" s="17">
        <f>ROUND(VLOOKUP(B$87&amp;"_2",管理者用人口入力シート!A:X,D94,FALSE),0)</f>
        <v>6</v>
      </c>
      <c r="D94" s="2">
        <v>9</v>
      </c>
      <c r="G94" s="2" t="s">
        <v>1</v>
      </c>
      <c r="H94" s="17">
        <f>ROUND(VLOOKUP(H$91&amp;"_1",管理者用人口入力シート!BH:CE,J94,FALSE),0)</f>
        <v>6</v>
      </c>
      <c r="I94" s="17">
        <f>ROUND(VLOOKUP(H$91&amp;"_2",管理者用人口入力シート!BH:CE,J94,FALSE),0)</f>
        <v>4</v>
      </c>
      <c r="J94" s="2">
        <v>5</v>
      </c>
      <c r="K94" s="12"/>
      <c r="N94" s="2" t="s">
        <v>1</v>
      </c>
      <c r="O94" s="17">
        <f>ROUND(VLOOKUP(O$91&amp;"_1",管理者用人口入力シート!CO:DL,Q94,FALSE),0)</f>
        <v>7</v>
      </c>
      <c r="P94" s="17">
        <f>ROUND(VLOOKUP(O$91&amp;"_2",管理者用人口入力シート!CO:DL,Q94,FALSE),0)</f>
        <v>5</v>
      </c>
      <c r="Q94" s="2">
        <v>5</v>
      </c>
      <c r="T94" s="85"/>
    </row>
    <row r="95" spans="1:21" x14ac:dyDescent="0.15">
      <c r="A95" s="2" t="s">
        <v>6</v>
      </c>
      <c r="B95" s="17">
        <f>ROUND(VLOOKUP(B$87&amp;"_1",管理者用人口入力シート!A:X,D95,FALSE),0)</f>
        <v>8</v>
      </c>
      <c r="C95" s="17">
        <f>ROUND(VLOOKUP(B$87&amp;"_2",管理者用人口入力シート!A:X,D95,FALSE),0)</f>
        <v>5</v>
      </c>
      <c r="D95" s="2">
        <v>10</v>
      </c>
      <c r="G95" s="2" t="s">
        <v>2</v>
      </c>
      <c r="H95" s="17">
        <f>ROUND(VLOOKUP(H$91&amp;"_1",管理者用人口入力シート!BH:CE,J95,FALSE),0)</f>
        <v>8</v>
      </c>
      <c r="I95" s="17">
        <f>ROUND(VLOOKUP(H$91&amp;"_2",管理者用人口入力シート!BH:CE,J95,FALSE),0)</f>
        <v>7</v>
      </c>
      <c r="J95" s="2">
        <v>6</v>
      </c>
      <c r="K95" s="12"/>
      <c r="N95" s="2" t="s">
        <v>2</v>
      </c>
      <c r="O95" s="17">
        <f>ROUND(VLOOKUP(O$91&amp;"_1",管理者用人口入力シート!CO:DL,Q95,FALSE),0)</f>
        <v>9</v>
      </c>
      <c r="P95" s="17">
        <f>ROUND(VLOOKUP(O$91&amp;"_2",管理者用人口入力シート!CO:DL,Q95,FALSE),0)</f>
        <v>8</v>
      </c>
      <c r="Q95" s="2">
        <v>6</v>
      </c>
      <c r="T95" s="85"/>
    </row>
    <row r="96" spans="1:21" x14ac:dyDescent="0.15">
      <c r="A96" s="2" t="s">
        <v>7</v>
      </c>
      <c r="B96" s="17">
        <f>ROUND(VLOOKUP(B$87&amp;"_1",管理者用人口入力シート!A:X,D96,FALSE),0)</f>
        <v>14</v>
      </c>
      <c r="C96" s="17">
        <f>ROUND(VLOOKUP(B$87&amp;"_2",管理者用人口入力シート!A:X,D96,FALSE),0)</f>
        <v>11</v>
      </c>
      <c r="D96" s="2">
        <v>11</v>
      </c>
      <c r="G96" s="2" t="s">
        <v>3</v>
      </c>
      <c r="H96" s="17">
        <f>ROUND(VLOOKUP(H$91&amp;"_1",管理者用人口入力シート!BH:CE,J96,FALSE),0)</f>
        <v>7</v>
      </c>
      <c r="I96" s="17">
        <f>ROUND(VLOOKUP(H$91&amp;"_2",管理者用人口入力シート!BH:CE,J96,FALSE),0)</f>
        <v>8</v>
      </c>
      <c r="J96" s="2">
        <v>7</v>
      </c>
      <c r="K96" s="12"/>
      <c r="N96" s="2" t="s">
        <v>3</v>
      </c>
      <c r="O96" s="17">
        <f>ROUND(VLOOKUP(O$91&amp;"_1",管理者用人口入力シート!CO:DL,Q96,FALSE),0)</f>
        <v>7</v>
      </c>
      <c r="P96" s="17">
        <f>ROUND(VLOOKUP(O$91&amp;"_2",管理者用人口入力シート!CO:DL,Q96,FALSE),0)</f>
        <v>9</v>
      </c>
      <c r="Q96" s="2">
        <v>7</v>
      </c>
      <c r="T96" s="85"/>
    </row>
    <row r="97" spans="1:20" x14ac:dyDescent="0.15">
      <c r="A97" s="2" t="s">
        <v>8</v>
      </c>
      <c r="B97" s="17">
        <f>ROUND(VLOOKUP(B$87&amp;"_1",管理者用人口入力シート!A:X,D97,FALSE),0)</f>
        <v>11</v>
      </c>
      <c r="C97" s="17">
        <f>ROUND(VLOOKUP(B$87&amp;"_2",管理者用人口入力シート!A:X,D97,FALSE),0)</f>
        <v>12</v>
      </c>
      <c r="D97" s="2">
        <v>12</v>
      </c>
      <c r="G97" s="2" t="s">
        <v>4</v>
      </c>
      <c r="H97" s="17">
        <f>ROUND(VLOOKUP(H$91&amp;"_1",管理者用人口入力シート!BH:CE,J97,FALSE),0)</f>
        <v>4</v>
      </c>
      <c r="I97" s="17">
        <f>ROUND(VLOOKUP(H$91&amp;"_2",管理者用人口入力シート!BH:CE,J97,FALSE),0)</f>
        <v>2</v>
      </c>
      <c r="J97" s="2">
        <v>8</v>
      </c>
      <c r="K97" s="12"/>
      <c r="N97" s="2" t="s">
        <v>4</v>
      </c>
      <c r="O97" s="17">
        <f>ROUND(VLOOKUP(O$91&amp;"_1",管理者用人口入力シート!CO:DL,Q97,FALSE),0)</f>
        <v>4</v>
      </c>
      <c r="P97" s="17">
        <f>ROUND(VLOOKUP(O$91&amp;"_2",管理者用人口入力シート!CO:DL,Q97,FALSE),0)</f>
        <v>2</v>
      </c>
      <c r="Q97" s="2">
        <v>8</v>
      </c>
      <c r="T97" s="85"/>
    </row>
    <row r="98" spans="1:20" x14ac:dyDescent="0.15">
      <c r="A98" s="2" t="s">
        <v>9</v>
      </c>
      <c r="B98" s="17">
        <f>ROUND(VLOOKUP(B$87&amp;"_1",管理者用人口入力シート!A:X,D98,FALSE),0)</f>
        <v>4</v>
      </c>
      <c r="C98" s="17">
        <f>ROUND(VLOOKUP(B$87&amp;"_2",管理者用人口入力シート!A:X,D98,FALSE),0)</f>
        <v>16</v>
      </c>
      <c r="D98" s="2">
        <v>13</v>
      </c>
      <c r="G98" s="2" t="s">
        <v>5</v>
      </c>
      <c r="H98" s="17">
        <f>ROUND(VLOOKUP(H$91&amp;"_1",管理者用人口入力シート!BH:CE,J98,FALSE),0)</f>
        <v>0</v>
      </c>
      <c r="I98" s="17">
        <f>ROUND(VLOOKUP(H$91&amp;"_2",管理者用人口入力シート!BH:CE,J98,FALSE),0)</f>
        <v>3</v>
      </c>
      <c r="J98" s="2">
        <v>9</v>
      </c>
      <c r="K98" s="12"/>
      <c r="N98" s="2" t="s">
        <v>5</v>
      </c>
      <c r="O98" s="17">
        <f>ROUND(VLOOKUP(O$91&amp;"_1",管理者用人口入力シート!CO:DL,Q98,FALSE),0)</f>
        <v>2</v>
      </c>
      <c r="P98" s="17">
        <f>ROUND(VLOOKUP(O$91&amp;"_2",管理者用人口入力シート!CO:DL,Q98,FALSE),0)</f>
        <v>5</v>
      </c>
      <c r="Q98" s="2">
        <v>9</v>
      </c>
      <c r="T98" s="85"/>
    </row>
    <row r="99" spans="1:20" x14ac:dyDescent="0.15">
      <c r="A99" s="2" t="s">
        <v>10</v>
      </c>
      <c r="B99" s="17">
        <f>ROUND(VLOOKUP(B$87&amp;"_1",管理者用人口入力シート!A:X,D99,FALSE),0)</f>
        <v>18</v>
      </c>
      <c r="C99" s="17">
        <f>ROUND(VLOOKUP(B$87&amp;"_2",管理者用人口入力シート!A:X,D99,FALSE),0)</f>
        <v>17</v>
      </c>
      <c r="D99" s="2">
        <v>14</v>
      </c>
      <c r="G99" s="2" t="s">
        <v>6</v>
      </c>
      <c r="H99" s="17">
        <f>ROUND(VLOOKUP(H$91&amp;"_1",管理者用人口入力シート!BH:CE,J99,FALSE),0)</f>
        <v>4</v>
      </c>
      <c r="I99" s="17">
        <f>ROUND(VLOOKUP(H$91&amp;"_2",管理者用人口入力シート!BH:CE,J99,FALSE),0)</f>
        <v>4</v>
      </c>
      <c r="J99" s="2">
        <v>10</v>
      </c>
      <c r="K99" s="12"/>
      <c r="N99" s="2" t="s">
        <v>6</v>
      </c>
      <c r="O99" s="17">
        <f>ROUND(VLOOKUP(O$91&amp;"_1",管理者用人口入力シート!CO:DL,Q99,FALSE),0)</f>
        <v>7</v>
      </c>
      <c r="P99" s="17">
        <f>ROUND(VLOOKUP(O$91&amp;"_2",管理者用人口入力シート!CO:DL,Q99,FALSE),0)</f>
        <v>6</v>
      </c>
      <c r="Q99" s="2">
        <v>10</v>
      </c>
      <c r="T99" s="85"/>
    </row>
    <row r="100" spans="1:20" x14ac:dyDescent="0.15">
      <c r="A100" s="2" t="s">
        <v>11</v>
      </c>
      <c r="B100" s="17">
        <f>ROUND(VLOOKUP(B$87&amp;"_1",管理者用人口入力シート!A:X,D100,FALSE),0)</f>
        <v>14</v>
      </c>
      <c r="C100" s="17">
        <f>ROUND(VLOOKUP(B$87&amp;"_2",管理者用人口入力シート!A:X,D100,FALSE),0)</f>
        <v>17</v>
      </c>
      <c r="D100" s="2">
        <v>15</v>
      </c>
      <c r="G100" s="2" t="s">
        <v>7</v>
      </c>
      <c r="H100" s="17">
        <f>ROUND(VLOOKUP(H$91&amp;"_1",管理者用人口入力シート!BH:CE,J100,FALSE),0)</f>
        <v>3</v>
      </c>
      <c r="I100" s="17">
        <f>ROUND(VLOOKUP(H$91&amp;"_2",管理者用人口入力シート!BH:CE,J100,FALSE),0)</f>
        <v>5</v>
      </c>
      <c r="J100" s="2">
        <v>11</v>
      </c>
      <c r="K100" s="12"/>
      <c r="N100" s="2" t="s">
        <v>7</v>
      </c>
      <c r="O100" s="17">
        <f>ROUND(VLOOKUP(O$91&amp;"_1",管理者用人口入力シート!CO:DL,Q100,FALSE),0)</f>
        <v>3</v>
      </c>
      <c r="P100" s="17">
        <f>ROUND(VLOOKUP(O$91&amp;"_2",管理者用人口入力シート!CO:DL,Q100,FALSE),0)</f>
        <v>5</v>
      </c>
      <c r="Q100" s="2">
        <v>11</v>
      </c>
      <c r="T100" s="85"/>
    </row>
    <row r="101" spans="1:20" x14ac:dyDescent="0.15">
      <c r="A101" s="2" t="s">
        <v>12</v>
      </c>
      <c r="B101" s="17">
        <f>ROUND(VLOOKUP(B$87&amp;"_1",管理者用人口入力シート!A:X,D101,FALSE),0)</f>
        <v>12</v>
      </c>
      <c r="C101" s="17">
        <f>ROUND(VLOOKUP(B$87&amp;"_2",管理者用人口入力シート!A:X,D101,FALSE),0)</f>
        <v>20</v>
      </c>
      <c r="D101" s="2">
        <v>16</v>
      </c>
      <c r="G101" s="2" t="s">
        <v>8</v>
      </c>
      <c r="H101" s="17">
        <f>ROUND(VLOOKUP(H$91&amp;"_1",管理者用人口入力シート!BH:CE,J101,FALSE),0)</f>
        <v>5</v>
      </c>
      <c r="I101" s="17">
        <f>ROUND(VLOOKUP(H$91&amp;"_2",管理者用人口入力シート!BH:CE,J101,FALSE),0)</f>
        <v>5</v>
      </c>
      <c r="J101" s="2">
        <v>12</v>
      </c>
      <c r="K101" s="12"/>
      <c r="N101" s="2" t="s">
        <v>8</v>
      </c>
      <c r="O101" s="17">
        <f>ROUND(VLOOKUP(O$91&amp;"_1",管理者用人口入力シート!CO:DL,Q101,FALSE),0)</f>
        <v>5</v>
      </c>
      <c r="P101" s="17">
        <f>ROUND(VLOOKUP(O$91&amp;"_2",管理者用人口入力シート!CO:DL,Q101,FALSE),0)</f>
        <v>6</v>
      </c>
      <c r="Q101" s="2">
        <v>12</v>
      </c>
      <c r="T101" s="85"/>
    </row>
    <row r="102" spans="1:20" x14ac:dyDescent="0.15">
      <c r="A102" s="2" t="s">
        <v>13</v>
      </c>
      <c r="B102" s="17">
        <f>ROUND(VLOOKUP(B$87&amp;"_1",管理者用人口入力シート!A:X,D102,FALSE),0)</f>
        <v>26</v>
      </c>
      <c r="C102" s="17">
        <f>ROUND(VLOOKUP(B$87&amp;"_2",管理者用人口入力シート!A:X,D102,FALSE),0)</f>
        <v>31</v>
      </c>
      <c r="D102" s="2">
        <v>17</v>
      </c>
      <c r="G102" s="2" t="s">
        <v>9</v>
      </c>
      <c r="H102" s="17">
        <f>ROUND(VLOOKUP(H$91&amp;"_1",管理者用人口入力シート!BH:CE,J102,FALSE),0)</f>
        <v>18</v>
      </c>
      <c r="I102" s="17">
        <f>ROUND(VLOOKUP(H$91&amp;"_2",管理者用人口入力シート!BH:CE,J102,FALSE),0)</f>
        <v>18</v>
      </c>
      <c r="J102" s="2">
        <v>13</v>
      </c>
      <c r="K102" s="12"/>
      <c r="N102" s="2" t="s">
        <v>9</v>
      </c>
      <c r="O102" s="17">
        <f>ROUND(VLOOKUP(O$91&amp;"_1",管理者用人口入力シート!CO:DL,Q102,FALSE),0)</f>
        <v>18</v>
      </c>
      <c r="P102" s="17">
        <f>ROUND(VLOOKUP(O$91&amp;"_2",管理者用人口入力シート!CO:DL,Q102,FALSE),0)</f>
        <v>19</v>
      </c>
      <c r="Q102" s="2">
        <v>13</v>
      </c>
      <c r="T102" s="85"/>
    </row>
    <row r="103" spans="1:20" x14ac:dyDescent="0.15">
      <c r="A103" s="2" t="s">
        <v>14</v>
      </c>
      <c r="B103" s="17">
        <f>ROUND(VLOOKUP(B$87&amp;"_1",管理者用人口入力シート!A:X,D103,FALSE),0)</f>
        <v>18</v>
      </c>
      <c r="C103" s="17">
        <f>ROUND(VLOOKUP(B$87&amp;"_2",管理者用人口入力シート!A:X,D103,FALSE),0)</f>
        <v>23</v>
      </c>
      <c r="D103" s="2">
        <v>18</v>
      </c>
      <c r="G103" s="2" t="s">
        <v>10</v>
      </c>
      <c r="H103" s="17">
        <f>ROUND(VLOOKUP(H$91&amp;"_1",管理者用人口入力シート!BH:CE,J103,FALSE),0)</f>
        <v>24</v>
      </c>
      <c r="I103" s="17">
        <f>ROUND(VLOOKUP(H$91&amp;"_2",管理者用人口入力シート!BH:CE,J103,FALSE),0)</f>
        <v>19</v>
      </c>
      <c r="J103" s="2">
        <v>14</v>
      </c>
      <c r="K103" s="12"/>
      <c r="N103" s="2" t="s">
        <v>10</v>
      </c>
      <c r="O103" s="17">
        <f>ROUND(VLOOKUP(O$91&amp;"_1",管理者用人口入力シート!CO:DL,Q103,FALSE),0)</f>
        <v>24</v>
      </c>
      <c r="P103" s="17">
        <f>ROUND(VLOOKUP(O$91&amp;"_2",管理者用人口入力シート!CO:DL,Q103,FALSE),0)</f>
        <v>19</v>
      </c>
      <c r="Q103" s="2">
        <v>14</v>
      </c>
      <c r="T103" s="85"/>
    </row>
    <row r="104" spans="1:20" x14ac:dyDescent="0.15">
      <c r="A104" s="2" t="s">
        <v>15</v>
      </c>
      <c r="B104" s="17">
        <f>ROUND(VLOOKUP(B$87&amp;"_1",管理者用人口入力シート!A:X,D104,FALSE),0)</f>
        <v>12</v>
      </c>
      <c r="C104" s="17">
        <f>ROUND(VLOOKUP(B$87&amp;"_2",管理者用人口入力シート!A:X,D104,FALSE),0)</f>
        <v>10</v>
      </c>
      <c r="D104" s="2">
        <v>19</v>
      </c>
      <c r="G104" s="2" t="s">
        <v>11</v>
      </c>
      <c r="H104" s="17">
        <f>ROUND(VLOOKUP(H$91&amp;"_1",管理者用人口入力シート!BH:CE,J104,FALSE),0)</f>
        <v>5</v>
      </c>
      <c r="I104" s="17">
        <f>ROUND(VLOOKUP(H$91&amp;"_2",管理者用人口入力シート!BH:CE,J104,FALSE),0)</f>
        <v>20</v>
      </c>
      <c r="J104" s="2">
        <v>15</v>
      </c>
      <c r="K104" s="12"/>
      <c r="N104" s="2" t="s">
        <v>11</v>
      </c>
      <c r="O104" s="17">
        <f>ROUND(VLOOKUP(O$91&amp;"_1",管理者用人口入力シート!CO:DL,Q104,FALSE),0)</f>
        <v>5</v>
      </c>
      <c r="P104" s="17">
        <f>ROUND(VLOOKUP(O$91&amp;"_2",管理者用人口入力シート!CO:DL,Q104,FALSE),0)</f>
        <v>20</v>
      </c>
      <c r="Q104" s="2">
        <v>15</v>
      </c>
      <c r="T104" s="85"/>
    </row>
    <row r="105" spans="1:20" x14ac:dyDescent="0.15">
      <c r="A105" s="2" t="s">
        <v>16</v>
      </c>
      <c r="B105" s="17">
        <f>ROUND(VLOOKUP(B$87&amp;"_1",管理者用人口入力シート!A:X,D105,FALSE),0)</f>
        <v>16</v>
      </c>
      <c r="C105" s="17">
        <f>ROUND(VLOOKUP(B$87&amp;"_2",管理者用人口入力シート!A:X,D105,FALSE),0)</f>
        <v>17</v>
      </c>
      <c r="D105" s="2">
        <v>20</v>
      </c>
      <c r="G105" s="2" t="s">
        <v>12</v>
      </c>
      <c r="H105" s="17">
        <f>ROUND(VLOOKUP(H$91&amp;"_1",管理者用人口入力シート!BH:CE,J105,FALSE),0)</f>
        <v>20</v>
      </c>
      <c r="I105" s="17">
        <f>ROUND(VLOOKUP(H$91&amp;"_2",管理者用人口入力シート!BH:CE,J105,FALSE),0)</f>
        <v>18</v>
      </c>
      <c r="J105" s="2">
        <v>16</v>
      </c>
      <c r="K105" s="12"/>
      <c r="N105" s="2" t="s">
        <v>12</v>
      </c>
      <c r="O105" s="17">
        <f>ROUND(VLOOKUP(O$91&amp;"_1",管理者用人口入力シート!CO:DL,Q105,FALSE),0)</f>
        <v>20</v>
      </c>
      <c r="P105" s="17">
        <f>ROUND(VLOOKUP(O$91&amp;"_2",管理者用人口入力シート!CO:DL,Q105,FALSE),0)</f>
        <v>18</v>
      </c>
      <c r="Q105" s="2">
        <v>16</v>
      </c>
      <c r="T105" s="85"/>
    </row>
    <row r="106" spans="1:20" x14ac:dyDescent="0.15">
      <c r="A106" s="2" t="s">
        <v>17</v>
      </c>
      <c r="B106" s="17">
        <f>ROUND(VLOOKUP(B$87&amp;"_1",管理者用人口入力シート!A:X,D106,FALSE),0)</f>
        <v>7</v>
      </c>
      <c r="C106" s="17">
        <f>ROUND(VLOOKUP(B$87&amp;"_2",管理者用人口入力シート!A:X,D106,FALSE),0)</f>
        <v>10</v>
      </c>
      <c r="D106" s="2">
        <v>21</v>
      </c>
      <c r="G106" s="2" t="s">
        <v>13</v>
      </c>
      <c r="H106" s="17">
        <f>ROUND(VLOOKUP(H$91&amp;"_1",管理者用人口入力シート!BH:CE,J106,FALSE),0)</f>
        <v>16</v>
      </c>
      <c r="I106" s="17">
        <f>ROUND(VLOOKUP(H$91&amp;"_2",管理者用人口入力シート!BH:CE,J106,FALSE),0)</f>
        <v>20</v>
      </c>
      <c r="J106" s="2">
        <v>17</v>
      </c>
      <c r="K106" s="12"/>
      <c r="N106" s="2" t="s">
        <v>13</v>
      </c>
      <c r="O106" s="17">
        <f>ROUND(VLOOKUP(O$91&amp;"_1",管理者用人口入力シート!CO:DL,Q106,FALSE),0)</f>
        <v>16</v>
      </c>
      <c r="P106" s="17">
        <f>ROUND(VLOOKUP(O$91&amp;"_2",管理者用人口入力シート!CO:DL,Q106,FALSE),0)</f>
        <v>20</v>
      </c>
      <c r="Q106" s="2">
        <v>17</v>
      </c>
      <c r="T106" s="85"/>
    </row>
    <row r="107" spans="1:20" x14ac:dyDescent="0.15">
      <c r="A107" s="2" t="s">
        <v>18</v>
      </c>
      <c r="B107" s="17">
        <f>ROUND(VLOOKUP(B$87&amp;"_1",管理者用人口入力シート!A:X,D107,FALSE),0)</f>
        <v>0</v>
      </c>
      <c r="C107" s="17">
        <f>ROUND(VLOOKUP(B$87&amp;"_2",管理者用人口入力シート!A:X,D107,FALSE),0)</f>
        <v>4</v>
      </c>
      <c r="D107" s="2">
        <v>22</v>
      </c>
      <c r="G107" s="2" t="s">
        <v>14</v>
      </c>
      <c r="H107" s="17">
        <f>ROUND(VLOOKUP(H$91&amp;"_1",管理者用人口入力シート!BH:CE,J107,FALSE),0)</f>
        <v>12</v>
      </c>
      <c r="I107" s="17">
        <f>ROUND(VLOOKUP(H$91&amp;"_2",管理者用人口入力シート!BH:CE,J107,FALSE),0)</f>
        <v>21</v>
      </c>
      <c r="J107" s="2">
        <v>18</v>
      </c>
      <c r="K107" s="12"/>
      <c r="N107" s="2" t="s">
        <v>14</v>
      </c>
      <c r="O107" s="17">
        <f>ROUND(VLOOKUP(O$91&amp;"_1",管理者用人口入力シート!CO:DL,Q107,FALSE),0)</f>
        <v>12</v>
      </c>
      <c r="P107" s="17">
        <f>ROUND(VLOOKUP(O$91&amp;"_2",管理者用人口入力シート!CO:DL,Q107,FALSE),0)</f>
        <v>21</v>
      </c>
      <c r="Q107" s="2">
        <v>18</v>
      </c>
      <c r="T107" s="85"/>
    </row>
    <row r="108" spans="1:20" x14ac:dyDescent="0.15">
      <c r="A108" s="2" t="s">
        <v>19</v>
      </c>
      <c r="B108" s="17">
        <f>ROUND(VLOOKUP(B$87&amp;"_1",管理者用人口入力シート!A:X,D108,FALSE),0)</f>
        <v>0</v>
      </c>
      <c r="C108" s="17">
        <f>ROUND(VLOOKUP(B$87&amp;"_2",管理者用人口入力シート!A:X,D108,FALSE),0)</f>
        <v>2</v>
      </c>
      <c r="D108" s="2">
        <v>23</v>
      </c>
      <c r="G108" s="2" t="s">
        <v>15</v>
      </c>
      <c r="H108" s="17">
        <f>ROUND(VLOOKUP(H$91&amp;"_1",管理者用人口入力シート!BH:CE,J108,FALSE),0)</f>
        <v>27</v>
      </c>
      <c r="I108" s="17">
        <f>ROUND(VLOOKUP(H$91&amp;"_2",管理者用人口入力シート!BH:CE,J108,FALSE),0)</f>
        <v>22</v>
      </c>
      <c r="J108" s="2">
        <v>19</v>
      </c>
      <c r="K108" s="12"/>
      <c r="N108" s="2" t="s">
        <v>15</v>
      </c>
      <c r="O108" s="17">
        <f>ROUND(VLOOKUP(O$91&amp;"_1",管理者用人口入力シート!CO:DL,Q108,FALSE),0)</f>
        <v>27</v>
      </c>
      <c r="P108" s="17">
        <f>ROUND(VLOOKUP(O$91&amp;"_2",管理者用人口入力シート!CO:DL,Q108,FALSE),0)</f>
        <v>22</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16</v>
      </c>
      <c r="I109" s="17">
        <f>ROUND(VLOOKUP(H$91&amp;"_2",管理者用人口入力シート!BH:CE,J109,FALSE),0)</f>
        <v>13</v>
      </c>
      <c r="J109" s="2">
        <v>20</v>
      </c>
      <c r="K109" s="12"/>
      <c r="N109" s="2" t="s">
        <v>16</v>
      </c>
      <c r="O109" s="17">
        <f>ROUND(VLOOKUP(O$91&amp;"_1",管理者用人口入力シート!CO:DL,Q109,FALSE),0)</f>
        <v>16</v>
      </c>
      <c r="P109" s="17">
        <f>ROUND(VLOOKUP(O$91&amp;"_2",管理者用人口入力シート!CO:DL,Q109,FALSE),0)</f>
        <v>13</v>
      </c>
      <c r="Q109" s="2">
        <v>20</v>
      </c>
      <c r="T109" s="85"/>
    </row>
    <row r="110" spans="1:20" x14ac:dyDescent="0.15">
      <c r="G110" s="2" t="s">
        <v>17</v>
      </c>
      <c r="H110" s="17">
        <f>ROUND(VLOOKUP(H$91&amp;"_1",管理者用人口入力シート!BH:CE,J110,FALSE),0)</f>
        <v>4</v>
      </c>
      <c r="I110" s="17">
        <f>ROUND(VLOOKUP(H$91&amp;"_2",管理者用人口入力シート!BH:CE,J110,FALSE),0)</f>
        <v>5</v>
      </c>
      <c r="J110" s="2">
        <v>21</v>
      </c>
      <c r="K110" s="12"/>
      <c r="N110" s="2" t="s">
        <v>17</v>
      </c>
      <c r="O110" s="17">
        <f>ROUND(VLOOKUP(O$91&amp;"_1",管理者用人口入力シート!CO:DL,Q110,FALSE),0)</f>
        <v>4</v>
      </c>
      <c r="P110" s="17">
        <f>ROUND(VLOOKUP(O$91&amp;"_2",管理者用人口入力シート!CO:DL,Q110,FALSE),0)</f>
        <v>5</v>
      </c>
      <c r="Q110" s="2">
        <v>21</v>
      </c>
      <c r="T110" s="85"/>
    </row>
    <row r="111" spans="1:20" x14ac:dyDescent="0.15">
      <c r="G111" s="2" t="s">
        <v>18</v>
      </c>
      <c r="H111" s="17">
        <f>ROUND(VLOOKUP(H$91&amp;"_1",管理者用人口入力シート!BH:CE,J111,FALSE),0)</f>
        <v>3</v>
      </c>
      <c r="I111" s="17">
        <f>ROUND(VLOOKUP(H$91&amp;"_2",管理者用人口入力シート!BH:CE,J111,FALSE),0)</f>
        <v>8</v>
      </c>
      <c r="J111" s="2">
        <v>22</v>
      </c>
      <c r="K111" s="12"/>
      <c r="N111" s="2" t="s">
        <v>18</v>
      </c>
      <c r="O111" s="17">
        <f>ROUND(VLOOKUP(O$91&amp;"_1",管理者用人口入力シート!CO:DL,Q111,FALSE),0)</f>
        <v>3</v>
      </c>
      <c r="P111" s="17">
        <f>ROUND(VLOOKUP(O$91&amp;"_2",管理者用人口入力シート!CO:DL,Q111,FALSE),0)</f>
        <v>8</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2</v>
      </c>
      <c r="J117" s="2">
        <v>4</v>
      </c>
      <c r="N117" s="2" t="s">
        <v>0</v>
      </c>
      <c r="O117" s="17">
        <f>ROUND(VLOOKUP(O$115&amp;"_1",管理者用人口入力シート!CO:DL,Q117,FALSE),0)</f>
        <v>5</v>
      </c>
      <c r="P117" s="17">
        <f>ROUND(VLOOKUP(O$115&amp;"_2",管理者用人口入力シート!CO:DL,Q117,FALSE),0)</f>
        <v>5</v>
      </c>
      <c r="Q117" s="2">
        <v>4</v>
      </c>
      <c r="T117" s="85"/>
    </row>
    <row r="118" spans="7:20" x14ac:dyDescent="0.15">
      <c r="G118" s="2" t="s">
        <v>1</v>
      </c>
      <c r="H118" s="17">
        <f>ROUND(VLOOKUP(H$115&amp;"_1",管理者用人口入力シート!BH:CE,J118,FALSE),0)</f>
        <v>5</v>
      </c>
      <c r="I118" s="17">
        <f>ROUND(VLOOKUP(H$115&amp;"_2",管理者用人口入力シート!BH:CE,J118,FALSE),0)</f>
        <v>3</v>
      </c>
      <c r="J118" s="2">
        <v>5</v>
      </c>
      <c r="N118" s="2" t="s">
        <v>1</v>
      </c>
      <c r="O118" s="17">
        <f>ROUND(VLOOKUP(O$115&amp;"_1",管理者用人口入力シート!CO:DL,Q118,FALSE),0)</f>
        <v>8</v>
      </c>
      <c r="P118" s="17">
        <f>ROUND(VLOOKUP(O$115&amp;"_2",管理者用人口入力シート!CO:DL,Q118,FALSE),0)</f>
        <v>5</v>
      </c>
      <c r="Q118" s="2">
        <v>5</v>
      </c>
      <c r="T118" s="85"/>
    </row>
    <row r="119" spans="7:20" x14ac:dyDescent="0.15">
      <c r="G119" s="2" t="s">
        <v>2</v>
      </c>
      <c r="H119" s="17">
        <f>ROUND(VLOOKUP(H$115&amp;"_1",管理者用人口入力シート!BH:CE,J119,FALSE),0)</f>
        <v>6</v>
      </c>
      <c r="I119" s="17">
        <f>ROUND(VLOOKUP(H$115&amp;"_2",管理者用人口入力シート!BH:CE,J119,FALSE),0)</f>
        <v>5</v>
      </c>
      <c r="J119" s="2">
        <v>6</v>
      </c>
      <c r="N119" s="2" t="s">
        <v>2</v>
      </c>
      <c r="O119" s="17">
        <f>ROUND(VLOOKUP(O$115&amp;"_1",管理者用人口入力シート!CO:DL,Q119,FALSE),0)</f>
        <v>8</v>
      </c>
      <c r="P119" s="17">
        <f>ROUND(VLOOKUP(O$115&amp;"_2",管理者用人口入力シート!CO:DL,Q119,FALSE),0)</f>
        <v>7</v>
      </c>
      <c r="Q119" s="2">
        <v>6</v>
      </c>
      <c r="T119" s="85"/>
    </row>
    <row r="120" spans="7:20" x14ac:dyDescent="0.15">
      <c r="G120" s="2" t="s">
        <v>3</v>
      </c>
      <c r="H120" s="17">
        <f>ROUND(VLOOKUP(H$115&amp;"_1",管理者用人口入力シート!BH:CE,J120,FALSE),0)</f>
        <v>7</v>
      </c>
      <c r="I120" s="17">
        <f>ROUND(VLOOKUP(H$115&amp;"_2",管理者用人口入力シート!BH:CE,J120,FALSE),0)</f>
        <v>5</v>
      </c>
      <c r="J120" s="2">
        <v>7</v>
      </c>
      <c r="N120" s="2" t="s">
        <v>3</v>
      </c>
      <c r="O120" s="17">
        <f>ROUND(VLOOKUP(O$115&amp;"_1",管理者用人口入力シート!CO:DL,Q120,FALSE),0)</f>
        <v>7</v>
      </c>
      <c r="P120" s="17">
        <f>ROUND(VLOOKUP(O$115&amp;"_2",管理者用人口入力シート!CO:DL,Q120,FALSE),0)</f>
        <v>6</v>
      </c>
      <c r="Q120" s="2">
        <v>7</v>
      </c>
      <c r="T120" s="85"/>
    </row>
    <row r="121" spans="7:20" x14ac:dyDescent="0.15">
      <c r="G121" s="2" t="s">
        <v>4</v>
      </c>
      <c r="H121" s="17">
        <f>ROUND(VLOOKUP(H$115&amp;"_1",管理者用人口入力シート!BH:CE,J121,FALSE),0)</f>
        <v>5</v>
      </c>
      <c r="I121" s="17">
        <f>ROUND(VLOOKUP(H$115&amp;"_2",管理者用人口入力シート!BH:CE,J121,FALSE),0)</f>
        <v>4</v>
      </c>
      <c r="J121" s="2">
        <v>8</v>
      </c>
      <c r="N121" s="2" t="s">
        <v>4</v>
      </c>
      <c r="O121" s="17">
        <f>ROUND(VLOOKUP(O$115&amp;"_1",管理者用人口入力シート!CO:DL,Q121,FALSE),0)</f>
        <v>5</v>
      </c>
      <c r="P121" s="17">
        <f>ROUND(VLOOKUP(O$115&amp;"_2",管理者用人口入力シート!CO:DL,Q121,FALSE),0)</f>
        <v>5</v>
      </c>
      <c r="Q121" s="2">
        <v>8</v>
      </c>
      <c r="T121" s="85"/>
    </row>
    <row r="122" spans="7:20" x14ac:dyDescent="0.15">
      <c r="G122" s="2" t="s">
        <v>5</v>
      </c>
      <c r="H122" s="17">
        <f>ROUND(VLOOKUP(H$115&amp;"_1",管理者用人口入力シート!BH:CE,J122,FALSE),0)</f>
        <v>3</v>
      </c>
      <c r="I122" s="17">
        <f>ROUND(VLOOKUP(H$115&amp;"_2",管理者用人口入力シート!BH:CE,J122,FALSE),0)</f>
        <v>2</v>
      </c>
      <c r="J122" s="2">
        <v>9</v>
      </c>
      <c r="N122" s="2" t="s">
        <v>5</v>
      </c>
      <c r="O122" s="17">
        <f>ROUND(VLOOKUP(O$115&amp;"_1",管理者用人口入力シート!CO:DL,Q122,FALSE),0)</f>
        <v>5</v>
      </c>
      <c r="P122" s="17">
        <f>ROUND(VLOOKUP(O$115&amp;"_2",管理者用人口入力シート!CO:DL,Q122,FALSE),0)</f>
        <v>4</v>
      </c>
      <c r="Q122" s="2">
        <v>9</v>
      </c>
      <c r="T122" s="85"/>
    </row>
    <row r="123" spans="7:20" x14ac:dyDescent="0.15">
      <c r="G123" s="2" t="s">
        <v>6</v>
      </c>
      <c r="H123" s="17">
        <f>ROUND(VLOOKUP(H$115&amp;"_1",管理者用人口入力シート!BH:CE,J123,FALSE),0)</f>
        <v>1</v>
      </c>
      <c r="I123" s="17">
        <f>ROUND(VLOOKUP(H$115&amp;"_2",管理者用人口入力シート!BH:CE,J123,FALSE),0)</f>
        <v>3</v>
      </c>
      <c r="J123" s="2">
        <v>10</v>
      </c>
      <c r="N123" s="2" t="s">
        <v>6</v>
      </c>
      <c r="O123" s="17">
        <f>ROUND(VLOOKUP(O$115&amp;"_1",管理者用人口入力シート!CO:DL,Q123,FALSE),0)</f>
        <v>3</v>
      </c>
      <c r="P123" s="17">
        <f>ROUND(VLOOKUP(O$115&amp;"_2",管理者用人口入力シート!CO:DL,Q123,FALSE),0)</f>
        <v>5</v>
      </c>
      <c r="Q123" s="2">
        <v>10</v>
      </c>
      <c r="T123" s="85"/>
    </row>
    <row r="124" spans="7:20" x14ac:dyDescent="0.15">
      <c r="G124" s="2" t="s">
        <v>7</v>
      </c>
      <c r="H124" s="17">
        <f>ROUND(VLOOKUP(H$115&amp;"_1",管理者用人口入力シート!BH:CE,J124,FALSE),0)</f>
        <v>4</v>
      </c>
      <c r="I124" s="17">
        <f>ROUND(VLOOKUP(H$115&amp;"_2",管理者用人口入力シート!BH:CE,J124,FALSE),0)</f>
        <v>3</v>
      </c>
      <c r="J124" s="2">
        <v>11</v>
      </c>
      <c r="N124" s="2" t="s">
        <v>7</v>
      </c>
      <c r="O124" s="17">
        <f>ROUND(VLOOKUP(O$115&amp;"_1",管理者用人口入力シート!CO:DL,Q124,FALSE),0)</f>
        <v>7</v>
      </c>
      <c r="P124" s="17">
        <f>ROUND(VLOOKUP(O$115&amp;"_2",管理者用人口入力シート!CO:DL,Q124,FALSE),0)</f>
        <v>5</v>
      </c>
      <c r="Q124" s="2">
        <v>11</v>
      </c>
      <c r="T124" s="85"/>
    </row>
    <row r="125" spans="7:20" x14ac:dyDescent="0.15">
      <c r="G125" s="2" t="s">
        <v>8</v>
      </c>
      <c r="H125" s="17">
        <f>ROUND(VLOOKUP(H$115&amp;"_1",管理者用人口入力シート!BH:CE,J125,FALSE),0)</f>
        <v>2</v>
      </c>
      <c r="I125" s="17">
        <f>ROUND(VLOOKUP(H$115&amp;"_2",管理者用人口入力シート!BH:CE,J125,FALSE),0)</f>
        <v>6</v>
      </c>
      <c r="J125" s="2">
        <v>12</v>
      </c>
      <c r="N125" s="2" t="s">
        <v>8</v>
      </c>
      <c r="O125" s="17">
        <f>ROUND(VLOOKUP(O$115&amp;"_1",管理者用人口入力シート!CO:DL,Q125,FALSE),0)</f>
        <v>2</v>
      </c>
      <c r="P125" s="17">
        <f>ROUND(VLOOKUP(O$115&amp;"_2",管理者用人口入力シート!CO:DL,Q125,FALSE),0)</f>
        <v>7</v>
      </c>
      <c r="Q125" s="2">
        <v>12</v>
      </c>
      <c r="T125" s="85"/>
    </row>
    <row r="126" spans="7:20" x14ac:dyDescent="0.15">
      <c r="G126" s="2" t="s">
        <v>9</v>
      </c>
      <c r="H126" s="17">
        <f>ROUND(VLOOKUP(H$115&amp;"_1",管理者用人口入力シート!BH:CE,J126,FALSE),0)</f>
        <v>10</v>
      </c>
      <c r="I126" s="17">
        <f>ROUND(VLOOKUP(H$115&amp;"_2",管理者用人口入力シート!BH:CE,J126,FALSE),0)</f>
        <v>7</v>
      </c>
      <c r="J126" s="2">
        <v>13</v>
      </c>
      <c r="N126" s="2" t="s">
        <v>9</v>
      </c>
      <c r="O126" s="17">
        <f>ROUND(VLOOKUP(O$115&amp;"_1",管理者用人口入力シート!CO:DL,Q126,FALSE),0)</f>
        <v>10</v>
      </c>
      <c r="P126" s="17">
        <f>ROUND(VLOOKUP(O$115&amp;"_2",管理者用人口入力シート!CO:DL,Q126,FALSE),0)</f>
        <v>8</v>
      </c>
      <c r="Q126" s="2">
        <v>13</v>
      </c>
      <c r="T126" s="85"/>
    </row>
    <row r="127" spans="7:20" x14ac:dyDescent="0.15">
      <c r="G127" s="2" t="s">
        <v>10</v>
      </c>
      <c r="H127" s="17">
        <f>ROUND(VLOOKUP(H$115&amp;"_1",管理者用人口入力シート!BH:CE,J127,FALSE),0)</f>
        <v>21</v>
      </c>
      <c r="I127" s="17">
        <f>ROUND(VLOOKUP(H$115&amp;"_2",管理者用人口入力シート!BH:CE,J127,FALSE),0)</f>
        <v>22</v>
      </c>
      <c r="J127" s="2">
        <v>14</v>
      </c>
      <c r="N127" s="2" t="s">
        <v>10</v>
      </c>
      <c r="O127" s="17">
        <f>ROUND(VLOOKUP(O$115&amp;"_1",管理者用人口入力シート!CO:DL,Q127,FALSE),0)</f>
        <v>21</v>
      </c>
      <c r="P127" s="17">
        <f>ROUND(VLOOKUP(O$115&amp;"_2",管理者用人口入力シート!CO:DL,Q127,FALSE),0)</f>
        <v>24</v>
      </c>
      <c r="Q127" s="2">
        <v>14</v>
      </c>
      <c r="T127" s="85"/>
    </row>
    <row r="128" spans="7:20" x14ac:dyDescent="0.15">
      <c r="G128" s="2" t="s">
        <v>11</v>
      </c>
      <c r="H128" s="17">
        <f>ROUND(VLOOKUP(H$115&amp;"_1",管理者用人口入力シート!BH:CE,J128,FALSE),0)</f>
        <v>24</v>
      </c>
      <c r="I128" s="17">
        <f>ROUND(VLOOKUP(H$115&amp;"_2",管理者用人口入力シート!BH:CE,J128,FALSE),0)</f>
        <v>19</v>
      </c>
      <c r="J128" s="2">
        <v>15</v>
      </c>
      <c r="N128" s="2" t="s">
        <v>11</v>
      </c>
      <c r="O128" s="17">
        <f>ROUND(VLOOKUP(O$115&amp;"_1",管理者用人口入力シート!CO:DL,Q128,FALSE),0)</f>
        <v>24</v>
      </c>
      <c r="P128" s="17">
        <f>ROUND(VLOOKUP(O$115&amp;"_2",管理者用人口入力シート!CO:DL,Q128,FALSE),0)</f>
        <v>19</v>
      </c>
      <c r="Q128" s="2">
        <v>15</v>
      </c>
      <c r="T128" s="85"/>
    </row>
    <row r="129" spans="7:20" x14ac:dyDescent="0.15">
      <c r="G129" s="2" t="s">
        <v>12</v>
      </c>
      <c r="H129" s="17">
        <f>ROUND(VLOOKUP(H$115&amp;"_1",管理者用人口入力シート!BH:CE,J129,FALSE),0)</f>
        <v>5</v>
      </c>
      <c r="I129" s="17">
        <f>ROUND(VLOOKUP(H$115&amp;"_2",管理者用人口入力シート!BH:CE,J129,FALSE),0)</f>
        <v>22</v>
      </c>
      <c r="J129" s="2">
        <v>16</v>
      </c>
      <c r="N129" s="2" t="s">
        <v>12</v>
      </c>
      <c r="O129" s="17">
        <f>ROUND(VLOOKUP(O$115&amp;"_1",管理者用人口入力シート!CO:DL,Q129,FALSE),0)</f>
        <v>5</v>
      </c>
      <c r="P129" s="17">
        <f>ROUND(VLOOKUP(O$115&amp;"_2",管理者用人口入力シート!CO:DL,Q129,FALSE),0)</f>
        <v>22</v>
      </c>
      <c r="Q129" s="2">
        <v>16</v>
      </c>
      <c r="T129" s="85"/>
    </row>
    <row r="130" spans="7:20" x14ac:dyDescent="0.15">
      <c r="G130" s="2" t="s">
        <v>13</v>
      </c>
      <c r="H130" s="17">
        <f>ROUND(VLOOKUP(H$115&amp;"_1",管理者用人口入力シート!BH:CE,J130,FALSE),0)</f>
        <v>20</v>
      </c>
      <c r="I130" s="17">
        <f>ROUND(VLOOKUP(H$115&amp;"_2",管理者用人口入力シート!BH:CE,J130,FALSE),0)</f>
        <v>20</v>
      </c>
      <c r="J130" s="2">
        <v>17</v>
      </c>
      <c r="N130" s="2" t="s">
        <v>13</v>
      </c>
      <c r="O130" s="17">
        <f>ROUND(VLOOKUP(O$115&amp;"_1",管理者用人口入力シート!CO:DL,Q130,FALSE),0)</f>
        <v>20</v>
      </c>
      <c r="P130" s="17">
        <f>ROUND(VLOOKUP(O$115&amp;"_2",管理者用人口入力シート!CO:DL,Q130,FALSE),0)</f>
        <v>20</v>
      </c>
      <c r="Q130" s="2">
        <v>17</v>
      </c>
      <c r="T130" s="85"/>
    </row>
    <row r="131" spans="7:20" x14ac:dyDescent="0.15">
      <c r="G131" s="2" t="s">
        <v>14</v>
      </c>
      <c r="H131" s="17">
        <f>ROUND(VLOOKUP(H$115&amp;"_1",管理者用人口入力シート!BH:CE,J131,FALSE),0)</f>
        <v>15</v>
      </c>
      <c r="I131" s="17">
        <f>ROUND(VLOOKUP(H$115&amp;"_2",管理者用人口入力シート!BH:CE,J131,FALSE),0)</f>
        <v>19</v>
      </c>
      <c r="J131" s="2">
        <v>18</v>
      </c>
      <c r="N131" s="2" t="s">
        <v>14</v>
      </c>
      <c r="O131" s="17">
        <f>ROUND(VLOOKUP(O$115&amp;"_1",管理者用人口入力シート!CO:DL,Q131,FALSE),0)</f>
        <v>15</v>
      </c>
      <c r="P131" s="17">
        <f>ROUND(VLOOKUP(O$115&amp;"_2",管理者用人口入力シート!CO:DL,Q131,FALSE),0)</f>
        <v>19</v>
      </c>
      <c r="Q131" s="2">
        <v>18</v>
      </c>
      <c r="T131" s="85"/>
    </row>
    <row r="132" spans="7:20" x14ac:dyDescent="0.15">
      <c r="G132" s="2" t="s">
        <v>15</v>
      </c>
      <c r="H132" s="17">
        <f>ROUND(VLOOKUP(H$115&amp;"_1",管理者用人口入力シート!BH:CE,J132,FALSE),0)</f>
        <v>13</v>
      </c>
      <c r="I132" s="17">
        <f>ROUND(VLOOKUP(H$115&amp;"_2",管理者用人口入力シート!BH:CE,J132,FALSE),0)</f>
        <v>16</v>
      </c>
      <c r="J132" s="2">
        <v>19</v>
      </c>
      <c r="N132" s="2" t="s">
        <v>15</v>
      </c>
      <c r="O132" s="17">
        <f>ROUND(VLOOKUP(O$115&amp;"_1",管理者用人口入力シート!CO:DL,Q132,FALSE),0)</f>
        <v>13</v>
      </c>
      <c r="P132" s="17">
        <f>ROUND(VLOOKUP(O$115&amp;"_2",管理者用人口入力シート!CO:DL,Q132,FALSE),0)</f>
        <v>16</v>
      </c>
      <c r="Q132" s="2">
        <v>19</v>
      </c>
      <c r="T132" s="85"/>
    </row>
    <row r="133" spans="7:20" x14ac:dyDescent="0.15">
      <c r="G133" s="2" t="s">
        <v>16</v>
      </c>
      <c r="H133" s="17">
        <f>ROUND(VLOOKUP(H$115&amp;"_1",管理者用人口入力シート!BH:CE,J133,FALSE),0)</f>
        <v>23</v>
      </c>
      <c r="I133" s="17">
        <f>ROUND(VLOOKUP(H$115&amp;"_2",管理者用人口入力シート!BH:CE,J133,FALSE),0)</f>
        <v>17</v>
      </c>
      <c r="J133" s="2">
        <v>20</v>
      </c>
      <c r="N133" s="2" t="s">
        <v>16</v>
      </c>
      <c r="O133" s="17">
        <f>ROUND(VLOOKUP(O$115&amp;"_1",管理者用人口入力シート!CO:DL,Q133,FALSE),0)</f>
        <v>23</v>
      </c>
      <c r="P133" s="17">
        <f>ROUND(VLOOKUP(O$115&amp;"_2",管理者用人口入力シート!CO:DL,Q133,FALSE),0)</f>
        <v>17</v>
      </c>
      <c r="Q133" s="2">
        <v>20</v>
      </c>
      <c r="T133" s="85"/>
    </row>
    <row r="134" spans="7:20" x14ac:dyDescent="0.15">
      <c r="G134" s="2" t="s">
        <v>17</v>
      </c>
      <c r="H134" s="17">
        <f>ROUND(VLOOKUP(H$115&amp;"_1",管理者用人口入力シート!BH:CE,J134,FALSE),0)</f>
        <v>6</v>
      </c>
      <c r="I134" s="17">
        <f>ROUND(VLOOKUP(H$115&amp;"_2",管理者用人口入力シート!BH:CE,J134,FALSE),0)</f>
        <v>9</v>
      </c>
      <c r="J134" s="2">
        <v>21</v>
      </c>
      <c r="N134" s="2" t="s">
        <v>17</v>
      </c>
      <c r="O134" s="17">
        <f>ROUND(VLOOKUP(O$115&amp;"_1",管理者用人口入力シート!CO:DL,Q134,FALSE),0)</f>
        <v>6</v>
      </c>
      <c r="P134" s="17">
        <f>ROUND(VLOOKUP(O$115&amp;"_2",管理者用人口入力シート!CO:DL,Q134,FALSE),0)</f>
        <v>9</v>
      </c>
      <c r="Q134" s="2">
        <v>21</v>
      </c>
      <c r="T134" s="85"/>
    </row>
    <row r="135" spans="7:20" x14ac:dyDescent="0.15">
      <c r="G135" s="2" t="s">
        <v>18</v>
      </c>
      <c r="H135" s="17">
        <f>ROUND(VLOOKUP(H$115&amp;"_1",管理者用人口入力シート!BH:CE,J135,FALSE),0)</f>
        <v>2</v>
      </c>
      <c r="I135" s="17">
        <f>ROUND(VLOOKUP(H$115&amp;"_2",管理者用人口入力シート!BH:CE,J135,FALSE),0)</f>
        <v>4</v>
      </c>
      <c r="J135" s="2">
        <v>22</v>
      </c>
      <c r="N135" s="2" t="s">
        <v>18</v>
      </c>
      <c r="O135" s="17">
        <f>ROUND(VLOOKUP(O$115&amp;"_1",管理者用人口入力シート!CO:DL,Q135,FALSE),0)</f>
        <v>2</v>
      </c>
      <c r="P135" s="17">
        <f>ROUND(VLOOKUP(O$115&amp;"_2",管理者用人口入力シート!CO:DL,Q135,FALSE),0)</f>
        <v>4</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v>
      </c>
      <c r="I141" s="17">
        <f>ROUND(VLOOKUP(H$139&amp;"_2",管理者用人口入力シート!BH:CE,J141,FALSE),0)</f>
        <v>2</v>
      </c>
      <c r="J141" s="2">
        <v>4</v>
      </c>
      <c r="N141" s="2" t="s">
        <v>0</v>
      </c>
      <c r="O141" s="17">
        <f>ROUND(VLOOKUP(O$139&amp;"_1",管理者用人口入力シート!CO:DL,Q141,FALSE),0)</f>
        <v>5</v>
      </c>
      <c r="P141" s="17">
        <f>ROUND(VLOOKUP(O$139&amp;"_2",管理者用人口入力シート!CO:DL,Q141,FALSE),0)</f>
        <v>4</v>
      </c>
      <c r="Q141" s="2">
        <v>4</v>
      </c>
    </row>
    <row r="142" spans="7:20" x14ac:dyDescent="0.15">
      <c r="G142" s="2" t="s">
        <v>1</v>
      </c>
      <c r="H142" s="17">
        <f>ROUND(VLOOKUP(H$139&amp;"_1",管理者用人口入力シート!BH:CE,J142,FALSE),0)</f>
        <v>4</v>
      </c>
      <c r="I142" s="17">
        <f>ROUND(VLOOKUP(H$139&amp;"_2",管理者用人口入力シート!BH:CE,J142,FALSE),0)</f>
        <v>3</v>
      </c>
      <c r="J142" s="2">
        <v>5</v>
      </c>
      <c r="N142" s="2" t="s">
        <v>1</v>
      </c>
      <c r="O142" s="17">
        <f>ROUND(VLOOKUP(O$139&amp;"_1",管理者用人口入力シート!CO:DL,Q142,FALSE),0)</f>
        <v>8</v>
      </c>
      <c r="P142" s="17">
        <f>ROUND(VLOOKUP(O$139&amp;"_2",管理者用人口入力シート!CO:DL,Q142,FALSE),0)</f>
        <v>5</v>
      </c>
      <c r="Q142" s="2">
        <v>5</v>
      </c>
    </row>
    <row r="143" spans="7:20" x14ac:dyDescent="0.15">
      <c r="G143" s="2" t="s">
        <v>2</v>
      </c>
      <c r="H143" s="17">
        <f>ROUND(VLOOKUP(H$139&amp;"_1",管理者用人口入力シート!BH:CE,J143,FALSE),0)</f>
        <v>5</v>
      </c>
      <c r="I143" s="17">
        <f>ROUND(VLOOKUP(H$139&amp;"_2",管理者用人口入力シート!BH:CE,J143,FALSE),0)</f>
        <v>4</v>
      </c>
      <c r="J143" s="2">
        <v>6</v>
      </c>
      <c r="N143" s="2" t="s">
        <v>2</v>
      </c>
      <c r="O143" s="17">
        <f>ROUND(VLOOKUP(O$139&amp;"_1",管理者用人口入力シート!CO:DL,Q143,FALSE),0)</f>
        <v>8</v>
      </c>
      <c r="P143" s="17">
        <f>ROUND(VLOOKUP(O$139&amp;"_2",管理者用人口入力シート!CO:DL,Q143,FALSE),0)</f>
        <v>7</v>
      </c>
      <c r="Q143" s="2">
        <v>6</v>
      </c>
    </row>
    <row r="144" spans="7:20" x14ac:dyDescent="0.15">
      <c r="G144" s="2" t="s">
        <v>3</v>
      </c>
      <c r="H144" s="17">
        <f>ROUND(VLOOKUP(H$139&amp;"_1",管理者用人口入力シート!BH:CE,J144,FALSE),0)</f>
        <v>4</v>
      </c>
      <c r="I144" s="17">
        <f>ROUND(VLOOKUP(H$139&amp;"_2",管理者用人口入力シート!BH:CE,J144,FALSE),0)</f>
        <v>3</v>
      </c>
      <c r="J144" s="2">
        <v>7</v>
      </c>
      <c r="N144" s="2" t="s">
        <v>3</v>
      </c>
      <c r="O144" s="17">
        <f>ROUND(VLOOKUP(O$139&amp;"_1",管理者用人口入力シート!CO:DL,Q144,FALSE),0)</f>
        <v>6</v>
      </c>
      <c r="P144" s="17">
        <f>ROUND(VLOOKUP(O$139&amp;"_2",管理者用人口入力シート!CO:DL,Q144,FALSE),0)</f>
        <v>5</v>
      </c>
      <c r="Q144" s="2">
        <v>7</v>
      </c>
    </row>
    <row r="145" spans="7:17" x14ac:dyDescent="0.15">
      <c r="G145" s="2" t="s">
        <v>4</v>
      </c>
      <c r="H145" s="17">
        <f>ROUND(VLOOKUP(H$139&amp;"_1",管理者用人口入力シート!BH:CE,J145,FALSE),0)</f>
        <v>5</v>
      </c>
      <c r="I145" s="17">
        <f>ROUND(VLOOKUP(H$139&amp;"_2",管理者用人口入力シート!BH:CE,J145,FALSE),0)</f>
        <v>2</v>
      </c>
      <c r="J145" s="2">
        <v>8</v>
      </c>
      <c r="N145" s="2" t="s">
        <v>4</v>
      </c>
      <c r="O145" s="17">
        <f>ROUND(VLOOKUP(O$139&amp;"_1",管理者用人口入力シート!CO:DL,Q145,FALSE),0)</f>
        <v>5</v>
      </c>
      <c r="P145" s="17">
        <f>ROUND(VLOOKUP(O$139&amp;"_2",管理者用人口入力シート!CO:DL,Q145,FALSE),0)</f>
        <v>3</v>
      </c>
      <c r="Q145" s="2">
        <v>8</v>
      </c>
    </row>
    <row r="146" spans="7:17" x14ac:dyDescent="0.15">
      <c r="G146" s="2" t="s">
        <v>5</v>
      </c>
      <c r="H146" s="17">
        <f>ROUND(VLOOKUP(H$139&amp;"_1",管理者用人口入力シート!BH:CE,J146,FALSE),0)</f>
        <v>3</v>
      </c>
      <c r="I146" s="17">
        <f>ROUND(VLOOKUP(H$139&amp;"_2",管理者用人口入力シート!BH:CE,J146,FALSE),0)</f>
        <v>4</v>
      </c>
      <c r="J146" s="2">
        <v>9</v>
      </c>
      <c r="N146" s="2" t="s">
        <v>5</v>
      </c>
      <c r="O146" s="17">
        <f>ROUND(VLOOKUP(O$139&amp;"_1",管理者用人口入力シート!CO:DL,Q146,FALSE),0)</f>
        <v>5</v>
      </c>
      <c r="P146" s="17">
        <f>ROUND(VLOOKUP(O$139&amp;"_2",管理者用人口入力シート!CO:DL,Q146,FALSE),0)</f>
        <v>6</v>
      </c>
      <c r="Q146" s="2">
        <v>9</v>
      </c>
    </row>
    <row r="147" spans="7:17" x14ac:dyDescent="0.15">
      <c r="G147" s="2" t="s">
        <v>6</v>
      </c>
      <c r="H147" s="17">
        <f>ROUND(VLOOKUP(H$139&amp;"_1",管理者用人口入力シート!BH:CE,J147,FALSE),0)</f>
        <v>3</v>
      </c>
      <c r="I147" s="17">
        <f>ROUND(VLOOKUP(H$139&amp;"_2",管理者用人口入力シート!BH:CE,J147,FALSE),0)</f>
        <v>2</v>
      </c>
      <c r="J147" s="2">
        <v>10</v>
      </c>
      <c r="N147" s="2" t="s">
        <v>6</v>
      </c>
      <c r="O147" s="17">
        <f>ROUND(VLOOKUP(O$139&amp;"_1",管理者用人口入力シート!CO:DL,Q147,FALSE),0)</f>
        <v>5</v>
      </c>
      <c r="P147" s="17">
        <f>ROUND(VLOOKUP(O$139&amp;"_2",管理者用人口入力シート!CO:DL,Q147,FALSE),0)</f>
        <v>4</v>
      </c>
      <c r="Q147" s="2">
        <v>10</v>
      </c>
    </row>
    <row r="148" spans="7:17" x14ac:dyDescent="0.15">
      <c r="G148" s="2" t="s">
        <v>7</v>
      </c>
      <c r="H148" s="17">
        <f>ROUND(VLOOKUP(H$139&amp;"_1",管理者用人口入力シート!BH:CE,J148,FALSE),0)</f>
        <v>1</v>
      </c>
      <c r="I148" s="17">
        <f>ROUND(VLOOKUP(H$139&amp;"_2",管理者用人口入力シート!BH:CE,J148,FALSE),0)</f>
        <v>3</v>
      </c>
      <c r="J148" s="2">
        <v>11</v>
      </c>
      <c r="N148" s="2" t="s">
        <v>7</v>
      </c>
      <c r="O148" s="17">
        <f>ROUND(VLOOKUP(O$139&amp;"_1",管理者用人口入力シート!CO:DL,Q148,FALSE),0)</f>
        <v>3</v>
      </c>
      <c r="P148" s="17">
        <f>ROUND(VLOOKUP(O$139&amp;"_2",管理者用人口入力シート!CO:DL,Q148,FALSE),0)</f>
        <v>4</v>
      </c>
      <c r="Q148" s="2">
        <v>11</v>
      </c>
    </row>
    <row r="149" spans="7:17" x14ac:dyDescent="0.15">
      <c r="G149" s="2" t="s">
        <v>8</v>
      </c>
      <c r="H149" s="17">
        <f>ROUND(VLOOKUP(H$139&amp;"_1",管理者用人口入力シート!BH:CE,J149,FALSE),0)</f>
        <v>3</v>
      </c>
      <c r="I149" s="17">
        <f>ROUND(VLOOKUP(H$139&amp;"_2",管理者用人口入力シート!BH:CE,J149,FALSE),0)</f>
        <v>4</v>
      </c>
      <c r="J149" s="2">
        <v>12</v>
      </c>
      <c r="N149" s="2" t="s">
        <v>8</v>
      </c>
      <c r="O149" s="17">
        <f>ROUND(VLOOKUP(O$139&amp;"_1",管理者用人口入力シート!CO:DL,Q149,FALSE),0)</f>
        <v>4</v>
      </c>
      <c r="P149" s="17">
        <f>ROUND(VLOOKUP(O$139&amp;"_2",管理者用人口入力シート!CO:DL,Q149,FALSE),0)</f>
        <v>7</v>
      </c>
      <c r="Q149" s="2">
        <v>12</v>
      </c>
    </row>
    <row r="150" spans="7:17" x14ac:dyDescent="0.15">
      <c r="G150" s="2" t="s">
        <v>9</v>
      </c>
      <c r="H150" s="17">
        <f>ROUND(VLOOKUP(H$139&amp;"_1",管理者用人口入力シート!BH:CE,J150,FALSE),0)</f>
        <v>5</v>
      </c>
      <c r="I150" s="17">
        <f>ROUND(VLOOKUP(H$139&amp;"_2",管理者用人口入力シート!BH:CE,J150,FALSE),0)</f>
        <v>8</v>
      </c>
      <c r="J150" s="2">
        <v>13</v>
      </c>
      <c r="N150" s="2" t="s">
        <v>9</v>
      </c>
      <c r="O150" s="17">
        <f>ROUND(VLOOKUP(O$139&amp;"_1",管理者用人口入力シート!CO:DL,Q150,FALSE),0)</f>
        <v>5</v>
      </c>
      <c r="P150" s="17">
        <f>ROUND(VLOOKUP(O$139&amp;"_2",管理者用人口入力シート!CO:DL,Q150,FALSE),0)</f>
        <v>9</v>
      </c>
      <c r="Q150" s="2">
        <v>13</v>
      </c>
    </row>
    <row r="151" spans="7:17" x14ac:dyDescent="0.15">
      <c r="G151" s="2" t="s">
        <v>10</v>
      </c>
      <c r="H151" s="17">
        <f>ROUND(VLOOKUP(H$139&amp;"_1",管理者用人口入力シート!BH:CE,J151,FALSE),0)</f>
        <v>12</v>
      </c>
      <c r="I151" s="17">
        <f>ROUND(VLOOKUP(H$139&amp;"_2",管理者用人口入力シート!BH:CE,J151,FALSE),0)</f>
        <v>8</v>
      </c>
      <c r="J151" s="2">
        <v>14</v>
      </c>
      <c r="N151" s="2" t="s">
        <v>10</v>
      </c>
      <c r="O151" s="17">
        <f>ROUND(VLOOKUP(O$139&amp;"_1",管理者用人口入力シート!CO:DL,Q151,FALSE),0)</f>
        <v>12</v>
      </c>
      <c r="P151" s="17">
        <f>ROUND(VLOOKUP(O$139&amp;"_2",管理者用人口入力シート!CO:DL,Q151,FALSE),0)</f>
        <v>10</v>
      </c>
      <c r="Q151" s="2">
        <v>14</v>
      </c>
    </row>
    <row r="152" spans="7:17" x14ac:dyDescent="0.15">
      <c r="G152" s="2" t="s">
        <v>11</v>
      </c>
      <c r="H152" s="17">
        <f>ROUND(VLOOKUP(H$139&amp;"_1",管理者用人口入力シート!BH:CE,J152,FALSE),0)</f>
        <v>21</v>
      </c>
      <c r="I152" s="17">
        <f>ROUND(VLOOKUP(H$139&amp;"_2",管理者用人口入力シート!BH:CE,J152,FALSE),0)</f>
        <v>22</v>
      </c>
      <c r="J152" s="2">
        <v>15</v>
      </c>
      <c r="N152" s="2" t="s">
        <v>11</v>
      </c>
      <c r="O152" s="17">
        <f>ROUND(VLOOKUP(O$139&amp;"_1",管理者用人口入力シート!CO:DL,Q152,FALSE),0)</f>
        <v>21</v>
      </c>
      <c r="P152" s="17">
        <f>ROUND(VLOOKUP(O$139&amp;"_2",管理者用人口入力シート!CO:DL,Q152,FALSE),0)</f>
        <v>24</v>
      </c>
      <c r="Q152" s="2">
        <v>15</v>
      </c>
    </row>
    <row r="153" spans="7:17" x14ac:dyDescent="0.15">
      <c r="G153" s="2" t="s">
        <v>12</v>
      </c>
      <c r="H153" s="17">
        <f>ROUND(VLOOKUP(H$139&amp;"_1",管理者用人口入力シート!BH:CE,J153,FALSE),0)</f>
        <v>26</v>
      </c>
      <c r="I153" s="17">
        <f>ROUND(VLOOKUP(H$139&amp;"_2",管理者用人口入力シート!BH:CE,J153,FALSE),0)</f>
        <v>20</v>
      </c>
      <c r="J153" s="2">
        <v>16</v>
      </c>
      <c r="N153" s="2" t="s">
        <v>12</v>
      </c>
      <c r="O153" s="17">
        <f>ROUND(VLOOKUP(O$139&amp;"_1",管理者用人口入力シート!CO:DL,Q153,FALSE),0)</f>
        <v>26</v>
      </c>
      <c r="P153" s="17">
        <f>ROUND(VLOOKUP(O$139&amp;"_2",管理者用人口入力シート!CO:DL,Q153,FALSE),0)</f>
        <v>20</v>
      </c>
      <c r="Q153" s="2">
        <v>16</v>
      </c>
    </row>
    <row r="154" spans="7:17" x14ac:dyDescent="0.15">
      <c r="G154" s="2" t="s">
        <v>13</v>
      </c>
      <c r="H154" s="17">
        <f>ROUND(VLOOKUP(H$139&amp;"_1",管理者用人口入力シート!BH:CE,J154,FALSE),0)</f>
        <v>5</v>
      </c>
      <c r="I154" s="17">
        <f>ROUND(VLOOKUP(H$139&amp;"_2",管理者用人口入力シート!BH:CE,J154,FALSE),0)</f>
        <v>24</v>
      </c>
      <c r="J154" s="2">
        <v>17</v>
      </c>
      <c r="N154" s="2" t="s">
        <v>13</v>
      </c>
      <c r="O154" s="17">
        <f>ROUND(VLOOKUP(O$139&amp;"_1",管理者用人口入力シート!CO:DL,Q154,FALSE),0)</f>
        <v>5</v>
      </c>
      <c r="P154" s="17">
        <f>ROUND(VLOOKUP(O$139&amp;"_2",管理者用人口入力シート!CO:DL,Q154,FALSE),0)</f>
        <v>24</v>
      </c>
      <c r="Q154" s="2">
        <v>17</v>
      </c>
    </row>
    <row r="155" spans="7:17" x14ac:dyDescent="0.15">
      <c r="G155" s="2" t="s">
        <v>14</v>
      </c>
      <c r="H155" s="17">
        <f>ROUND(VLOOKUP(H$139&amp;"_1",管理者用人口入力シート!BH:CE,J155,FALSE),0)</f>
        <v>19</v>
      </c>
      <c r="I155" s="17">
        <f>ROUND(VLOOKUP(H$139&amp;"_2",管理者用人口入力シート!BH:CE,J155,FALSE),0)</f>
        <v>19</v>
      </c>
      <c r="J155" s="2">
        <v>18</v>
      </c>
      <c r="N155" s="2" t="s">
        <v>14</v>
      </c>
      <c r="O155" s="17">
        <f>ROUND(VLOOKUP(O$139&amp;"_1",管理者用人口入力シート!CO:DL,Q155,FALSE),0)</f>
        <v>19</v>
      </c>
      <c r="P155" s="17">
        <f>ROUND(VLOOKUP(O$139&amp;"_2",管理者用人口入力シート!CO:DL,Q155,FALSE),0)</f>
        <v>19</v>
      </c>
      <c r="Q155" s="2">
        <v>18</v>
      </c>
    </row>
    <row r="156" spans="7:17" x14ac:dyDescent="0.15">
      <c r="G156" s="2" t="s">
        <v>15</v>
      </c>
      <c r="H156" s="17">
        <f>ROUND(VLOOKUP(H$139&amp;"_1",管理者用人口入力シート!BH:CE,J156,FALSE),0)</f>
        <v>16</v>
      </c>
      <c r="I156" s="17">
        <f>ROUND(VLOOKUP(H$139&amp;"_2",管理者用人口入力シート!BH:CE,J156,FALSE),0)</f>
        <v>14</v>
      </c>
      <c r="J156" s="2">
        <v>19</v>
      </c>
      <c r="N156" s="2" t="s">
        <v>15</v>
      </c>
      <c r="O156" s="17">
        <f>ROUND(VLOOKUP(O$139&amp;"_1",管理者用人口入力シート!CO:DL,Q156,FALSE),0)</f>
        <v>16</v>
      </c>
      <c r="P156" s="17">
        <f>ROUND(VLOOKUP(O$139&amp;"_2",管理者用人口入力シート!CO:DL,Q156,FALSE),0)</f>
        <v>14</v>
      </c>
      <c r="Q156" s="2">
        <v>19</v>
      </c>
    </row>
    <row r="157" spans="7:17" x14ac:dyDescent="0.15">
      <c r="G157" s="2" t="s">
        <v>16</v>
      </c>
      <c r="H157" s="17">
        <f>ROUND(VLOOKUP(H$139&amp;"_1",管理者用人口入力シート!BH:CE,J157,FALSE),0)</f>
        <v>11</v>
      </c>
      <c r="I157" s="17">
        <f>ROUND(VLOOKUP(H$139&amp;"_2",管理者用人口入力シート!BH:CE,J157,FALSE),0)</f>
        <v>12</v>
      </c>
      <c r="J157" s="2">
        <v>20</v>
      </c>
      <c r="N157" s="2" t="s">
        <v>16</v>
      </c>
      <c r="O157" s="17">
        <f>ROUND(VLOOKUP(O$139&amp;"_1",管理者用人口入力シート!CO:DL,Q157,FALSE),0)</f>
        <v>11</v>
      </c>
      <c r="P157" s="17">
        <f>ROUND(VLOOKUP(O$139&amp;"_2",管理者用人口入力シート!CO:DL,Q157,FALSE),0)</f>
        <v>12</v>
      </c>
      <c r="Q157" s="2">
        <v>20</v>
      </c>
    </row>
    <row r="158" spans="7:17" x14ac:dyDescent="0.15">
      <c r="G158" s="2" t="s">
        <v>17</v>
      </c>
      <c r="H158" s="17">
        <f>ROUND(VLOOKUP(H$139&amp;"_1",管理者用人口入力シート!BH:CE,J158,FALSE),0)</f>
        <v>8</v>
      </c>
      <c r="I158" s="17">
        <f>ROUND(VLOOKUP(H$139&amp;"_2",管理者用人口入力シート!BH:CE,J158,FALSE),0)</f>
        <v>11</v>
      </c>
      <c r="J158" s="2">
        <v>21</v>
      </c>
      <c r="N158" s="2" t="s">
        <v>17</v>
      </c>
      <c r="O158" s="17">
        <f>ROUND(VLOOKUP(O$139&amp;"_1",管理者用人口入力シート!CO:DL,Q158,FALSE),0)</f>
        <v>8</v>
      </c>
      <c r="P158" s="17">
        <f>ROUND(VLOOKUP(O$139&amp;"_2",管理者用人口入力シート!CO:DL,Q158,FALSE),0)</f>
        <v>11</v>
      </c>
      <c r="Q158" s="2">
        <v>21</v>
      </c>
    </row>
    <row r="159" spans="7:17" x14ac:dyDescent="0.15">
      <c r="G159" s="2" t="s">
        <v>18</v>
      </c>
      <c r="H159" s="17">
        <f>ROUND(VLOOKUP(H$139&amp;"_1",管理者用人口入力シート!BH:CE,J159,FALSE),0)</f>
        <v>3</v>
      </c>
      <c r="I159" s="17">
        <f>ROUND(VLOOKUP(H$139&amp;"_2",管理者用人口入力シート!BH:CE,J159,FALSE),0)</f>
        <v>6</v>
      </c>
      <c r="J159" s="2">
        <v>22</v>
      </c>
      <c r="N159" s="2" t="s">
        <v>18</v>
      </c>
      <c r="O159" s="17">
        <f>ROUND(VLOOKUP(O$139&amp;"_1",管理者用人口入力シート!CO:DL,Q159,FALSE),0)</f>
        <v>3</v>
      </c>
      <c r="P159" s="17">
        <f>ROUND(VLOOKUP(O$139&amp;"_2",管理者用人口入力シート!CO:DL,Q159,FALSE),0)</f>
        <v>6</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2</v>
      </c>
      <c r="J165" s="2">
        <v>4</v>
      </c>
      <c r="N165" s="2" t="s">
        <v>0</v>
      </c>
      <c r="O165" s="17">
        <f>ROUND(VLOOKUP(O$163&amp;"_1",管理者用人口入力シート!CO:DL,Q165,FALSE),0)</f>
        <v>5</v>
      </c>
      <c r="P165" s="17">
        <f>ROUND(VLOOKUP(O$163&amp;"_2",管理者用人口入力シート!CO:DL,Q165,FALSE),0)</f>
        <v>4</v>
      </c>
      <c r="Q165" s="2">
        <v>4</v>
      </c>
    </row>
    <row r="166" spans="7:17" x14ac:dyDescent="0.15">
      <c r="G166" s="2" t="s">
        <v>1</v>
      </c>
      <c r="H166" s="17">
        <f>ROUND(VLOOKUP(H$163&amp;"_1",管理者用人口入力シート!BH:CE,J166,FALSE),0)</f>
        <v>4</v>
      </c>
      <c r="I166" s="17">
        <f>ROUND(VLOOKUP(H$163&amp;"_2",管理者用人口入力シート!BH:CE,J166,FALSE),0)</f>
        <v>2</v>
      </c>
      <c r="J166" s="2">
        <v>5</v>
      </c>
      <c r="N166" s="2" t="s">
        <v>1</v>
      </c>
      <c r="O166" s="17">
        <f>ROUND(VLOOKUP(O$163&amp;"_1",管理者用人口入力シート!CO:DL,Q166,FALSE),0)</f>
        <v>8</v>
      </c>
      <c r="P166" s="17">
        <f>ROUND(VLOOKUP(O$163&amp;"_2",管理者用人口入力シート!CO:DL,Q166,FALSE),0)</f>
        <v>5</v>
      </c>
      <c r="Q166" s="2">
        <v>5</v>
      </c>
    </row>
    <row r="167" spans="7:17" x14ac:dyDescent="0.15">
      <c r="G167" s="2" t="s">
        <v>2</v>
      </c>
      <c r="H167" s="17">
        <f>ROUND(VLOOKUP(H$163&amp;"_1",管理者用人口入力シート!BH:CE,J167,FALSE),0)</f>
        <v>4</v>
      </c>
      <c r="I167" s="17">
        <f>ROUND(VLOOKUP(H$163&amp;"_2",管理者用人口入力シート!BH:CE,J167,FALSE),0)</f>
        <v>3</v>
      </c>
      <c r="J167" s="2">
        <v>6</v>
      </c>
      <c r="N167" s="2" t="s">
        <v>2</v>
      </c>
      <c r="O167" s="17">
        <f>ROUND(VLOOKUP(O$163&amp;"_1",管理者用人口入力シート!CO:DL,Q167,FALSE),0)</f>
        <v>8</v>
      </c>
      <c r="P167" s="17">
        <f>ROUND(VLOOKUP(O$163&amp;"_2",管理者用人口入力シート!CO:DL,Q167,FALSE),0)</f>
        <v>8</v>
      </c>
      <c r="Q167" s="2">
        <v>6</v>
      </c>
    </row>
    <row r="168" spans="7:17" x14ac:dyDescent="0.15">
      <c r="G168" s="2" t="s">
        <v>3</v>
      </c>
      <c r="H168" s="17">
        <f>ROUND(VLOOKUP(H$163&amp;"_1",管理者用人口入力シート!BH:CE,J168,FALSE),0)</f>
        <v>4</v>
      </c>
      <c r="I168" s="17">
        <f>ROUND(VLOOKUP(H$163&amp;"_2",管理者用人口入力シート!BH:CE,J168,FALSE),0)</f>
        <v>3</v>
      </c>
      <c r="J168" s="2">
        <v>7</v>
      </c>
      <c r="N168" s="2" t="s">
        <v>3</v>
      </c>
      <c r="O168" s="17">
        <f>ROUND(VLOOKUP(O$163&amp;"_1",管理者用人口入力シート!CO:DL,Q168,FALSE),0)</f>
        <v>7</v>
      </c>
      <c r="P168" s="17">
        <f>ROUND(VLOOKUP(O$163&amp;"_2",管理者用人口入力シート!CO:DL,Q168,FALSE),0)</f>
        <v>5</v>
      </c>
      <c r="Q168" s="2">
        <v>7</v>
      </c>
    </row>
    <row r="169" spans="7:17" x14ac:dyDescent="0.15">
      <c r="G169" s="2" t="s">
        <v>4</v>
      </c>
      <c r="H169" s="17">
        <f>ROUND(VLOOKUP(H$163&amp;"_1",管理者用人口入力シート!BH:CE,J169,FALSE),0)</f>
        <v>3</v>
      </c>
      <c r="I169" s="17">
        <f>ROUND(VLOOKUP(H$163&amp;"_2",管理者用人口入力シート!BH:CE,J169,FALSE),0)</f>
        <v>2</v>
      </c>
      <c r="J169" s="2">
        <v>8</v>
      </c>
      <c r="N169" s="2" t="s">
        <v>4</v>
      </c>
      <c r="O169" s="17">
        <f>ROUND(VLOOKUP(O$163&amp;"_1",管理者用人口入力シート!CO:DL,Q169,FALSE),0)</f>
        <v>5</v>
      </c>
      <c r="P169" s="17">
        <f>ROUND(VLOOKUP(O$163&amp;"_2",管理者用人口入力シート!CO:DL,Q169,FALSE),0)</f>
        <v>2</v>
      </c>
      <c r="Q169" s="2">
        <v>8</v>
      </c>
    </row>
    <row r="170" spans="7:17" x14ac:dyDescent="0.15">
      <c r="G170" s="2" t="s">
        <v>5</v>
      </c>
      <c r="H170" s="17">
        <f>ROUND(VLOOKUP(H$163&amp;"_1",管理者用人口入力シート!BH:CE,J170,FALSE),0)</f>
        <v>3</v>
      </c>
      <c r="I170" s="17">
        <f>ROUND(VLOOKUP(H$163&amp;"_2",管理者用人口入力シート!BH:CE,J170,FALSE),0)</f>
        <v>2</v>
      </c>
      <c r="J170" s="2">
        <v>9</v>
      </c>
      <c r="N170" s="2" t="s">
        <v>5</v>
      </c>
      <c r="O170" s="17">
        <f>ROUND(VLOOKUP(O$163&amp;"_1",管理者用人口入力シート!CO:DL,Q170,FALSE),0)</f>
        <v>5</v>
      </c>
      <c r="P170" s="17">
        <f>ROUND(VLOOKUP(O$163&amp;"_2",管理者用人口入力シート!CO:DL,Q170,FALSE),0)</f>
        <v>5</v>
      </c>
      <c r="Q170" s="2">
        <v>9</v>
      </c>
    </row>
    <row r="171" spans="7:17" x14ac:dyDescent="0.15">
      <c r="G171" s="2" t="s">
        <v>6</v>
      </c>
      <c r="H171" s="17">
        <f>ROUND(VLOOKUP(H$163&amp;"_1",管理者用人口入力シート!BH:CE,J171,FALSE),0)</f>
        <v>4</v>
      </c>
      <c r="I171" s="17">
        <f>ROUND(VLOOKUP(H$163&amp;"_2",管理者用人口入力シート!BH:CE,J171,FALSE),0)</f>
        <v>4</v>
      </c>
      <c r="J171" s="2">
        <v>10</v>
      </c>
      <c r="N171" s="2" t="s">
        <v>6</v>
      </c>
      <c r="O171" s="17">
        <f>ROUND(VLOOKUP(O$163&amp;"_1",管理者用人口入力シート!CO:DL,Q171,FALSE),0)</f>
        <v>6</v>
      </c>
      <c r="P171" s="17">
        <f>ROUND(VLOOKUP(O$163&amp;"_2",管理者用人口入力シート!CO:DL,Q171,FALSE),0)</f>
        <v>6</v>
      </c>
      <c r="Q171" s="2">
        <v>10</v>
      </c>
    </row>
    <row r="172" spans="7:17" x14ac:dyDescent="0.15">
      <c r="G172" s="2" t="s">
        <v>7</v>
      </c>
      <c r="H172" s="17">
        <f>ROUND(VLOOKUP(H$163&amp;"_1",管理者用人口入力シート!BH:CE,J172,FALSE),0)</f>
        <v>3</v>
      </c>
      <c r="I172" s="17">
        <f>ROUND(VLOOKUP(H$163&amp;"_2",管理者用人口入力シート!BH:CE,J172,FALSE),0)</f>
        <v>2</v>
      </c>
      <c r="J172" s="2">
        <v>11</v>
      </c>
      <c r="N172" s="2" t="s">
        <v>7</v>
      </c>
      <c r="O172" s="17">
        <f>ROUND(VLOOKUP(O$163&amp;"_1",管理者用人口入力シート!CO:DL,Q172,FALSE),0)</f>
        <v>5</v>
      </c>
      <c r="P172" s="17">
        <f>ROUND(VLOOKUP(O$163&amp;"_2",管理者用人口入力シート!CO:DL,Q172,FALSE),0)</f>
        <v>3</v>
      </c>
      <c r="Q172" s="2">
        <v>11</v>
      </c>
    </row>
    <row r="173" spans="7:17" x14ac:dyDescent="0.15">
      <c r="G173" s="2" t="s">
        <v>8</v>
      </c>
      <c r="H173" s="17">
        <f>ROUND(VLOOKUP(H$163&amp;"_1",管理者用人口入力シート!BH:CE,J173,FALSE),0)</f>
        <v>0</v>
      </c>
      <c r="I173" s="17">
        <f>ROUND(VLOOKUP(H$163&amp;"_2",管理者用人口入力シート!BH:CE,J173,FALSE),0)</f>
        <v>3</v>
      </c>
      <c r="J173" s="2">
        <v>12</v>
      </c>
      <c r="N173" s="2" t="s">
        <v>8</v>
      </c>
      <c r="O173" s="17">
        <f>ROUND(VLOOKUP(O$163&amp;"_1",管理者用人口入力シート!CO:DL,Q173,FALSE),0)</f>
        <v>2</v>
      </c>
      <c r="P173" s="17">
        <f>ROUND(VLOOKUP(O$163&amp;"_2",管理者用人口入力シート!CO:DL,Q173,FALSE),0)</f>
        <v>6</v>
      </c>
      <c r="Q173" s="2">
        <v>12</v>
      </c>
    </row>
    <row r="174" spans="7:17" x14ac:dyDescent="0.15">
      <c r="G174" s="2" t="s">
        <v>9</v>
      </c>
      <c r="H174" s="17">
        <f>ROUND(VLOOKUP(H$163&amp;"_1",管理者用人口入力シート!BH:CE,J174,FALSE),0)</f>
        <v>6</v>
      </c>
      <c r="I174" s="17">
        <f>ROUND(VLOOKUP(H$163&amp;"_2",管理者用人口入力シート!BH:CE,J174,FALSE),0)</f>
        <v>5</v>
      </c>
      <c r="J174" s="2">
        <v>13</v>
      </c>
      <c r="N174" s="2" t="s">
        <v>9</v>
      </c>
      <c r="O174" s="17">
        <f>ROUND(VLOOKUP(O$163&amp;"_1",管理者用人口入力シート!CO:DL,Q174,FALSE),0)</f>
        <v>9</v>
      </c>
      <c r="P174" s="17">
        <f>ROUND(VLOOKUP(O$163&amp;"_2",管理者用人口入力シート!CO:DL,Q174,FALSE),0)</f>
        <v>9</v>
      </c>
      <c r="Q174" s="2">
        <v>13</v>
      </c>
    </row>
    <row r="175" spans="7:17" x14ac:dyDescent="0.15">
      <c r="G175" s="2" t="s">
        <v>10</v>
      </c>
      <c r="H175" s="17">
        <f>ROUND(VLOOKUP(H$163&amp;"_1",管理者用人口入力シート!BH:CE,J175,FALSE),0)</f>
        <v>5</v>
      </c>
      <c r="I175" s="17">
        <f>ROUND(VLOOKUP(H$163&amp;"_2",管理者用人口入力シート!BH:CE,J175,FALSE),0)</f>
        <v>10</v>
      </c>
      <c r="J175" s="2">
        <v>14</v>
      </c>
      <c r="N175" s="2" t="s">
        <v>10</v>
      </c>
      <c r="O175" s="17">
        <f>ROUND(VLOOKUP(O$163&amp;"_1",管理者用人口入力シート!CO:DL,Q175,FALSE),0)</f>
        <v>5</v>
      </c>
      <c r="P175" s="17">
        <f>ROUND(VLOOKUP(O$163&amp;"_2",管理者用人口入力シート!CO:DL,Q175,FALSE),0)</f>
        <v>11</v>
      </c>
      <c r="Q175" s="2">
        <v>14</v>
      </c>
    </row>
    <row r="176" spans="7:17" x14ac:dyDescent="0.15">
      <c r="G176" s="2" t="s">
        <v>11</v>
      </c>
      <c r="H176" s="17">
        <f>ROUND(VLOOKUP(H$163&amp;"_1",管理者用人口入力シート!BH:CE,J176,FALSE),0)</f>
        <v>11</v>
      </c>
      <c r="I176" s="17">
        <f>ROUND(VLOOKUP(H$163&amp;"_2",管理者用人口入力シート!BH:CE,J176,FALSE),0)</f>
        <v>8</v>
      </c>
      <c r="J176" s="2">
        <v>15</v>
      </c>
      <c r="N176" s="2" t="s">
        <v>11</v>
      </c>
      <c r="O176" s="17">
        <f>ROUND(VLOOKUP(O$163&amp;"_1",管理者用人口入力シート!CO:DL,Q176,FALSE),0)</f>
        <v>11</v>
      </c>
      <c r="P176" s="17">
        <f>ROUND(VLOOKUP(O$163&amp;"_2",管理者用人口入力シート!CO:DL,Q176,FALSE),0)</f>
        <v>10</v>
      </c>
      <c r="Q176" s="2">
        <v>15</v>
      </c>
    </row>
    <row r="177" spans="7:17" x14ac:dyDescent="0.15">
      <c r="G177" s="2" t="s">
        <v>12</v>
      </c>
      <c r="H177" s="17">
        <f>ROUND(VLOOKUP(H$163&amp;"_1",管理者用人口入力シート!BH:CE,J177,FALSE),0)</f>
        <v>23</v>
      </c>
      <c r="I177" s="17">
        <f>ROUND(VLOOKUP(H$163&amp;"_2",管理者用人口入力シート!BH:CE,J177,FALSE),0)</f>
        <v>24</v>
      </c>
      <c r="J177" s="2">
        <v>16</v>
      </c>
      <c r="N177" s="2" t="s">
        <v>12</v>
      </c>
      <c r="O177" s="17">
        <f>ROUND(VLOOKUP(O$163&amp;"_1",管理者用人口入力シート!CO:DL,Q177,FALSE),0)</f>
        <v>23</v>
      </c>
      <c r="P177" s="17">
        <f>ROUND(VLOOKUP(O$163&amp;"_2",管理者用人口入力シート!CO:DL,Q177,FALSE),0)</f>
        <v>26</v>
      </c>
      <c r="Q177" s="2">
        <v>16</v>
      </c>
    </row>
    <row r="178" spans="7:17" x14ac:dyDescent="0.15">
      <c r="G178" s="2" t="s">
        <v>13</v>
      </c>
      <c r="H178" s="17">
        <f>ROUND(VLOOKUP(H$163&amp;"_1",管理者用人口入力シート!BH:CE,J178,FALSE),0)</f>
        <v>27</v>
      </c>
      <c r="I178" s="17">
        <f>ROUND(VLOOKUP(H$163&amp;"_2",管理者用人口入力シート!BH:CE,J178,FALSE),0)</f>
        <v>23</v>
      </c>
      <c r="J178" s="2">
        <v>17</v>
      </c>
      <c r="N178" s="2" t="s">
        <v>13</v>
      </c>
      <c r="O178" s="17">
        <f>ROUND(VLOOKUP(O$163&amp;"_1",管理者用人口入力シート!CO:DL,Q178,FALSE),0)</f>
        <v>27</v>
      </c>
      <c r="P178" s="17">
        <f>ROUND(VLOOKUP(O$163&amp;"_2",管理者用人口入力シート!CO:DL,Q178,FALSE),0)</f>
        <v>23</v>
      </c>
      <c r="Q178" s="2">
        <v>17</v>
      </c>
    </row>
    <row r="179" spans="7:17" x14ac:dyDescent="0.15">
      <c r="G179" s="2" t="s">
        <v>14</v>
      </c>
      <c r="H179" s="17">
        <f>ROUND(VLOOKUP(H$163&amp;"_1",管理者用人口入力シート!BH:CE,J179,FALSE),0)</f>
        <v>5</v>
      </c>
      <c r="I179" s="17">
        <f>ROUND(VLOOKUP(H$163&amp;"_2",管理者用人口入力シート!BH:CE,J179,FALSE),0)</f>
        <v>23</v>
      </c>
      <c r="J179" s="2">
        <v>18</v>
      </c>
      <c r="N179" s="2" t="s">
        <v>14</v>
      </c>
      <c r="O179" s="17">
        <f>ROUND(VLOOKUP(O$163&amp;"_1",管理者用人口入力シート!CO:DL,Q179,FALSE),0)</f>
        <v>5</v>
      </c>
      <c r="P179" s="17">
        <f>ROUND(VLOOKUP(O$163&amp;"_2",管理者用人口入力シート!CO:DL,Q179,FALSE),0)</f>
        <v>23</v>
      </c>
      <c r="Q179" s="2">
        <v>18</v>
      </c>
    </row>
    <row r="180" spans="7:17" x14ac:dyDescent="0.15">
      <c r="G180" s="2" t="s">
        <v>15</v>
      </c>
      <c r="H180" s="17">
        <f>ROUND(VLOOKUP(H$163&amp;"_1",管理者用人口入力シート!BH:CE,J180,FALSE),0)</f>
        <v>21</v>
      </c>
      <c r="I180" s="17">
        <f>ROUND(VLOOKUP(H$163&amp;"_2",管理者用人口入力シート!BH:CE,J180,FALSE),0)</f>
        <v>14</v>
      </c>
      <c r="J180" s="2">
        <v>19</v>
      </c>
      <c r="N180" s="2" t="s">
        <v>15</v>
      </c>
      <c r="O180" s="17">
        <f>ROUND(VLOOKUP(O$163&amp;"_1",管理者用人口入力シート!CO:DL,Q180,FALSE),0)</f>
        <v>21</v>
      </c>
      <c r="P180" s="17">
        <f>ROUND(VLOOKUP(O$163&amp;"_2",管理者用人口入力シート!CO:DL,Q180,FALSE),0)</f>
        <v>14</v>
      </c>
      <c r="Q180" s="2">
        <v>19</v>
      </c>
    </row>
    <row r="181" spans="7:17" x14ac:dyDescent="0.15">
      <c r="G181" s="2" t="s">
        <v>16</v>
      </c>
      <c r="H181" s="17">
        <f>ROUND(VLOOKUP(H$163&amp;"_1",管理者用人口入力シート!BH:CE,J181,FALSE),0)</f>
        <v>14</v>
      </c>
      <c r="I181" s="17">
        <f>ROUND(VLOOKUP(H$163&amp;"_2",管理者用人口入力シート!BH:CE,J181,FALSE),0)</f>
        <v>11</v>
      </c>
      <c r="J181" s="2">
        <v>20</v>
      </c>
      <c r="N181" s="2" t="s">
        <v>16</v>
      </c>
      <c r="O181" s="17">
        <f>ROUND(VLOOKUP(O$163&amp;"_1",管理者用人口入力シート!CO:DL,Q181,FALSE),0)</f>
        <v>14</v>
      </c>
      <c r="P181" s="17">
        <f>ROUND(VLOOKUP(O$163&amp;"_2",管理者用人口入力シート!CO:DL,Q181,FALSE),0)</f>
        <v>11</v>
      </c>
      <c r="Q181" s="2">
        <v>20</v>
      </c>
    </row>
    <row r="182" spans="7:17" x14ac:dyDescent="0.15">
      <c r="G182" s="2" t="s">
        <v>17</v>
      </c>
      <c r="H182" s="17">
        <f>ROUND(VLOOKUP(H$163&amp;"_1",管理者用人口入力シート!BH:CE,J182,FALSE),0)</f>
        <v>4</v>
      </c>
      <c r="I182" s="17">
        <f>ROUND(VLOOKUP(H$163&amp;"_2",管理者用人口入力シート!BH:CE,J182,FALSE),0)</f>
        <v>8</v>
      </c>
      <c r="J182" s="2">
        <v>21</v>
      </c>
      <c r="N182" s="2" t="s">
        <v>17</v>
      </c>
      <c r="O182" s="17">
        <f>ROUND(VLOOKUP(O$163&amp;"_1",管理者用人口入力シート!CO:DL,Q182,FALSE),0)</f>
        <v>4</v>
      </c>
      <c r="P182" s="17">
        <f>ROUND(VLOOKUP(O$163&amp;"_2",管理者用人口入力シート!CO:DL,Q182,FALSE),0)</f>
        <v>8</v>
      </c>
      <c r="Q182" s="2">
        <v>21</v>
      </c>
    </row>
    <row r="183" spans="7:17" x14ac:dyDescent="0.15">
      <c r="G183" s="2" t="s">
        <v>18</v>
      </c>
      <c r="H183" s="17">
        <f>ROUND(VLOOKUP(H$163&amp;"_1",管理者用人口入力シート!BH:CE,J183,FALSE),0)</f>
        <v>4</v>
      </c>
      <c r="I183" s="17">
        <f>ROUND(VLOOKUP(H$163&amp;"_2",管理者用人口入力シート!BH:CE,J183,FALSE),0)</f>
        <v>8</v>
      </c>
      <c r="J183" s="2">
        <v>22</v>
      </c>
      <c r="N183" s="2" t="s">
        <v>18</v>
      </c>
      <c r="O183" s="17">
        <f>ROUND(VLOOKUP(O$163&amp;"_1",管理者用人口入力シート!CO:DL,Q183,FALSE),0)</f>
        <v>4</v>
      </c>
      <c r="P183" s="17">
        <f>ROUND(VLOOKUP(O$163&amp;"_2",管理者用人口入力シート!CO:DL,Q183,FALSE),0)</f>
        <v>8</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2</v>
      </c>
      <c r="J189" s="2">
        <v>4</v>
      </c>
      <c r="N189" s="2" t="s">
        <v>0</v>
      </c>
      <c r="O189" s="17">
        <f>ROUND(VLOOKUP(O$187&amp;"_1",管理者用人口入力シート!CO:DL,Q189,FALSE),0)</f>
        <v>5</v>
      </c>
      <c r="P189" s="17">
        <f>ROUND(VLOOKUP(O$187&amp;"_2",管理者用人口入力シート!CO:DL,Q189,FALSE),0)</f>
        <v>4</v>
      </c>
      <c r="Q189" s="2">
        <v>4</v>
      </c>
    </row>
    <row r="190" spans="7:17" x14ac:dyDescent="0.15">
      <c r="G190" s="2" t="s">
        <v>1</v>
      </c>
      <c r="H190" s="17">
        <f>ROUND(VLOOKUP(H$187&amp;"_1",管理者用人口入力シート!BH:CE,J190,FALSE),0)</f>
        <v>3</v>
      </c>
      <c r="I190" s="17">
        <f>ROUND(VLOOKUP(H$187&amp;"_2",管理者用人口入力シート!BH:CE,J190,FALSE),0)</f>
        <v>2</v>
      </c>
      <c r="J190" s="2">
        <v>5</v>
      </c>
      <c r="N190" s="2" t="s">
        <v>1</v>
      </c>
      <c r="O190" s="17">
        <f>ROUND(VLOOKUP(O$187&amp;"_1",管理者用人口入力シート!CO:DL,Q190,FALSE),0)</f>
        <v>7</v>
      </c>
      <c r="P190" s="17">
        <f>ROUND(VLOOKUP(O$187&amp;"_2",管理者用人口入力シート!CO:DL,Q190,FALSE),0)</f>
        <v>4</v>
      </c>
      <c r="Q190" s="2">
        <v>5</v>
      </c>
    </row>
    <row r="191" spans="7:17" x14ac:dyDescent="0.15">
      <c r="G191" s="2" t="s">
        <v>2</v>
      </c>
      <c r="H191" s="17">
        <f>ROUND(VLOOKUP(H$187&amp;"_1",管理者用人口入力シート!BH:CE,J191,FALSE),0)</f>
        <v>4</v>
      </c>
      <c r="I191" s="17">
        <f>ROUND(VLOOKUP(H$187&amp;"_2",管理者用人口入力シート!BH:CE,J191,FALSE),0)</f>
        <v>3</v>
      </c>
      <c r="J191" s="2">
        <v>6</v>
      </c>
      <c r="N191" s="2" t="s">
        <v>2</v>
      </c>
      <c r="O191" s="17">
        <f>ROUND(VLOOKUP(O$187&amp;"_1",管理者用人口入力シート!CO:DL,Q191,FALSE),0)</f>
        <v>8</v>
      </c>
      <c r="P191" s="17">
        <f>ROUND(VLOOKUP(O$187&amp;"_2",管理者用人口入力シート!CO:DL,Q191,FALSE),0)</f>
        <v>7</v>
      </c>
      <c r="Q191" s="2">
        <v>6</v>
      </c>
    </row>
    <row r="192" spans="7:17" x14ac:dyDescent="0.15">
      <c r="G192" s="2" t="s">
        <v>3</v>
      </c>
      <c r="H192" s="17">
        <f>ROUND(VLOOKUP(H$187&amp;"_1",管理者用人口入力シート!BH:CE,J192,FALSE),0)</f>
        <v>3</v>
      </c>
      <c r="I192" s="17">
        <f>ROUND(VLOOKUP(H$187&amp;"_2",管理者用人口入力シート!BH:CE,J192,FALSE),0)</f>
        <v>2</v>
      </c>
      <c r="J192" s="2">
        <v>7</v>
      </c>
      <c r="N192" s="2" t="s">
        <v>3</v>
      </c>
      <c r="O192" s="17">
        <f>ROUND(VLOOKUP(O$187&amp;"_1",管理者用人口入力シート!CO:DL,Q192,FALSE),0)</f>
        <v>7</v>
      </c>
      <c r="P192" s="17">
        <f>ROUND(VLOOKUP(O$187&amp;"_2",管理者用人口入力シート!CO:DL,Q192,FALSE),0)</f>
        <v>5</v>
      </c>
      <c r="Q192" s="2">
        <v>7</v>
      </c>
    </row>
    <row r="193" spans="7:17" x14ac:dyDescent="0.15">
      <c r="G193" s="2" t="s">
        <v>4</v>
      </c>
      <c r="H193" s="17">
        <f>ROUND(VLOOKUP(H$187&amp;"_1",管理者用人口入力シート!BH:CE,J193,FALSE),0)</f>
        <v>3</v>
      </c>
      <c r="I193" s="17">
        <f>ROUND(VLOOKUP(H$187&amp;"_2",管理者用人口入力シート!BH:CE,J193,FALSE),0)</f>
        <v>1</v>
      </c>
      <c r="J193" s="2">
        <v>8</v>
      </c>
      <c r="N193" s="2" t="s">
        <v>4</v>
      </c>
      <c r="O193" s="17">
        <f>ROUND(VLOOKUP(O$187&amp;"_1",管理者用人口入力シート!CO:DL,Q193,FALSE),0)</f>
        <v>5</v>
      </c>
      <c r="P193" s="17">
        <f>ROUND(VLOOKUP(O$187&amp;"_2",管理者用人口入力シート!CO:DL,Q193,FALSE),0)</f>
        <v>3</v>
      </c>
      <c r="Q193" s="2">
        <v>8</v>
      </c>
    </row>
    <row r="194" spans="7:17" x14ac:dyDescent="0.15">
      <c r="G194" s="2" t="s">
        <v>5</v>
      </c>
      <c r="H194" s="17">
        <f>ROUND(VLOOKUP(H$187&amp;"_1",管理者用人口入力シート!BH:CE,J194,FALSE),0)</f>
        <v>2</v>
      </c>
      <c r="I194" s="17">
        <f>ROUND(VLOOKUP(H$187&amp;"_2",管理者用人口入力シート!BH:CE,J194,FALSE),0)</f>
        <v>2</v>
      </c>
      <c r="J194" s="2">
        <v>9</v>
      </c>
      <c r="N194" s="2" t="s">
        <v>5</v>
      </c>
      <c r="O194" s="17">
        <f>ROUND(VLOOKUP(O$187&amp;"_1",管理者用人口入力シート!CO:DL,Q194,FALSE),0)</f>
        <v>5</v>
      </c>
      <c r="P194" s="17">
        <f>ROUND(VLOOKUP(O$187&amp;"_2",管理者用人口入力シート!CO:DL,Q194,FALSE),0)</f>
        <v>4</v>
      </c>
      <c r="Q194" s="2">
        <v>9</v>
      </c>
    </row>
    <row r="195" spans="7:17" x14ac:dyDescent="0.15">
      <c r="G195" s="2" t="s">
        <v>6</v>
      </c>
      <c r="H195" s="17">
        <f>ROUND(VLOOKUP(H$187&amp;"_1",管理者用人口入力シート!BH:CE,J195,FALSE),0)</f>
        <v>4</v>
      </c>
      <c r="I195" s="17">
        <f>ROUND(VLOOKUP(H$187&amp;"_2",管理者用人口入力シート!BH:CE,J195,FALSE),0)</f>
        <v>2</v>
      </c>
      <c r="J195" s="2">
        <v>10</v>
      </c>
      <c r="N195" s="2" t="s">
        <v>6</v>
      </c>
      <c r="O195" s="17">
        <f>ROUND(VLOOKUP(O$187&amp;"_1",管理者用人口入力シート!CO:DL,Q195,FALSE),0)</f>
        <v>6</v>
      </c>
      <c r="P195" s="17">
        <f>ROUND(VLOOKUP(O$187&amp;"_2",管理者用人口入力シート!CO:DL,Q195,FALSE),0)</f>
        <v>5</v>
      </c>
      <c r="Q195" s="2">
        <v>10</v>
      </c>
    </row>
    <row r="196" spans="7:17" x14ac:dyDescent="0.15">
      <c r="G196" s="2" t="s">
        <v>7</v>
      </c>
      <c r="H196" s="17">
        <f>ROUND(VLOOKUP(H$187&amp;"_1",管理者用人口入力シート!BH:CE,J196,FALSE),0)</f>
        <v>3</v>
      </c>
      <c r="I196" s="17">
        <f>ROUND(VLOOKUP(H$187&amp;"_2",管理者用人口入力シート!BH:CE,J196,FALSE),0)</f>
        <v>3</v>
      </c>
      <c r="J196" s="2">
        <v>11</v>
      </c>
      <c r="N196" s="2" t="s">
        <v>7</v>
      </c>
      <c r="O196" s="17">
        <f>ROUND(VLOOKUP(O$187&amp;"_1",管理者用人口入力シート!CO:DL,Q196,FALSE),0)</f>
        <v>6</v>
      </c>
      <c r="P196" s="17">
        <f>ROUND(VLOOKUP(O$187&amp;"_2",管理者用人口入力シート!CO:DL,Q196,FALSE),0)</f>
        <v>5</v>
      </c>
      <c r="Q196" s="2">
        <v>11</v>
      </c>
    </row>
    <row r="197" spans="7:17" x14ac:dyDescent="0.15">
      <c r="G197" s="2" t="s">
        <v>8</v>
      </c>
      <c r="H197" s="17">
        <f>ROUND(VLOOKUP(H$187&amp;"_1",管理者用人口入力シート!BH:CE,J197,FALSE),0)</f>
        <v>2</v>
      </c>
      <c r="I197" s="17">
        <f>ROUND(VLOOKUP(H$187&amp;"_2",管理者用人口入力シート!BH:CE,J197,FALSE),0)</f>
        <v>2</v>
      </c>
      <c r="J197" s="2">
        <v>12</v>
      </c>
      <c r="N197" s="2" t="s">
        <v>8</v>
      </c>
      <c r="O197" s="17">
        <f>ROUND(VLOOKUP(O$187&amp;"_1",管理者用人口入力シート!CO:DL,Q197,FALSE),0)</f>
        <v>3</v>
      </c>
      <c r="P197" s="17">
        <f>ROUND(VLOOKUP(O$187&amp;"_2",管理者用人口入力シート!CO:DL,Q197,FALSE),0)</f>
        <v>5</v>
      </c>
      <c r="Q197" s="2">
        <v>12</v>
      </c>
    </row>
    <row r="198" spans="7:17" x14ac:dyDescent="0.15">
      <c r="G198" s="2" t="s">
        <v>9</v>
      </c>
      <c r="H198" s="17">
        <f>ROUND(VLOOKUP(H$187&amp;"_1",管理者用人口入力シート!BH:CE,J198,FALSE),0)</f>
        <v>1</v>
      </c>
      <c r="I198" s="17">
        <f>ROUND(VLOOKUP(H$187&amp;"_2",管理者用人口入力シート!BH:CE,J198,FALSE),0)</f>
        <v>4</v>
      </c>
      <c r="J198" s="2">
        <v>13</v>
      </c>
      <c r="N198" s="2" t="s">
        <v>9</v>
      </c>
      <c r="O198" s="17">
        <f>ROUND(VLOOKUP(O$187&amp;"_1",管理者用人口入力シート!CO:DL,Q198,FALSE),0)</f>
        <v>4</v>
      </c>
      <c r="P198" s="17">
        <f>ROUND(VLOOKUP(O$187&amp;"_2",管理者用人口入力シート!CO:DL,Q198,FALSE),0)</f>
        <v>8</v>
      </c>
      <c r="Q198" s="2">
        <v>13</v>
      </c>
    </row>
    <row r="199" spans="7:17" x14ac:dyDescent="0.15">
      <c r="G199" s="2" t="s">
        <v>10</v>
      </c>
      <c r="H199" s="17">
        <f>ROUND(VLOOKUP(H$187&amp;"_1",管理者用人口入力シート!BH:CE,J199,FALSE),0)</f>
        <v>6</v>
      </c>
      <c r="I199" s="17">
        <f>ROUND(VLOOKUP(H$187&amp;"_2",管理者用人口入力シート!BH:CE,J199,FALSE),0)</f>
        <v>6</v>
      </c>
      <c r="J199" s="2">
        <v>14</v>
      </c>
      <c r="N199" s="2" t="s">
        <v>10</v>
      </c>
      <c r="O199" s="17">
        <f>ROUND(VLOOKUP(O$187&amp;"_1",管理者用人口入力シート!CO:DL,Q199,FALSE),0)</f>
        <v>10</v>
      </c>
      <c r="P199" s="17">
        <f>ROUND(VLOOKUP(O$187&amp;"_2",管理者用人口入力シート!CO:DL,Q199,FALSE),0)</f>
        <v>11</v>
      </c>
      <c r="Q199" s="2">
        <v>14</v>
      </c>
    </row>
    <row r="200" spans="7:17" x14ac:dyDescent="0.15">
      <c r="G200" s="2" t="s">
        <v>11</v>
      </c>
      <c r="H200" s="17">
        <f>ROUND(VLOOKUP(H$187&amp;"_1",管理者用人口入力シート!BH:CE,J200,FALSE),0)</f>
        <v>5</v>
      </c>
      <c r="I200" s="17">
        <f>ROUND(VLOOKUP(H$187&amp;"_2",管理者用人口入力シート!BH:CE,J200,FALSE),0)</f>
        <v>10</v>
      </c>
      <c r="J200" s="2">
        <v>15</v>
      </c>
      <c r="N200" s="2" t="s">
        <v>11</v>
      </c>
      <c r="O200" s="17">
        <f>ROUND(VLOOKUP(O$187&amp;"_1",管理者用人口入力シート!CO:DL,Q200,FALSE),0)</f>
        <v>5</v>
      </c>
      <c r="P200" s="17">
        <f>ROUND(VLOOKUP(O$187&amp;"_2",管理者用人口入力シート!CO:DL,Q200,FALSE),0)</f>
        <v>11</v>
      </c>
      <c r="Q200" s="2">
        <v>15</v>
      </c>
    </row>
    <row r="201" spans="7:17" x14ac:dyDescent="0.15">
      <c r="G201" s="2" t="s">
        <v>12</v>
      </c>
      <c r="H201" s="17">
        <f>ROUND(VLOOKUP(H$187&amp;"_1",管理者用人口入力シート!BH:CE,J201,FALSE),0)</f>
        <v>13</v>
      </c>
      <c r="I201" s="17">
        <f>ROUND(VLOOKUP(H$187&amp;"_2",管理者用人口入力シート!BH:CE,J201,FALSE),0)</f>
        <v>9</v>
      </c>
      <c r="J201" s="2">
        <v>16</v>
      </c>
      <c r="N201" s="2" t="s">
        <v>12</v>
      </c>
      <c r="O201" s="17">
        <f>ROUND(VLOOKUP(O$187&amp;"_1",管理者用人口入力シート!CO:DL,Q201,FALSE),0)</f>
        <v>13</v>
      </c>
      <c r="P201" s="17">
        <f>ROUND(VLOOKUP(O$187&amp;"_2",管理者用人口入力シート!CO:DL,Q201,FALSE),0)</f>
        <v>11</v>
      </c>
      <c r="Q201" s="2">
        <v>16</v>
      </c>
    </row>
    <row r="202" spans="7:17" x14ac:dyDescent="0.15">
      <c r="G202" s="2" t="s">
        <v>13</v>
      </c>
      <c r="H202" s="17">
        <f>ROUND(VLOOKUP(H$187&amp;"_1",管理者用人口入力シート!BH:CE,J202,FALSE),0)</f>
        <v>23</v>
      </c>
      <c r="I202" s="17">
        <f>ROUND(VLOOKUP(H$187&amp;"_2",管理者用人口入力シート!BH:CE,J202,FALSE),0)</f>
        <v>27</v>
      </c>
      <c r="J202" s="2">
        <v>17</v>
      </c>
      <c r="N202" s="2" t="s">
        <v>13</v>
      </c>
      <c r="O202" s="17">
        <f>ROUND(VLOOKUP(O$187&amp;"_1",管理者用人口入力シート!CO:DL,Q202,FALSE),0)</f>
        <v>23</v>
      </c>
      <c r="P202" s="17">
        <f>ROUND(VLOOKUP(O$187&amp;"_2",管理者用人口入力シート!CO:DL,Q202,FALSE),0)</f>
        <v>28</v>
      </c>
      <c r="Q202" s="2">
        <v>17</v>
      </c>
    </row>
    <row r="203" spans="7:17" x14ac:dyDescent="0.15">
      <c r="G203" s="2" t="s">
        <v>14</v>
      </c>
      <c r="H203" s="17">
        <f>ROUND(VLOOKUP(H$187&amp;"_1",管理者用人口入力シート!BH:CE,J203,FALSE),0)</f>
        <v>26</v>
      </c>
      <c r="I203" s="17">
        <f>ROUND(VLOOKUP(H$187&amp;"_2",管理者用人口入力シート!BH:CE,J203,FALSE),0)</f>
        <v>22</v>
      </c>
      <c r="J203" s="2">
        <v>18</v>
      </c>
      <c r="N203" s="2" t="s">
        <v>14</v>
      </c>
      <c r="O203" s="17">
        <f>ROUND(VLOOKUP(O$187&amp;"_1",管理者用人口入力シート!CO:DL,Q203,FALSE),0)</f>
        <v>26</v>
      </c>
      <c r="P203" s="17">
        <f>ROUND(VLOOKUP(O$187&amp;"_2",管理者用人口入力シート!CO:DL,Q203,FALSE),0)</f>
        <v>22</v>
      </c>
      <c r="Q203" s="2">
        <v>18</v>
      </c>
    </row>
    <row r="204" spans="7:17" x14ac:dyDescent="0.15">
      <c r="G204" s="2" t="s">
        <v>15</v>
      </c>
      <c r="H204" s="17">
        <f>ROUND(VLOOKUP(H$187&amp;"_1",管理者用人口入力シート!BH:CE,J204,FALSE),0)</f>
        <v>5</v>
      </c>
      <c r="I204" s="17">
        <f>ROUND(VLOOKUP(H$187&amp;"_2",管理者用人口入力シート!BH:CE,J204,FALSE),0)</f>
        <v>17</v>
      </c>
      <c r="J204" s="2">
        <v>19</v>
      </c>
      <c r="N204" s="2" t="s">
        <v>15</v>
      </c>
      <c r="O204" s="17">
        <f>ROUND(VLOOKUP(O$187&amp;"_1",管理者用人口入力シート!CO:DL,Q204,FALSE),0)</f>
        <v>5</v>
      </c>
      <c r="P204" s="17">
        <f>ROUND(VLOOKUP(O$187&amp;"_2",管理者用人口入力シート!CO:DL,Q204,FALSE),0)</f>
        <v>17</v>
      </c>
      <c r="Q204" s="2">
        <v>19</v>
      </c>
    </row>
    <row r="205" spans="7:17" x14ac:dyDescent="0.15">
      <c r="G205" s="2" t="s">
        <v>16</v>
      </c>
      <c r="H205" s="17">
        <f>ROUND(VLOOKUP(H$187&amp;"_1",管理者用人口入力シート!BH:CE,J205,FALSE),0)</f>
        <v>17</v>
      </c>
      <c r="I205" s="17">
        <f>ROUND(VLOOKUP(H$187&amp;"_2",管理者用人口入力シート!BH:CE,J205,FALSE),0)</f>
        <v>11</v>
      </c>
      <c r="J205" s="2">
        <v>20</v>
      </c>
      <c r="N205" s="2" t="s">
        <v>16</v>
      </c>
      <c r="O205" s="17">
        <f>ROUND(VLOOKUP(O$187&amp;"_1",管理者用人口入力シート!CO:DL,Q205,FALSE),0)</f>
        <v>17</v>
      </c>
      <c r="P205" s="17">
        <f>ROUND(VLOOKUP(O$187&amp;"_2",管理者用人口入力シート!CO:DL,Q205,FALSE),0)</f>
        <v>11</v>
      </c>
      <c r="Q205" s="2">
        <v>20</v>
      </c>
    </row>
    <row r="206" spans="7:17" x14ac:dyDescent="0.15">
      <c r="G206" s="2" t="s">
        <v>17</v>
      </c>
      <c r="H206" s="17">
        <f>ROUND(VLOOKUP(H$187&amp;"_1",管理者用人口入力シート!BH:CE,J206,FALSE),0)</f>
        <v>5</v>
      </c>
      <c r="I206" s="17">
        <f>ROUND(VLOOKUP(H$187&amp;"_2",管理者用人口入力シート!BH:CE,J206,FALSE),0)</f>
        <v>7</v>
      </c>
      <c r="J206" s="2">
        <v>21</v>
      </c>
      <c r="N206" s="2" t="s">
        <v>17</v>
      </c>
      <c r="O206" s="17">
        <f>ROUND(VLOOKUP(O$187&amp;"_1",管理者用人口入力シート!CO:DL,Q206,FALSE),0)</f>
        <v>5</v>
      </c>
      <c r="P206" s="17">
        <f>ROUND(VLOOKUP(O$187&amp;"_2",管理者用人口入力シート!CO:DL,Q206,FALSE),0)</f>
        <v>7</v>
      </c>
      <c r="Q206" s="2">
        <v>21</v>
      </c>
    </row>
    <row r="207" spans="7:17" x14ac:dyDescent="0.15">
      <c r="G207" s="2" t="s">
        <v>18</v>
      </c>
      <c r="H207" s="17">
        <f>ROUND(VLOOKUP(H$187&amp;"_1",管理者用人口入力シート!BH:CE,J207,FALSE),0)</f>
        <v>2</v>
      </c>
      <c r="I207" s="17">
        <f>ROUND(VLOOKUP(H$187&amp;"_2",管理者用人口入力シート!BH:CE,J207,FALSE),0)</f>
        <v>6</v>
      </c>
      <c r="J207" s="2">
        <v>22</v>
      </c>
      <c r="N207" s="2" t="s">
        <v>18</v>
      </c>
      <c r="O207" s="17">
        <f>ROUND(VLOOKUP(O$187&amp;"_1",管理者用人口入力シート!CO:DL,Q207,FALSE),0)</f>
        <v>2</v>
      </c>
      <c r="P207" s="17">
        <f>ROUND(VLOOKUP(O$187&amp;"_2",管理者用人口入力シート!CO:DL,Q207,FALSE),0)</f>
        <v>6</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6</v>
      </c>
      <c r="P214" s="17">
        <f>O93+P93</f>
        <v>10</v>
      </c>
      <c r="Q214" s="2">
        <v>4</v>
      </c>
    </row>
    <row r="215" spans="7:17" x14ac:dyDescent="0.15">
      <c r="N215" s="2" t="s">
        <v>1</v>
      </c>
      <c r="O215" s="17">
        <f t="shared" ref="O215:O233" si="37">H94+I94</f>
        <v>10</v>
      </c>
      <c r="P215" s="17">
        <f t="shared" ref="P215:P233" si="38">O94+P94</f>
        <v>12</v>
      </c>
      <c r="Q215" s="2">
        <v>5</v>
      </c>
    </row>
    <row r="216" spans="7:17" x14ac:dyDescent="0.15">
      <c r="N216" s="2" t="s">
        <v>2</v>
      </c>
      <c r="O216" s="17">
        <f t="shared" si="37"/>
        <v>15</v>
      </c>
      <c r="P216" s="17">
        <f t="shared" si="38"/>
        <v>17</v>
      </c>
      <c r="Q216" s="2">
        <v>6</v>
      </c>
    </row>
    <row r="217" spans="7:17" x14ac:dyDescent="0.15">
      <c r="N217" s="2" t="s">
        <v>3</v>
      </c>
      <c r="O217" s="17">
        <f t="shared" si="37"/>
        <v>15</v>
      </c>
      <c r="P217" s="17">
        <f t="shared" si="38"/>
        <v>16</v>
      </c>
      <c r="Q217" s="2">
        <v>7</v>
      </c>
    </row>
    <row r="218" spans="7:17" x14ac:dyDescent="0.15">
      <c r="N218" s="2" t="s">
        <v>4</v>
      </c>
      <c r="O218" s="17">
        <f t="shared" si="37"/>
        <v>6</v>
      </c>
      <c r="P218" s="17">
        <f t="shared" si="38"/>
        <v>6</v>
      </c>
      <c r="Q218" s="2">
        <v>8</v>
      </c>
    </row>
    <row r="219" spans="7:17" x14ac:dyDescent="0.15">
      <c r="N219" s="2" t="s">
        <v>5</v>
      </c>
      <c r="O219" s="17">
        <f t="shared" si="37"/>
        <v>3</v>
      </c>
      <c r="P219" s="17">
        <f t="shared" si="38"/>
        <v>7</v>
      </c>
      <c r="Q219" s="2">
        <v>9</v>
      </c>
    </row>
    <row r="220" spans="7:17" x14ac:dyDescent="0.15">
      <c r="N220" s="2" t="s">
        <v>6</v>
      </c>
      <c r="O220" s="17">
        <f t="shared" si="37"/>
        <v>8</v>
      </c>
      <c r="P220" s="17">
        <f t="shared" si="38"/>
        <v>13</v>
      </c>
      <c r="Q220" s="2">
        <v>10</v>
      </c>
    </row>
    <row r="221" spans="7:17" x14ac:dyDescent="0.15">
      <c r="N221" s="2" t="s">
        <v>7</v>
      </c>
      <c r="O221" s="17">
        <f t="shared" si="37"/>
        <v>8</v>
      </c>
      <c r="P221" s="17">
        <f t="shared" si="38"/>
        <v>8</v>
      </c>
      <c r="Q221" s="2">
        <v>11</v>
      </c>
    </row>
    <row r="222" spans="7:17" x14ac:dyDescent="0.15">
      <c r="N222" s="2" t="s">
        <v>8</v>
      </c>
      <c r="O222" s="17">
        <f t="shared" si="37"/>
        <v>10</v>
      </c>
      <c r="P222" s="17">
        <f t="shared" si="38"/>
        <v>11</v>
      </c>
      <c r="Q222" s="2">
        <v>12</v>
      </c>
    </row>
    <row r="223" spans="7:17" x14ac:dyDescent="0.15">
      <c r="N223" s="2" t="s">
        <v>9</v>
      </c>
      <c r="O223" s="17">
        <f t="shared" si="37"/>
        <v>36</v>
      </c>
      <c r="P223" s="17">
        <f t="shared" si="38"/>
        <v>37</v>
      </c>
      <c r="Q223" s="2">
        <v>13</v>
      </c>
    </row>
    <row r="224" spans="7:17" x14ac:dyDescent="0.15">
      <c r="N224" s="2" t="s">
        <v>10</v>
      </c>
      <c r="O224" s="17">
        <f t="shared" si="37"/>
        <v>43</v>
      </c>
      <c r="P224" s="17">
        <f t="shared" si="38"/>
        <v>43</v>
      </c>
      <c r="Q224" s="2">
        <v>14</v>
      </c>
    </row>
    <row r="225" spans="14:17" x14ac:dyDescent="0.15">
      <c r="N225" s="2" t="s">
        <v>11</v>
      </c>
      <c r="O225" s="17">
        <f t="shared" si="37"/>
        <v>25</v>
      </c>
      <c r="P225" s="17">
        <f t="shared" si="38"/>
        <v>25</v>
      </c>
      <c r="Q225" s="2">
        <v>15</v>
      </c>
    </row>
    <row r="226" spans="14:17" x14ac:dyDescent="0.15">
      <c r="N226" s="2" t="s">
        <v>12</v>
      </c>
      <c r="O226" s="17">
        <f t="shared" si="37"/>
        <v>38</v>
      </c>
      <c r="P226" s="17">
        <f t="shared" si="38"/>
        <v>38</v>
      </c>
      <c r="Q226" s="2">
        <v>16</v>
      </c>
    </row>
    <row r="227" spans="14:17" x14ac:dyDescent="0.15">
      <c r="N227" s="2" t="s">
        <v>13</v>
      </c>
      <c r="O227" s="17">
        <f t="shared" si="37"/>
        <v>36</v>
      </c>
      <c r="P227" s="17">
        <f t="shared" si="38"/>
        <v>36</v>
      </c>
      <c r="Q227" s="2">
        <v>17</v>
      </c>
    </row>
    <row r="228" spans="14:17" x14ac:dyDescent="0.15">
      <c r="N228" s="2" t="s">
        <v>14</v>
      </c>
      <c r="O228" s="17">
        <f t="shared" si="37"/>
        <v>33</v>
      </c>
      <c r="P228" s="17">
        <f t="shared" si="38"/>
        <v>33</v>
      </c>
      <c r="Q228" s="2">
        <v>18</v>
      </c>
    </row>
    <row r="229" spans="14:17" x14ac:dyDescent="0.15">
      <c r="N229" s="2" t="s">
        <v>15</v>
      </c>
      <c r="O229" s="17">
        <f t="shared" si="37"/>
        <v>49</v>
      </c>
      <c r="P229" s="17">
        <f t="shared" si="38"/>
        <v>49</v>
      </c>
      <c r="Q229" s="2">
        <v>19</v>
      </c>
    </row>
    <row r="230" spans="14:17" x14ac:dyDescent="0.15">
      <c r="N230" s="2" t="s">
        <v>16</v>
      </c>
      <c r="O230" s="17">
        <f t="shared" si="37"/>
        <v>29</v>
      </c>
      <c r="P230" s="17">
        <f t="shared" si="38"/>
        <v>29</v>
      </c>
      <c r="Q230" s="2">
        <v>20</v>
      </c>
    </row>
    <row r="231" spans="14:17" x14ac:dyDescent="0.15">
      <c r="N231" s="2" t="s">
        <v>17</v>
      </c>
      <c r="O231" s="17">
        <f t="shared" si="37"/>
        <v>9</v>
      </c>
      <c r="P231" s="17">
        <f t="shared" si="38"/>
        <v>9</v>
      </c>
      <c r="Q231" s="2">
        <v>21</v>
      </c>
    </row>
    <row r="232" spans="14:17" x14ac:dyDescent="0.15">
      <c r="N232" s="2" t="s">
        <v>18</v>
      </c>
      <c r="O232" s="17">
        <f t="shared" si="37"/>
        <v>11</v>
      </c>
      <c r="P232" s="17">
        <f t="shared" si="38"/>
        <v>11</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5</v>
      </c>
      <c r="P238" s="17">
        <f>O141+P141</f>
        <v>9</v>
      </c>
      <c r="Q238" s="2">
        <v>4</v>
      </c>
    </row>
    <row r="239" spans="14:17" x14ac:dyDescent="0.15">
      <c r="N239" s="2" t="s">
        <v>1</v>
      </c>
      <c r="O239" s="17">
        <f t="shared" ref="O239:O257" si="39">H142+I142</f>
        <v>7</v>
      </c>
      <c r="P239" s="17">
        <f t="shared" ref="P239:P257" si="40">O142+P142</f>
        <v>13</v>
      </c>
      <c r="Q239" s="2">
        <v>5</v>
      </c>
    </row>
    <row r="240" spans="14:17" x14ac:dyDescent="0.15">
      <c r="N240" s="2" t="s">
        <v>2</v>
      </c>
      <c r="O240" s="17">
        <f t="shared" si="39"/>
        <v>9</v>
      </c>
      <c r="P240" s="17">
        <f t="shared" si="40"/>
        <v>15</v>
      </c>
      <c r="Q240" s="2">
        <v>6</v>
      </c>
    </row>
    <row r="241" spans="14:17" x14ac:dyDescent="0.15">
      <c r="N241" s="2" t="s">
        <v>3</v>
      </c>
      <c r="O241" s="17">
        <f t="shared" si="39"/>
        <v>7</v>
      </c>
      <c r="P241" s="17">
        <f t="shared" si="40"/>
        <v>11</v>
      </c>
      <c r="Q241" s="2">
        <v>7</v>
      </c>
    </row>
    <row r="242" spans="14:17" x14ac:dyDescent="0.15">
      <c r="N242" s="2" t="s">
        <v>4</v>
      </c>
      <c r="O242" s="17">
        <f t="shared" si="39"/>
        <v>7</v>
      </c>
      <c r="P242" s="17">
        <f t="shared" si="40"/>
        <v>8</v>
      </c>
      <c r="Q242" s="2">
        <v>8</v>
      </c>
    </row>
    <row r="243" spans="14:17" x14ac:dyDescent="0.15">
      <c r="N243" s="2" t="s">
        <v>5</v>
      </c>
      <c r="O243" s="17">
        <f t="shared" si="39"/>
        <v>7</v>
      </c>
      <c r="P243" s="17">
        <f t="shared" si="40"/>
        <v>11</v>
      </c>
      <c r="Q243" s="2">
        <v>9</v>
      </c>
    </row>
    <row r="244" spans="14:17" x14ac:dyDescent="0.15">
      <c r="N244" s="2" t="s">
        <v>6</v>
      </c>
      <c r="O244" s="17">
        <f t="shared" si="39"/>
        <v>5</v>
      </c>
      <c r="P244" s="17">
        <f t="shared" si="40"/>
        <v>9</v>
      </c>
      <c r="Q244" s="2">
        <v>10</v>
      </c>
    </row>
    <row r="245" spans="14:17" x14ac:dyDescent="0.15">
      <c r="N245" s="2" t="s">
        <v>7</v>
      </c>
      <c r="O245" s="17">
        <f t="shared" si="39"/>
        <v>4</v>
      </c>
      <c r="P245" s="17">
        <f t="shared" si="40"/>
        <v>7</v>
      </c>
      <c r="Q245" s="2">
        <v>11</v>
      </c>
    </row>
    <row r="246" spans="14:17" x14ac:dyDescent="0.15">
      <c r="N246" s="2" t="s">
        <v>8</v>
      </c>
      <c r="O246" s="17">
        <f t="shared" si="39"/>
        <v>7</v>
      </c>
      <c r="P246" s="17">
        <f t="shared" si="40"/>
        <v>11</v>
      </c>
      <c r="Q246" s="2">
        <v>12</v>
      </c>
    </row>
    <row r="247" spans="14:17" x14ac:dyDescent="0.15">
      <c r="N247" s="2" t="s">
        <v>9</v>
      </c>
      <c r="O247" s="17">
        <f t="shared" si="39"/>
        <v>13</v>
      </c>
      <c r="P247" s="17">
        <f t="shared" si="40"/>
        <v>14</v>
      </c>
      <c r="Q247" s="2">
        <v>13</v>
      </c>
    </row>
    <row r="248" spans="14:17" x14ac:dyDescent="0.15">
      <c r="N248" s="2" t="s">
        <v>10</v>
      </c>
      <c r="O248" s="17">
        <f t="shared" si="39"/>
        <v>20</v>
      </c>
      <c r="P248" s="17">
        <f t="shared" si="40"/>
        <v>22</v>
      </c>
      <c r="Q248" s="2">
        <v>14</v>
      </c>
    </row>
    <row r="249" spans="14:17" x14ac:dyDescent="0.15">
      <c r="N249" s="2" t="s">
        <v>11</v>
      </c>
      <c r="O249" s="17">
        <f t="shared" si="39"/>
        <v>43</v>
      </c>
      <c r="P249" s="17">
        <f t="shared" si="40"/>
        <v>45</v>
      </c>
      <c r="Q249" s="2">
        <v>15</v>
      </c>
    </row>
    <row r="250" spans="14:17" x14ac:dyDescent="0.15">
      <c r="N250" s="2" t="s">
        <v>12</v>
      </c>
      <c r="O250" s="17">
        <f t="shared" si="39"/>
        <v>46</v>
      </c>
      <c r="P250" s="17">
        <f t="shared" si="40"/>
        <v>46</v>
      </c>
      <c r="Q250" s="2">
        <v>16</v>
      </c>
    </row>
    <row r="251" spans="14:17" x14ac:dyDescent="0.15">
      <c r="N251" s="2" t="s">
        <v>13</v>
      </c>
      <c r="O251" s="17">
        <f t="shared" si="39"/>
        <v>29</v>
      </c>
      <c r="P251" s="17">
        <f t="shared" si="40"/>
        <v>29</v>
      </c>
      <c r="Q251" s="2">
        <v>17</v>
      </c>
    </row>
    <row r="252" spans="14:17" x14ac:dyDescent="0.15">
      <c r="N252" s="2" t="s">
        <v>14</v>
      </c>
      <c r="O252" s="17">
        <f t="shared" si="39"/>
        <v>38</v>
      </c>
      <c r="P252" s="17">
        <f t="shared" si="40"/>
        <v>38</v>
      </c>
      <c r="Q252" s="2">
        <v>18</v>
      </c>
    </row>
    <row r="253" spans="14:17" x14ac:dyDescent="0.15">
      <c r="N253" s="2" t="s">
        <v>15</v>
      </c>
      <c r="O253" s="17">
        <f t="shared" si="39"/>
        <v>30</v>
      </c>
      <c r="P253" s="17">
        <f t="shared" si="40"/>
        <v>30</v>
      </c>
      <c r="Q253" s="2">
        <v>19</v>
      </c>
    </row>
    <row r="254" spans="14:17" x14ac:dyDescent="0.15">
      <c r="N254" s="2" t="s">
        <v>16</v>
      </c>
      <c r="O254" s="17">
        <f t="shared" si="39"/>
        <v>23</v>
      </c>
      <c r="P254" s="17">
        <f t="shared" si="40"/>
        <v>23</v>
      </c>
      <c r="Q254" s="2">
        <v>20</v>
      </c>
    </row>
    <row r="255" spans="14:17" x14ac:dyDescent="0.15">
      <c r="N255" s="2" t="s">
        <v>17</v>
      </c>
      <c r="O255" s="17">
        <f t="shared" si="39"/>
        <v>19</v>
      </c>
      <c r="P255" s="17">
        <f t="shared" si="40"/>
        <v>19</v>
      </c>
      <c r="Q255" s="2">
        <v>21</v>
      </c>
    </row>
    <row r="256" spans="14:17" x14ac:dyDescent="0.15">
      <c r="N256" s="2" t="s">
        <v>18</v>
      </c>
      <c r="O256" s="17">
        <f t="shared" si="39"/>
        <v>9</v>
      </c>
      <c r="P256" s="17">
        <f t="shared" si="40"/>
        <v>9</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2019-03-18T12:09:28Z</cp:lastPrinted>
  <dcterms:created xsi:type="dcterms:W3CDTF">2018-08-17T00:57:13Z</dcterms:created>
  <dcterms:modified xsi:type="dcterms:W3CDTF">2023-03-06T05:18:41Z</dcterms:modified>
</cp:coreProperties>
</file>