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W+Fc9tpAZgKAXROoCyPxZ8rK1eahFdXdY/F13JmoObcWEjMeS33BG4be3aWRI21dlC7HHOJpMzWMLYG2qnqyLA==" workbookSaltValue="wwnogibQdinc3DkYeraXQA=="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B4" i="17"/>
  <c r="BB8" i="17" s="1"/>
  <c r="CA4" i="17" s="1"/>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BQ3" i="17"/>
  <c r="O62" i="18"/>
  <c r="O26" i="18"/>
  <c r="CO13" i="17"/>
  <c r="O54" i="18"/>
  <c r="O18"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P8" i="17" l="1"/>
  <c r="BO4" i="17" s="1"/>
  <c r="O14" i="18"/>
  <c r="AT8" i="17"/>
  <c r="BS4" i="17" s="1"/>
  <c r="BT7" i="17" s="1"/>
  <c r="BF8" i="17"/>
  <c r="CE4" i="17" s="1"/>
  <c r="ET4" i="17" s="1"/>
  <c r="ET21" i="17" s="1"/>
  <c r="AX8" i="17"/>
  <c r="BW4" i="17" s="1"/>
  <c r="EL4" i="17" s="1"/>
  <c r="AV8" i="17"/>
  <c r="BU4" i="17" s="1"/>
  <c r="DB4" i="17" s="1"/>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AM8" i="17"/>
  <c r="BL4" i="17" s="1"/>
  <c r="BM7" i="17" s="1"/>
  <c r="O58" i="18"/>
  <c r="BA8" i="17"/>
  <c r="BZ4" i="17" s="1"/>
  <c r="BZ5" i="17" s="1"/>
  <c r="O32" i="18"/>
  <c r="AQ8" i="17"/>
  <c r="BP4" i="17" s="1"/>
  <c r="AS8" i="17"/>
  <c r="BR4" i="17" s="1"/>
  <c r="BS7" i="17" s="1"/>
  <c r="AZ8" i="17"/>
  <c r="BY4" i="17" s="1"/>
  <c r="AO8" i="17"/>
  <c r="BN4" i="17" s="1"/>
  <c r="O38" i="18"/>
  <c r="A111" i="21" s="1"/>
  <c r="BE8" i="17"/>
  <c r="CD4" i="17" s="1"/>
  <c r="CD5" i="17" s="1"/>
  <c r="I60" i="18"/>
  <c r="P60" i="18" s="1"/>
  <c r="DK3" i="17"/>
  <c r="DL6" i="17" s="1"/>
  <c r="ES3" i="17"/>
  <c r="EJ4" i="17"/>
  <c r="O53" i="18"/>
  <c r="O43" i="18"/>
  <c r="O25" i="18"/>
  <c r="O64" i="18"/>
  <c r="O56" i="18"/>
  <c r="O20" i="18"/>
  <c r="A77" i="21" s="1"/>
  <c r="EP4" i="17"/>
  <c r="CY3" i="17"/>
  <c r="CZ6" i="17" s="1"/>
  <c r="CV4" i="17"/>
  <c r="ED4" i="17"/>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EH4" i="17"/>
  <c r="EN3" i="17"/>
  <c r="EN20" i="17" s="1"/>
  <c r="EP3" i="17"/>
  <c r="EP20" i="17" s="1"/>
  <c r="CT3" i="17"/>
  <c r="CU6" i="17" s="1"/>
  <c r="EB3" i="17"/>
  <c r="DB3" i="17"/>
  <c r="EJ3" i="17"/>
  <c r="EJ20" i="17" s="1"/>
  <c r="CS3" i="17"/>
  <c r="CT6" i="17" s="1"/>
  <c r="EA3" i="17"/>
  <c r="EA20" i="17" s="1"/>
  <c r="O35" i="18"/>
  <c r="O17" i="18"/>
  <c r="CT4" i="17"/>
  <c r="CD6" i="17"/>
  <c r="BM5" i="17"/>
  <c r="CE6" i="17"/>
  <c r="CO10" i="17"/>
  <c r="CP11" i="17"/>
  <c r="CO11" i="17" s="1"/>
  <c r="BI5" i="17"/>
  <c r="BH5" i="17" s="1"/>
  <c r="BH4" i="17"/>
  <c r="BI14" i="17"/>
  <c r="BH14" i="17" s="1"/>
  <c r="BH13" i="17"/>
  <c r="BT5" i="17"/>
  <c r="BU6" i="17"/>
  <c r="BW6" i="17"/>
  <c r="BO6" i="17"/>
  <c r="CH3" i="17"/>
  <c r="BR6" i="17"/>
  <c r="BS6" i="17"/>
  <c r="BQ6" i="17"/>
  <c r="DI3" i="17"/>
  <c r="CC6" i="17"/>
  <c r="BM6" i="17"/>
  <c r="CG3" i="17"/>
  <c r="DH4" i="17"/>
  <c r="CM3" i="17"/>
  <c r="DG3" i="17"/>
  <c r="CA6" i="17"/>
  <c r="CJ3" i="17"/>
  <c r="DF3" i="17"/>
  <c r="BZ6" i="17"/>
  <c r="DE3" i="17"/>
  <c r="BY6" i="17"/>
  <c r="CI3" i="17"/>
  <c r="DH3" i="17"/>
  <c r="CB6" i="17"/>
  <c r="CA5" i="17"/>
  <c r="BN6" i="17"/>
  <c r="BO5" i="17"/>
  <c r="BV6" i="17"/>
  <c r="BX6" i="17"/>
  <c r="BP6" i="17"/>
  <c r="BT6" i="17"/>
  <c r="O42" i="18"/>
  <c r="O60" i="18"/>
  <c r="O52" i="18"/>
  <c r="O24" i="18"/>
  <c r="O34" i="18"/>
  <c r="O16" i="18"/>
  <c r="CZ4" i="17" l="1"/>
  <c r="DA7" i="17" s="1"/>
  <c r="BS5" i="17"/>
  <c r="DL4" i="17"/>
  <c r="DL5" i="17" s="1"/>
  <c r="CE5" i="17"/>
  <c r="BZ7" i="17"/>
  <c r="CA10" i="17" s="1"/>
  <c r="CB13" i="17" s="1"/>
  <c r="DD7" i="17"/>
  <c r="DE10" i="17" s="1"/>
  <c r="DD4" i="17"/>
  <c r="P81" i="18" s="1"/>
  <c r="BW5" i="17"/>
  <c r="BU7" i="17"/>
  <c r="BV10" i="17" s="1"/>
  <c r="BW13" i="17" s="1"/>
  <c r="BU5" i="17"/>
  <c r="O75" i="18"/>
  <c r="DJ4" i="17"/>
  <c r="P87" i="18" s="1"/>
  <c r="O76" i="18"/>
  <c r="DK4" i="17"/>
  <c r="DL7" i="17" s="1"/>
  <c r="DL8" i="17" s="1"/>
  <c r="DB7" i="17"/>
  <c r="DC10" i="17" s="1"/>
  <c r="O71" i="18"/>
  <c r="BR7" i="17"/>
  <c r="BS10" i="17" s="1"/>
  <c r="BT13" i="17" s="1"/>
  <c r="I150" i="18" s="1"/>
  <c r="BQ5" i="17"/>
  <c r="CE7" i="17"/>
  <c r="CE8" i="17" s="1"/>
  <c r="O88" i="18"/>
  <c r="BR5" i="17"/>
  <c r="ES4" i="17"/>
  <c r="ES21" i="17" s="1"/>
  <c r="CY4" i="17"/>
  <c r="CZ7" i="17" s="1"/>
  <c r="DA10" i="17" s="1"/>
  <c r="CD7" i="17"/>
  <c r="CE10" i="17" s="1"/>
  <c r="I137" i="18" s="1"/>
  <c r="EQ4" i="17"/>
  <c r="ER7" i="17" s="1"/>
  <c r="CC5" i="17"/>
  <c r="E74" i="15"/>
  <c r="DI7" i="17"/>
  <c r="DJ10" i="17" s="1"/>
  <c r="DG4" i="17"/>
  <c r="DH7" i="17" s="1"/>
  <c r="P85" i="18" s="1"/>
  <c r="K6" i="18"/>
  <c r="R6" i="18" s="1"/>
  <c r="P6" i="18"/>
  <c r="O82" i="18"/>
  <c r="BY5" i="17"/>
  <c r="P79" i="18"/>
  <c r="DI4" i="17"/>
  <c r="DJ7" i="17" s="1"/>
  <c r="DK10" i="17" s="1"/>
  <c r="CC7" i="17"/>
  <c r="CC8" i="17" s="1"/>
  <c r="O73" i="18"/>
  <c r="E75" i="15"/>
  <c r="P89" i="18"/>
  <c r="CB7" i="17"/>
  <c r="CB8" i="17" s="1"/>
  <c r="P78" i="18"/>
  <c r="O77" i="18"/>
  <c r="CY7" i="17"/>
  <c r="O89" i="18"/>
  <c r="BV5" i="17"/>
  <c r="O81" i="18"/>
  <c r="O79" i="18"/>
  <c r="O78" i="18"/>
  <c r="O72" i="18"/>
  <c r="P77" i="18"/>
  <c r="O74" i="18"/>
  <c r="CI4" i="17"/>
  <c r="BX5" i="17"/>
  <c r="EM4" i="17"/>
  <c r="EM21" i="17" s="1"/>
  <c r="EM22" i="17"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S7" i="17"/>
  <c r="ER21" i="17"/>
  <c r="ER22" i="17" s="1"/>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DA9" i="17"/>
  <c r="DO3" i="17"/>
  <c r="DC6" i="17"/>
  <c r="EQ6" i="17"/>
  <c r="EQ23" i="17" s="1"/>
  <c r="EP5" i="17"/>
  <c r="EC7" i="17"/>
  <c r="ED5" i="17"/>
  <c r="EL5" i="17"/>
  <c r="EM6" i="17"/>
  <c r="EM23" i="17" s="1"/>
  <c r="ER6" i="17"/>
  <c r="ER23" i="17" s="1"/>
  <c r="ER5" i="17"/>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CZ9" i="17"/>
  <c r="DB9" i="17"/>
  <c r="CW9" i="17"/>
  <c r="CY9" i="17"/>
  <c r="CV9" i="17"/>
  <c r="CX9" i="17"/>
  <c r="CU9" i="17"/>
  <c r="EB6" i="17"/>
  <c r="EB23" i="17" s="1"/>
  <c r="EV3" i="17"/>
  <c r="BN10" i="17"/>
  <c r="BO13" i="17" s="1"/>
  <c r="CT5" i="17"/>
  <c r="CX5" i="17"/>
  <c r="DT3" i="17"/>
  <c r="BU9" i="17"/>
  <c r="H127" i="18" s="1"/>
  <c r="BT8" i="17"/>
  <c r="BO9" i="17"/>
  <c r="H121" i="18" s="1"/>
  <c r="BZ9" i="17"/>
  <c r="H132" i="18" s="1"/>
  <c r="BR9" i="17"/>
  <c r="BS12" i="17" s="1"/>
  <c r="H101" i="18" s="1"/>
  <c r="CZ5" i="17"/>
  <c r="DC5" i="17"/>
  <c r="DA5" i="17"/>
  <c r="BQ9" i="17"/>
  <c r="H123" i="18"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Z8" i="17" l="1"/>
  <c r="CJ5" i="17"/>
  <c r="DD5" i="17"/>
  <c r="DE7" i="17"/>
  <c r="P82" i="18" s="1"/>
  <c r="DK7" i="17"/>
  <c r="DL10" i="17" s="1"/>
  <c r="P137" i="18" s="1"/>
  <c r="CM5" i="17"/>
  <c r="DJ5" i="17"/>
  <c r="BU8" i="17"/>
  <c r="EM5" i="17"/>
  <c r="CD10" i="17"/>
  <c r="CE13" i="17" s="1"/>
  <c r="I161" i="18" s="1"/>
  <c r="DG5" i="17"/>
  <c r="BR8" i="17"/>
  <c r="P86" i="18"/>
  <c r="CD8" i="17"/>
  <c r="EV4" i="17"/>
  <c r="CI5" i="17"/>
  <c r="CY5" i="17"/>
  <c r="ES5" i="17"/>
  <c r="BV8" i="17"/>
  <c r="DD10" i="17"/>
  <c r="DE13" i="17" s="1"/>
  <c r="DF16" i="17" s="1"/>
  <c r="P76" i="18"/>
  <c r="P88" i="18"/>
  <c r="EQ21" i="17"/>
  <c r="EQ22" i="17" s="1"/>
  <c r="ET7" i="17"/>
  <c r="ET24" i="17" s="1"/>
  <c r="ET25" i="17" s="1"/>
  <c r="P84" i="18"/>
  <c r="BX8" i="17"/>
  <c r="EQ5" i="17"/>
  <c r="DK5" i="17"/>
  <c r="CC10" i="17"/>
  <c r="CD13" i="17" s="1"/>
  <c r="I160" i="18" s="1"/>
  <c r="I113" i="18"/>
  <c r="O234" i="18" s="1"/>
  <c r="DI5" i="17"/>
  <c r="I110" i="18"/>
  <c r="CZ10" i="17"/>
  <c r="P125" i="18" s="1"/>
  <c r="EN7" i="17"/>
  <c r="EN24" i="17" s="1"/>
  <c r="EN25" i="17" s="1"/>
  <c r="EL7" i="17"/>
  <c r="EL24" i="17" s="1"/>
  <c r="EL25"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I97" i="18"/>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I125"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CE11" i="17"/>
  <c r="I85" i="18"/>
  <c r="I43" i="18" s="1"/>
  <c r="P43" i="18" s="1"/>
  <c r="BQ8" i="17"/>
  <c r="CV10" i="17"/>
  <c r="EP7" i="17"/>
  <c r="EP8" i="17" s="1"/>
  <c r="BQ10" i="17"/>
  <c r="EO7" i="17"/>
  <c r="EO24" i="17" s="1"/>
  <c r="EO25" i="17" s="1"/>
  <c r="EO5" i="17"/>
  <c r="BP8" i="17"/>
  <c r="BY8" i="17"/>
  <c r="EN10" i="17"/>
  <c r="EN27" i="17" s="1"/>
  <c r="EX4" i="17"/>
  <c r="CI7" i="17"/>
  <c r="EV20"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D9" i="17"/>
  <c r="O80" i="18"/>
  <c r="BY16" i="17"/>
  <c r="I106" i="18"/>
  <c r="BV16" i="17"/>
  <c r="I103" i="18"/>
  <c r="BU16" i="17"/>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S11" i="17"/>
  <c r="BT12" i="17"/>
  <c r="H150" i="18" s="1"/>
  <c r="O247" i="18" s="1"/>
  <c r="BT11" i="17"/>
  <c r="BU12" i="17"/>
  <c r="H151" i="18" s="1"/>
  <c r="O248" i="18" s="1"/>
  <c r="BR12" i="17"/>
  <c r="H148" i="18" s="1"/>
  <c r="DE9" i="17"/>
  <c r="O130" i="18" s="1"/>
  <c r="DD8" i="17"/>
  <c r="BU11" i="17"/>
  <c r="BV12" i="17"/>
  <c r="H152" i="18" s="1"/>
  <c r="O249" i="18" s="1"/>
  <c r="DF10" i="17" l="1"/>
  <c r="DP7" i="17"/>
  <c r="DL11" i="17"/>
  <c r="DE8" i="17"/>
  <c r="DP8" i="17" s="1"/>
  <c r="DQ7" i="17"/>
  <c r="P112" i="18"/>
  <c r="DK8" i="17"/>
  <c r="DQ8" i="17" s="1"/>
  <c r="CE14" i="17"/>
  <c r="CD11" i="17"/>
  <c r="I136" i="18"/>
  <c r="BL7" i="17"/>
  <c r="CG7" i="17" s="1"/>
  <c r="ET8" i="17"/>
  <c r="P129" i="18"/>
  <c r="O255" i="18"/>
  <c r="EO10" i="17"/>
  <c r="EO27" i="17" s="1"/>
  <c r="EO28" i="17" s="1"/>
  <c r="DQ5" i="17"/>
  <c r="BK5" i="17"/>
  <c r="CF5" i="17" s="1"/>
  <c r="CL5" i="17" s="1"/>
  <c r="CF4" i="17"/>
  <c r="EN8" i="17"/>
  <c r="CI8" i="17"/>
  <c r="CE16" i="17"/>
  <c r="I185" i="18" s="1"/>
  <c r="DT5" i="17"/>
  <c r="CJ8" i="17"/>
  <c r="O257" i="18"/>
  <c r="I135" i="18"/>
  <c r="CC11" i="17"/>
  <c r="O244" i="18"/>
  <c r="EY21" i="17"/>
  <c r="EO8" i="17"/>
  <c r="CR4" i="17"/>
  <c r="P69" i="18" s="1"/>
  <c r="EX21" i="17"/>
  <c r="EM10" i="17"/>
  <c r="EM27" i="17" s="1"/>
  <c r="EM28" i="17" s="1"/>
  <c r="DP5" i="17"/>
  <c r="EL8" i="17"/>
  <c r="BZ11" i="17"/>
  <c r="CJ10" i="17"/>
  <c r="O256" i="18"/>
  <c r="CI13" i="17"/>
  <c r="DA13" i="17"/>
  <c r="DA14" i="17" s="1"/>
  <c r="DC14" i="17"/>
  <c r="CZ11" i="17"/>
  <c r="EC10" i="17"/>
  <c r="EC27" i="17" s="1"/>
  <c r="EC28" i="17" s="1"/>
  <c r="EX7" i="17"/>
  <c r="DL16" i="17"/>
  <c r="P185" i="18" s="1"/>
  <c r="P107" i="18"/>
  <c r="P155" i="18"/>
  <c r="DJ13" i="17"/>
  <c r="DK16" i="17" s="1"/>
  <c r="P134" i="18"/>
  <c r="DG13" i="17"/>
  <c r="DH16" i="17" s="1"/>
  <c r="P131" i="18"/>
  <c r="P105" i="18"/>
  <c r="P153" i="18"/>
  <c r="O243" i="18"/>
  <c r="DE12" i="17"/>
  <c r="DE14" i="17" s="1"/>
  <c r="O129" i="18"/>
  <c r="DI13" i="17"/>
  <c r="P133" i="18"/>
  <c r="DH19" i="17"/>
  <c r="P205" i="18" s="1"/>
  <c r="P180" i="18"/>
  <c r="DH13" i="17"/>
  <c r="P132" i="18"/>
  <c r="O105" i="18"/>
  <c r="O153" i="18"/>
  <c r="DF19" i="17"/>
  <c r="P203" i="18" s="1"/>
  <c r="P178" i="18"/>
  <c r="EW21" i="17"/>
  <c r="P113" i="18"/>
  <c r="P161" i="18"/>
  <c r="O108" i="18"/>
  <c r="O156" i="18"/>
  <c r="DG19" i="17"/>
  <c r="P204" i="18" s="1"/>
  <c r="P179" i="18"/>
  <c r="EW22" i="17"/>
  <c r="EX5" i="17"/>
  <c r="O246" i="18"/>
  <c r="O250" i="18"/>
  <c r="O258" i="18"/>
  <c r="P106" i="18"/>
  <c r="P154"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CC19" i="17" s="1"/>
  <c r="I207" i="18" s="1"/>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CS7" i="17" l="1"/>
  <c r="P70" i="18" s="1"/>
  <c r="P224" i="18"/>
  <c r="P249" i="18"/>
  <c r="P150" i="18"/>
  <c r="P247" i="18" s="1"/>
  <c r="P248" i="18"/>
  <c r="BM10" i="17"/>
  <c r="I119" i="18" s="1"/>
  <c r="EP13" i="17"/>
  <c r="EP30" i="17" s="1"/>
  <c r="I94" i="18"/>
  <c r="CR5" i="17"/>
  <c r="DM5" i="17" s="1"/>
  <c r="DR5" i="17" s="1"/>
  <c r="CK4" i="17"/>
  <c r="BL8" i="17"/>
  <c r="CG8" i="17" s="1"/>
  <c r="I18" i="18" s="1"/>
  <c r="CI11" i="17"/>
  <c r="CL4" i="17"/>
  <c r="DM4" i="17"/>
  <c r="DR4" i="17" s="1"/>
  <c r="ED13" i="17"/>
  <c r="ED30" i="17" s="1"/>
  <c r="DF15" i="17"/>
  <c r="DG18" i="17" s="1"/>
  <c r="O204" i="18" s="1"/>
  <c r="EO11" i="17"/>
  <c r="EX8" i="17"/>
  <c r="P226" i="18"/>
  <c r="CK5" i="17"/>
  <c r="I93" i="18"/>
  <c r="O214" i="18" s="1"/>
  <c r="I45" i="18"/>
  <c r="P45" i="18" s="1"/>
  <c r="BK8" i="17"/>
  <c r="CF8" i="17" s="1"/>
  <c r="EY8" i="17"/>
  <c r="CF7" i="17"/>
  <c r="CL7" i="17" s="1"/>
  <c r="P250" i="18"/>
  <c r="CJ11" i="17"/>
  <c r="EC11" i="17"/>
  <c r="CW14" i="17"/>
  <c r="DB16" i="17"/>
  <c r="DC19" i="17" s="1"/>
  <c r="P200" i="18" s="1"/>
  <c r="EM11" i="17"/>
  <c r="EN13" i="17"/>
  <c r="EN30" i="17" s="1"/>
  <c r="CJ16" i="17"/>
  <c r="I182" i="18"/>
  <c r="CI16" i="17"/>
  <c r="DP13" i="17"/>
  <c r="P223" i="18"/>
  <c r="P252" i="18"/>
  <c r="P225" i="18"/>
  <c r="O221" i="18"/>
  <c r="I37" i="18"/>
  <c r="P37" i="18" s="1"/>
  <c r="Q45" i="18"/>
  <c r="Q37" i="18"/>
  <c r="CM13" i="17"/>
  <c r="DT13" i="17"/>
  <c r="CR12" i="17" s="1"/>
  <c r="O141" i="18" s="1"/>
  <c r="DL19" i="17"/>
  <c r="P209" i="18" s="1"/>
  <c r="P184"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CT10" i="17"/>
  <c r="CU13" i="17" s="1"/>
  <c r="I53" i="18"/>
  <c r="P53" i="18" s="1"/>
  <c r="I61" i="18"/>
  <c r="P61" i="18" s="1"/>
  <c r="DD20" i="17"/>
  <c r="P201" i="18"/>
  <c r="O200" i="18"/>
  <c r="P100" i="18"/>
  <c r="P221" i="18" s="1"/>
  <c r="P148" i="18"/>
  <c r="P245" i="18" s="1"/>
  <c r="Q53" i="18"/>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T7" i="18"/>
  <c r="U7" i="18" s="1"/>
  <c r="CS13" i="17"/>
  <c r="CT16" i="17" s="1"/>
  <c r="P117" i="18"/>
  <c r="Q61" i="18"/>
  <c r="O93" i="18"/>
  <c r="DA17" i="17"/>
  <c r="CR9" i="17"/>
  <c r="CR11" i="17" s="1"/>
  <c r="EQ27" i="17"/>
  <c r="EQ28" i="17" s="1"/>
  <c r="BL12" i="17"/>
  <c r="EX25" i="17"/>
  <c r="BU20" i="17"/>
  <c r="H199" i="18"/>
  <c r="C104" i="19"/>
  <c r="I44" i="18"/>
  <c r="P44" i="18" s="1"/>
  <c r="I36" i="18"/>
  <c r="CJ19" i="17"/>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Y30" i="17" s="1"/>
  <c r="EP27" i="17"/>
  <c r="EP28" i="17" s="1"/>
  <c r="EY10" i="17"/>
  <c r="BS18" i="17"/>
  <c r="BZ17" i="17"/>
  <c r="ED28" i="17"/>
  <c r="EM31" i="17"/>
  <c r="EQ29" i="17"/>
  <c r="EL14" i="17"/>
  <c r="EL29" i="17"/>
  <c r="EL31" i="17" s="1"/>
  <c r="EV23" i="17"/>
  <c r="EA25" i="17"/>
  <c r="EV25" i="17" s="1"/>
  <c r="ES14" i="17"/>
  <c r="ES29" i="17"/>
  <c r="ES31" i="17" s="1"/>
  <c r="EN29" i="17"/>
  <c r="EO31" i="17"/>
  <c r="EP14"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CT9" i="17"/>
  <c r="CI1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DM7" i="17"/>
  <c r="DS7" i="17" s="1"/>
  <c r="CS10" i="17"/>
  <c r="DM6" i="17"/>
  <c r="DS6" i="17" s="1"/>
  <c r="CF9" i="17"/>
  <c r="CL9" i="17" s="1"/>
  <c r="DT11" i="17"/>
  <c r="CK6" i="17"/>
  <c r="CL6" i="17"/>
  <c r="DP11" i="17"/>
  <c r="DQ12" i="17"/>
  <c r="DN7" i="17"/>
  <c r="BN13" i="17"/>
  <c r="CH10" i="17"/>
  <c r="DS3" i="17"/>
  <c r="DR3" i="17"/>
  <c r="CM14" i="17"/>
  <c r="CJ14" i="17"/>
  <c r="DQ11" i="17"/>
  <c r="CG9" i="17"/>
  <c r="BN12" i="17"/>
  <c r="CH9" i="17"/>
  <c r="BM11" i="17"/>
  <c r="CH11" i="17" s="1"/>
  <c r="I27" i="18" s="1"/>
  <c r="P27" i="18" s="1"/>
  <c r="CV14" i="17"/>
  <c r="DT12" i="17"/>
  <c r="DN6" i="17"/>
  <c r="CS8" i="17"/>
  <c r="BL11" i="17"/>
  <c r="BM12" i="17"/>
  <c r="DP12" i="17"/>
  <c r="CI14" i="17"/>
  <c r="BM13" i="17"/>
  <c r="CG10" i="17"/>
  <c r="O215" i="18" l="1"/>
  <c r="ED14" i="17"/>
  <c r="BM15" i="17"/>
  <c r="BN18" i="17" s="1"/>
  <c r="EP31" i="17"/>
  <c r="DS5" i="17"/>
  <c r="DS4" i="17"/>
  <c r="EY11" i="17"/>
  <c r="DF17" i="17"/>
  <c r="O179" i="18"/>
  <c r="CK7" i="17"/>
  <c r="EX30" i="17"/>
  <c r="H142" i="18"/>
  <c r="P175" i="18"/>
  <c r="DC20" i="17"/>
  <c r="DB17" i="17"/>
  <c r="EN31" i="17"/>
  <c r="EN14" i="17"/>
  <c r="DJ19" i="17"/>
  <c r="P207" i="18" s="1"/>
  <c r="CR13" i="17"/>
  <c r="P141" i="18" s="1"/>
  <c r="P238" i="18" s="1"/>
  <c r="P119" i="18"/>
  <c r="P256" i="18"/>
  <c r="P173" i="18"/>
  <c r="CZ17" i="17"/>
  <c r="P231" i="18"/>
  <c r="CY20" i="17"/>
  <c r="P232" i="18"/>
  <c r="CS15" i="17"/>
  <c r="CT18" i="17" s="1"/>
  <c r="O191" i="18" s="1"/>
  <c r="BK12" i="17"/>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P144" i="18"/>
  <c r="CT13" i="17"/>
  <c r="P118" i="18"/>
  <c r="CV16" i="17"/>
  <c r="DT16" i="17" s="1"/>
  <c r="CR15" i="17" s="1"/>
  <c r="O165" i="18" s="1"/>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H167"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EY14" i="17" s="1"/>
  <c r="CJ17" i="17"/>
  <c r="EY28" i="17"/>
  <c r="EY27" i="17"/>
  <c r="ED31" i="17"/>
  <c r="EB28" i="17"/>
  <c r="EW28" i="17" s="1"/>
  <c r="EW26" i="17"/>
  <c r="EX29" i="17"/>
  <c r="EX28" i="17"/>
  <c r="EY29" i="17"/>
  <c r="CI18" i="17"/>
  <c r="EC13" i="17"/>
  <c r="EW10" i="17"/>
  <c r="EV8" i="17"/>
  <c r="EC12" i="17"/>
  <c r="EB11" i="17"/>
  <c r="EW9" i="17"/>
  <c r="DM10" i="17"/>
  <c r="DR10" i="17" s="1"/>
  <c r="DR7"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M8" i="17"/>
  <c r="DR8" i="17" s="1"/>
  <c r="DN10" i="17"/>
  <c r="DT14" i="17"/>
  <c r="BN14" i="17"/>
  <c r="CG11" i="17"/>
  <c r="I19" i="18" s="1"/>
  <c r="P19" i="18" s="1"/>
  <c r="P46" i="18"/>
  <c r="P38" i="18"/>
  <c r="BM14" i="17"/>
  <c r="CH12" i="17"/>
  <c r="CT11" i="17"/>
  <c r="DO9" i="17"/>
  <c r="CL8" i="17"/>
  <c r="CK8" i="17"/>
  <c r="CH13" i="17"/>
  <c r="CG12" i="17"/>
  <c r="DM9" i="17"/>
  <c r="DO10" i="17"/>
  <c r="DN8" i="17"/>
  <c r="Q18" i="18" s="1"/>
  <c r="P18" i="18"/>
  <c r="DN9" i="17"/>
  <c r="DW8" i="17" l="1"/>
  <c r="CF12" i="17"/>
  <c r="CK12" i="17" s="1"/>
  <c r="DW7" i="17"/>
  <c r="DW10" i="17"/>
  <c r="DW16" i="17" s="1"/>
  <c r="O240" i="18"/>
  <c r="EX31" i="17"/>
  <c r="O239" i="18"/>
  <c r="CR14" i="17"/>
  <c r="EY31" i="17"/>
  <c r="CS16" i="17"/>
  <c r="DN16" i="17" s="1"/>
  <c r="T9" i="18"/>
  <c r="DN12" i="17"/>
  <c r="O217" i="18"/>
  <c r="O166" i="18"/>
  <c r="I141" i="18"/>
  <c r="J10" i="18" s="1"/>
  <c r="BL16" i="17"/>
  <c r="H141" i="18"/>
  <c r="BL15" i="17"/>
  <c r="BK14" i="17"/>
  <c r="DQ19" i="17"/>
  <c r="CG13" i="17"/>
  <c r="DK20" i="17"/>
  <c r="O208" i="18"/>
  <c r="DL20" i="17"/>
  <c r="O209" i="18"/>
  <c r="DJ20" i="17"/>
  <c r="O207" i="18"/>
  <c r="DP19" i="17"/>
  <c r="BM16" i="17"/>
  <c r="I167" i="18" s="1"/>
  <c r="O241" i="18"/>
  <c r="BL14" i="17"/>
  <c r="CF13" i="17"/>
  <c r="EX14" i="17"/>
  <c r="O216" i="18"/>
  <c r="P197" i="18"/>
  <c r="CZ20" i="17"/>
  <c r="DO12" i="17"/>
  <c r="P95" i="18"/>
  <c r="T8" i="18" s="1"/>
  <c r="P143" i="18"/>
  <c r="T10" i="18" s="1"/>
  <c r="CW19" i="17"/>
  <c r="P194" i="18" s="1"/>
  <c r="P169" i="18"/>
  <c r="DN13" i="17"/>
  <c r="DM13" i="17"/>
  <c r="DS13" i="17" s="1"/>
  <c r="CT14" i="17"/>
  <c r="CU16" i="17"/>
  <c r="P168" i="18" s="1"/>
  <c r="O94" i="18"/>
  <c r="O142" i="18"/>
  <c r="CT15" i="17"/>
  <c r="DO15" i="17" s="1"/>
  <c r="CS14" i="17"/>
  <c r="O95" i="18"/>
  <c r="O143" i="18"/>
  <c r="S9" i="18"/>
  <c r="Q63" i="18"/>
  <c r="Q55" i="18"/>
  <c r="CV18" i="17"/>
  <c r="O193" i="18" s="1"/>
  <c r="O168" i="18"/>
  <c r="O96" i="18"/>
  <c r="P217" i="18" s="1"/>
  <c r="O144" i="18"/>
  <c r="P241" i="18" s="1"/>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10" i="17"/>
  <c r="DS8" i="17"/>
  <c r="DN11" i="17"/>
  <c r="Q19" i="18" s="1"/>
  <c r="DH20" i="17"/>
  <c r="DP18" i="17"/>
  <c r="DQ18" i="17"/>
  <c r="BN17" i="17"/>
  <c r="BO18" i="17"/>
  <c r="H193" i="18" s="1"/>
  <c r="BO17" i="17"/>
  <c r="CM17" i="17" s="1"/>
  <c r="BP18" i="17"/>
  <c r="H194" i="18" s="1"/>
  <c r="CM15" i="17"/>
  <c r="DQ17" i="17"/>
  <c r="DP17" i="17"/>
  <c r="CM16" i="17"/>
  <c r="BP19" i="17"/>
  <c r="CL11" i="17"/>
  <c r="CK11" i="17"/>
  <c r="DM12" i="17"/>
  <c r="DR12" i="17" s="1"/>
  <c r="DO13" i="17"/>
  <c r="DO11" i="17"/>
  <c r="Q27" i="18" s="1"/>
  <c r="DR9" i="17"/>
  <c r="DS9" i="17"/>
  <c r="DM11" i="17"/>
  <c r="CU14" i="17"/>
  <c r="CH14" i="17"/>
  <c r="I28" i="18" s="1"/>
  <c r="CL12" i="17" l="1"/>
  <c r="DW9" i="17"/>
  <c r="CK13" i="17"/>
  <c r="DW17" i="17"/>
  <c r="DX1" i="17" s="1"/>
  <c r="DR13" i="17"/>
  <c r="CT19" i="17"/>
  <c r="DO19" i="17" s="1"/>
  <c r="U9" i="18"/>
  <c r="CL13" i="17"/>
  <c r="I64" i="18"/>
  <c r="G71" i="19" s="1"/>
  <c r="BN19" i="17"/>
  <c r="I192" i="18" s="1"/>
  <c r="I56" i="18"/>
  <c r="P56" i="18" s="1"/>
  <c r="CF14" i="17"/>
  <c r="CK14" i="17" s="1"/>
  <c r="CG16" i="17"/>
  <c r="CS17" i="17"/>
  <c r="P166" i="18"/>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F12" i="19"/>
  <c r="Q10"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U10" i="18" s="1"/>
  <c r="D44" i="21" s="1"/>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12" i="17" l="1"/>
  <c r="EE10" i="17"/>
  <c r="EF4" i="17"/>
  <c r="EF21" i="17" s="1"/>
  <c r="C37" i="21"/>
  <c r="EE7" i="17"/>
  <c r="EE13" i="17"/>
  <c r="EE3" i="17"/>
  <c r="EG4" i="17"/>
  <c r="EE4" i="17"/>
  <c r="EE6" i="17"/>
  <c r="DX18" i="17"/>
  <c r="EF3" i="17"/>
  <c r="EE9" i="17"/>
  <c r="EG3" i="17"/>
  <c r="EG7" i="17"/>
  <c r="P191" i="18"/>
  <c r="CT20" i="17"/>
  <c r="DN20" i="17" s="1"/>
  <c r="E75" i="19"/>
  <c r="DN17" i="17"/>
  <c r="P64" i="18"/>
  <c r="E117" i="21" s="1"/>
  <c r="CL14" i="17"/>
  <c r="G70" i="19"/>
  <c r="BK18" i="17"/>
  <c r="H189" i="18" s="1"/>
  <c r="C12" i="19"/>
  <c r="E74" i="19"/>
  <c r="BN20" i="17"/>
  <c r="K10" i="18"/>
  <c r="R10" i="18" s="1"/>
  <c r="C83" i="21"/>
  <c r="CG17" i="17"/>
  <c r="P20" i="18"/>
  <c r="DS15" i="17"/>
  <c r="CV20" i="17"/>
  <c r="DT20" i="17" s="1"/>
  <c r="CH19" i="17"/>
  <c r="H191" i="18"/>
  <c r="BM20" i="17"/>
  <c r="CH18" i="17"/>
  <c r="CH17" i="17"/>
  <c r="C82" i="21"/>
  <c r="D6" i="19"/>
  <c r="D7" i="19" s="1"/>
  <c r="R8" i="18"/>
  <c r="P193" i="18"/>
  <c r="DM19" i="17"/>
  <c r="DS19" i="17" s="1"/>
  <c r="P189" i="18"/>
  <c r="CR18" i="17"/>
  <c r="CR20" i="17" s="1"/>
  <c r="DN19" i="17"/>
  <c r="P190" i="18"/>
  <c r="DM17" i="17"/>
  <c r="DR17" i="17" s="1"/>
  <c r="G113" i="21"/>
  <c r="O192" i="18"/>
  <c r="CU20" i="17"/>
  <c r="DO18" i="17"/>
  <c r="DO17" i="17"/>
  <c r="G112" i="21"/>
  <c r="E116" i="21"/>
  <c r="DR16" i="17"/>
  <c r="BL18" i="17"/>
  <c r="BK17" i="17"/>
  <c r="CF17" i="17" s="1"/>
  <c r="CF15" i="17"/>
  <c r="CM20" i="17"/>
  <c r="CF16" i="17"/>
  <c r="BL19" i="17"/>
  <c r="DR14" i="17"/>
  <c r="DS14" i="17"/>
  <c r="EE21" i="17" l="1"/>
  <c r="FB4" i="17"/>
  <c r="EU4" i="17"/>
  <c r="EG21" i="17"/>
  <c r="EH7" i="17"/>
  <c r="EF6" i="17"/>
  <c r="EE20" i="17"/>
  <c r="EE5" i="17"/>
  <c r="EU3" i="17"/>
  <c r="FB3" i="17"/>
  <c r="EF7" i="17"/>
  <c r="EE30" i="17"/>
  <c r="EH10" i="17"/>
  <c r="EG24" i="17"/>
  <c r="EF10" i="17"/>
  <c r="EE24" i="17"/>
  <c r="EE23" i="17"/>
  <c r="EE8" i="17"/>
  <c r="C39" i="21"/>
  <c r="D38" i="21"/>
  <c r="C38" i="21"/>
  <c r="D37" i="21"/>
  <c r="D39" i="21"/>
  <c r="DO20" i="17"/>
  <c r="EF9" i="17"/>
  <c r="EH6" i="17"/>
  <c r="EG5" i="17"/>
  <c r="EG20" i="17"/>
  <c r="EG22" i="17" s="1"/>
  <c r="EF13" i="17"/>
  <c r="EF30" i="17" s="1"/>
  <c r="EE27" i="17"/>
  <c r="EF12" i="17"/>
  <c r="EE26" i="17"/>
  <c r="EE11" i="17"/>
  <c r="EE29" i="17"/>
  <c r="EE14" i="17"/>
  <c r="EG6" i="17"/>
  <c r="EF20" i="17"/>
  <c r="EF22" i="17" s="1"/>
  <c r="EF5" i="17"/>
  <c r="BK20" i="17"/>
  <c r="D10" i="19"/>
  <c r="D47" i="21" s="1"/>
  <c r="CH20" i="17"/>
  <c r="D46" i="21"/>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FB6" i="17" l="1"/>
  <c r="EE28" i="17"/>
  <c r="EF29" i="17"/>
  <c r="EF31" i="17" s="1"/>
  <c r="EF14" i="17"/>
  <c r="EF8" i="17"/>
  <c r="EF24" i="17"/>
  <c r="FB24" i="17" s="1"/>
  <c r="EG10" i="17"/>
  <c r="FA3" i="17"/>
  <c r="EZ3" i="17"/>
  <c r="EE25" i="17"/>
  <c r="EE22" i="17"/>
  <c r="EU20" i="17"/>
  <c r="FB20" i="17"/>
  <c r="FB7" i="17"/>
  <c r="EF23" i="17"/>
  <c r="EG9" i="17"/>
  <c r="EH23" i="17"/>
  <c r="EI9" i="17"/>
  <c r="EH8" i="17"/>
  <c r="EH24" i="17"/>
  <c r="EI10" i="17"/>
  <c r="FB5" i="17"/>
  <c r="EU5" i="17"/>
  <c r="EG23" i="17"/>
  <c r="EG25" i="17" s="1"/>
  <c r="EH9" i="17"/>
  <c r="EG8" i="17"/>
  <c r="EF26" i="17"/>
  <c r="EF11" i="17"/>
  <c r="EG12" i="17"/>
  <c r="EF27" i="17"/>
  <c r="EG13" i="17"/>
  <c r="EG30" i="17" s="1"/>
  <c r="FB30" i="17" s="1"/>
  <c r="FA4" i="17"/>
  <c r="EZ4" i="17"/>
  <c r="EE31" i="17"/>
  <c r="EH27" i="17"/>
  <c r="EI13" i="17"/>
  <c r="EI30" i="17" s="1"/>
  <c r="FB21" i="17"/>
  <c r="EU21" i="17"/>
  <c r="D11" i="19"/>
  <c r="CK18" i="17"/>
  <c r="DS20" i="17"/>
  <c r="DS18" i="17"/>
  <c r="CK19" i="17"/>
  <c r="CL19" i="17"/>
  <c r="CF20" i="17"/>
  <c r="FB8" i="17" l="1"/>
  <c r="FB23" i="17"/>
  <c r="EF25" i="17"/>
  <c r="EG29" i="17"/>
  <c r="EG14" i="17"/>
  <c r="FB14" i="17" s="1"/>
  <c r="FB10" i="17"/>
  <c r="EG27" i="17"/>
  <c r="FB27" i="17" s="1"/>
  <c r="EH13" i="17"/>
  <c r="EH30" i="17" s="1"/>
  <c r="EI27" i="17"/>
  <c r="EJ13" i="17"/>
  <c r="EJ30" i="17" s="1"/>
  <c r="EH25" i="17"/>
  <c r="EF28" i="17"/>
  <c r="EG26" i="17"/>
  <c r="FB26" i="17" s="1"/>
  <c r="EH12" i="17"/>
  <c r="EG11" i="17"/>
  <c r="FB11" i="17" s="1"/>
  <c r="FB25" i="17"/>
  <c r="FB12" i="17"/>
  <c r="FB22" i="17"/>
  <c r="EU22" i="17"/>
  <c r="EZ21" i="17"/>
  <c r="FA21" i="17"/>
  <c r="EH26" i="17"/>
  <c r="EH28" i="17" s="1"/>
  <c r="EI12" i="17"/>
  <c r="EH11" i="17"/>
  <c r="DZ7" i="17"/>
  <c r="DZ6" i="17"/>
  <c r="EI26" i="17"/>
  <c r="EJ12" i="17"/>
  <c r="EI11" i="17"/>
  <c r="FB13" i="17"/>
  <c r="FB9" i="17"/>
  <c r="FA5" i="17"/>
  <c r="EZ5" i="17"/>
  <c r="EZ20" i="17"/>
  <c r="FA20" i="17"/>
  <c r="CK20" i="17"/>
  <c r="CL20" i="17"/>
  <c r="EI29" i="17" l="1"/>
  <c r="EI31" i="17" s="1"/>
  <c r="EI14" i="17"/>
  <c r="DZ13" i="17"/>
  <c r="DZ12" i="17"/>
  <c r="FA22" i="17"/>
  <c r="H36" i="21"/>
  <c r="EZ22" i="17"/>
  <c r="EG28" i="17"/>
  <c r="FB28" i="17" s="1"/>
  <c r="EH29" i="17"/>
  <c r="EH31" i="17" s="1"/>
  <c r="EH14" i="17"/>
  <c r="DZ9" i="17"/>
  <c r="DZ10" i="17"/>
  <c r="DZ24" i="17"/>
  <c r="EU24" i="17" s="1"/>
  <c r="EA10" i="17"/>
  <c r="EU7" i="17"/>
  <c r="EI28" i="17"/>
  <c r="EJ29" i="17"/>
  <c r="EJ31" i="17" s="1"/>
  <c r="EJ14" i="17"/>
  <c r="DZ23" i="17"/>
  <c r="EU6" i="17"/>
  <c r="EA9" i="17"/>
  <c r="DZ8" i="17"/>
  <c r="EU8" i="17" s="1"/>
  <c r="FB29" i="17"/>
  <c r="EG31" i="17"/>
  <c r="FB31" i="17" s="1"/>
  <c r="EU9" i="17" l="1"/>
  <c r="EA11" i="17"/>
  <c r="EV11" i="17" s="1"/>
  <c r="EV9" i="17"/>
  <c r="EA26" i="17"/>
  <c r="EB12" i="17"/>
  <c r="FA8" i="17"/>
  <c r="EZ8" i="17"/>
  <c r="DZ25" i="17"/>
  <c r="EU25" i="17" s="1"/>
  <c r="EU23" i="17"/>
  <c r="DZ29" i="17"/>
  <c r="DZ14" i="17"/>
  <c r="EA27" i="17"/>
  <c r="EV27" i="17" s="1"/>
  <c r="EB13" i="17"/>
  <c r="EV10" i="17"/>
  <c r="DZ30" i="17"/>
  <c r="EZ6" i="17"/>
  <c r="FA6" i="17"/>
  <c r="FA24" i="17"/>
  <c r="EZ24" i="17"/>
  <c r="EZ7" i="17"/>
  <c r="FA7" i="17"/>
  <c r="EA13" i="17"/>
  <c r="EA30" i="17" s="1"/>
  <c r="EU10" i="17"/>
  <c r="DZ27" i="17"/>
  <c r="DZ26" i="17"/>
  <c r="EA12" i="17"/>
  <c r="DZ11" i="17"/>
  <c r="EU11" i="17" s="1"/>
  <c r="EU12" i="17" l="1"/>
  <c r="FA23" i="17"/>
  <c r="EZ23" i="17"/>
  <c r="FA25" i="17"/>
  <c r="H37" i="21"/>
  <c r="EZ25" i="17"/>
  <c r="EB14" i="17"/>
  <c r="EW14" i="17" s="1"/>
  <c r="EB29" i="17"/>
  <c r="EW12" i="17"/>
  <c r="EA28" i="17"/>
  <c r="EV28" i="17" s="1"/>
  <c r="EV26" i="17"/>
  <c r="EZ12" i="17"/>
  <c r="FA12" i="17"/>
  <c r="EU13" i="17"/>
  <c r="EU26" i="17"/>
  <c r="FA11" i="17"/>
  <c r="EZ11" i="17"/>
  <c r="EA29" i="17"/>
  <c r="EA14" i="17"/>
  <c r="EV14" i="17" s="1"/>
  <c r="EV12" i="17"/>
  <c r="DZ28" i="17"/>
  <c r="EU27" i="17"/>
  <c r="EV13" i="17"/>
  <c r="EW13" i="17"/>
  <c r="EB30" i="17"/>
  <c r="EW30" i="17" s="1"/>
  <c r="DZ31" i="17"/>
  <c r="EZ10" i="17"/>
  <c r="FA10" i="17"/>
  <c r="EZ9" i="17"/>
  <c r="FA9" i="17"/>
  <c r="EV30" i="17" l="1"/>
  <c r="EU30" i="17"/>
  <c r="EZ30" i="17" s="1"/>
  <c r="EU28" i="17"/>
  <c r="FA27" i="17"/>
  <c r="EZ27" i="17"/>
  <c r="EW29" i="17"/>
  <c r="EB31" i="17"/>
  <c r="EW31" i="17" s="1"/>
  <c r="EA31" i="17"/>
  <c r="EV31" i="17" s="1"/>
  <c r="EV29" i="17"/>
  <c r="EU14" i="17"/>
  <c r="FA30" i="17"/>
  <c r="EU29" i="17"/>
  <c r="EZ26" i="17"/>
  <c r="FA26" i="17"/>
  <c r="EZ13" i="17"/>
  <c r="FA13" i="17"/>
  <c r="FA29" i="17" l="1"/>
  <c r="EZ29" i="17"/>
  <c r="FA14" i="17"/>
  <c r="EZ14" i="17"/>
  <c r="EU31" i="17"/>
  <c r="H38" i="21"/>
  <c r="FA28" i="17"/>
  <c r="EZ28" i="17"/>
  <c r="FA31" i="17" l="1"/>
  <c r="EZ31" i="17"/>
  <c r="H39" i="21"/>
</calcChain>
</file>

<file path=xl/sharedStrings.xml><?xml version="1.0" encoding="utf-8"?>
<sst xmlns="http://schemas.openxmlformats.org/spreadsheetml/2006/main" count="1387" uniqueCount="464">
  <si>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</si>
  <si>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</si>
  <si>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</si>
  <si>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</si>
  <si>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</si>
  <si>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</si>
  <si>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</si>
  <si>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</si>
  <si>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</si>
  <si>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</si>
  <si>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</si>
  <si>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</si>
  <si>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</si>
  <si>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</si>
  <si>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</si>
  <si>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</si>
  <si>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</si>
  <si>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</si>
  <si>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</si>
  <si>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</si>
  <si>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</si>
  <si>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</si>
  <si>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</si>
  <si>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</si>
  <si>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</si>
  <si>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</si>
  <si>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</si>
  <si>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</si>
  <si>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</si>
  <si>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</si>
  <si>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</si>
  <si>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</si>
  <si>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</si>
  <si>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</si>
  <si>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</si>
  <si>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</si>
  <si>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</si>
  <si>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</si>
  <si>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</si>
  <si>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</si>
  <si>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</si>
  <si>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</si>
  <si>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</si>
  <si>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</si>
  <si>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</si>
  <si>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</si>
  <si>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</si>
  <si>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</si>
  <si>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</si>
  <si>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</si>
  <si>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</si>
  <si>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</si>
  <si>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</si>
  <si>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</si>
  <si>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</si>
  <si>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</si>
  <si>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</si>
  <si>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</si>
  <si>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</si>
  <si>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</si>
  <si>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</si>
  <si>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</si>
  <si>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</si>
  <si>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</si>
  <si>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</si>
  <si>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</si>
  <si>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</si>
  <si>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</si>
  <si>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</si>
  <si>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</si>
  <si>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</si>
  <si>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</si>
  <si>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</si>
  <si>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</si>
  <si>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</si>
  <si>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</si>
  <si>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</si>
  <si>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</si>
  <si>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</si>
  <si>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</si>
  <si>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</si>
  <si>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</si>
  <si>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</si>
  <si>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</si>
  <si>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</si>
  <si>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</si>
  <si>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</si>
  <si>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</si>
  <si>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</si>
  <si>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</si>
  <si>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</si>
  <si>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</si>
  <si>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</si>
  <si>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</si>
  <si>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</si>
  <si>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</si>
  <si>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</si>
  <si>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</si>
  <si>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</si>
  <si>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</si>
  <si>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</si>
  <si>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</si>
  <si>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</si>
  <si>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</si>
  <si>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</si>
  <si>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</si>
  <si>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</si>
  <si>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</si>
  <si>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</si>
  <si>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</si>
  <si>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</si>
  <si>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</si>
  <si>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</si>
  <si>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</si>
  <si>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</si>
  <si>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</si>
  <si>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</si>
  <si>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</si>
  <si>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</si>
  <si>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</si>
  <si>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</si>
  <si>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</si>
  <si>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</si>
  <si>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</si>
  <si>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</si>
  <si>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</si>
  <si>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</si>
  <si>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</si>
  <si>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</si>
  <si>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</si>
  <si>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</si>
  <si>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</si>
  <si>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</si>
  <si>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</si>
  <si>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</si>
  <si>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</si>
  <si>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</si>
  <si>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</si>
  <si>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</si>
  <si>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</si>
  <si>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</si>
  <si>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</si>
  <si>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</si>
  <si>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</si>
  <si>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</si>
  <si>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</si>
  <si>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</si>
  <si>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</si>
  <si>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</si>
  <si>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</si>
  <si>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</si>
  <si>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</si>
  <si>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</si>
  <si>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</si>
  <si>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</si>
  <si>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</si>
  <si>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</si>
  <si>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</si>
  <si>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</si>
  <si>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</si>
  <si>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</si>
  <si>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</si>
  <si>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</si>
  <si>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</si>
  <si>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</si>
  <si>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</si>
  <si>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</si>
  <si>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</si>
  <si>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</si>
  <si>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</si>
  <si>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</si>
  <si>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</si>
  <si>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</si>
  <si>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</si>
  <si>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</si>
  <si>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</si>
  <si>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</si>
  <si>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</si>
  <si>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</si>
  <si>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</si>
  <si>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</si>
  <si>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</si>
  <si>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</si>
  <si>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</si>
  <si>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</si>
  <si>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</si>
  <si>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</si>
  <si>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</si>
  <si>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</si>
  <si>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</si>
  <si>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</si>
  <si>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</si>
  <si>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</si>
  <si>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</si>
  <si>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</si>
  <si>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</si>
  <si>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</si>
  <si>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</si>
  <si>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</si>
  <si>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</si>
  <si>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</si>
  <si>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</si>
  <si>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</si>
  <si>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</si>
  <si>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</si>
  <si>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</si>
  <si>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</si>
  <si>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</si>
  <si>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</si>
  <si>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</si>
  <si>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</si>
  <si>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</si>
  <si>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</si>
  <si>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</si>
  <si>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</si>
  <si>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</si>
  <si>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</si>
  <si>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</si>
  <si>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</si>
  <si>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</si>
  <si>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</si>
  <si>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</si>
  <si>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</si>
  <si>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</si>
  <si>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</si>
  <si>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</si>
  <si>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</si>
  <si>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</si>
  <si>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</si>
  <si>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</si>
  <si>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</si>
  <si>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</si>
  <si>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</si>
  <si>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</si>
  <si>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</si>
  <si>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</si>
  <si>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</si>
  <si>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</si>
  <si>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</si>
  <si>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</si>
  <si>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</si>
  <si>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</si>
  <si>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</si>
  <si>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</si>
  <si>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</si>
  <si>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</si>
  <si>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</si>
  <si>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</si>
  <si>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</si>
  <si>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</si>
  <si>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</si>
  <si>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</si>
  <si>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</si>
  <si>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</si>
  <si>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</si>
  <si>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</si>
  <si>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</si>
  <si>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</si>
  <si>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</si>
  <si>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</si>
  <si>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</si>
  <si>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</si>
  <si>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</si>
  <si>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</si>
  <si>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</si>
  <si>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</si>
  <si>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</si>
  <si>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</si>
  <si>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</si>
  <si>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</si>
  <si>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</si>
  <si>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</si>
  <si>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</si>
  <si>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</si>
  <si>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</si>
  <si>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</si>
  <si>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</si>
  <si>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</si>
  <si>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</si>
  <si>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</si>
  <si>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</si>
  <si>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</si>
  <si>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</si>
  <si>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</si>
  <si>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</si>
  <si>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</si>
  <si>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</si>
  <si>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</si>
  <si>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</si>
  <si>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</si>
  <si>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</si>
  <si>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</si>
  <si>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</si>
  <si>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</si>
  <si>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</si>
  <si>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</si>
  <si>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</si>
  <si>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</si>
  <si>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</si>
  <si>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</si>
  <si>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</si>
  <si>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</si>
  <si>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</si>
  <si>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</si>
  <si>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</si>
  <si>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</si>
  <si>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</si>
  <si>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</si>
  <si>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</si>
  <si>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</si>
  <si>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</si>
  <si>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</si>
  <si>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</si>
  <si>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</si>
  <si>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</si>
  <si>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</si>
  <si>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</si>
  <si>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</si>
  <si>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</si>
  <si>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</si>
  <si>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</si>
  <si>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</si>
  <si>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</si>
  <si>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</si>
  <si>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</si>
  <si>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</si>
  <si>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</si>
  <si>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</si>
  <si>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</si>
  <si>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</si>
  <si>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</si>
  <si>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</si>
  <si>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</si>
  <si>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</si>
  <si>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</si>
  <si>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</si>
  <si>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</si>
  <si>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</si>
  <si>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</si>
  <si>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</si>
  <si>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</si>
  <si>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</si>
  <si>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</si>
  <si>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</si>
  <si>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</si>
  <si>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</si>
  <si>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</si>
  <si>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</si>
  <si>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</si>
  <si>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</si>
  <si>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</si>
  <si>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</si>
  <si>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</si>
  <si>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</si>
  <si>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</si>
  <si>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</si>
  <si>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</si>
  <si>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</si>
  <si>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</si>
  <si>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</si>
  <si>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</si>
  <si>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</si>
  <si>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</si>
  <si>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</si>
  <si>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</si>
  <si>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</si>
  <si>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</si>
  <si>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</si>
  <si>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</si>
  <si>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</si>
  <si>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</si>
  <si>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</si>
  <si>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</si>
  <si>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</si>
  <si>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</si>
  <si>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</si>
  <si>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</si>
  <si>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</si>
  <si>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</si>
  <si>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</si>
  <si>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</si>
  <si>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</si>
  <si>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</si>
  <si>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</si>
  <si>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</si>
  <si>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</si>
  <si>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</si>
  <si>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</si>
  <si>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</si>
  <si>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</si>
  <si>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</si>
  <si>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</si>
  <si>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</si>
  <si>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</si>
  <si>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</si>
  <si>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</si>
  <si>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</si>
  <si>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</si>
  <si>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</si>
  <si>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</si>
  <si>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</si>
  <si>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</si>
  <si>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</si>
  <si>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</si>
  <si>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</si>
  <si>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</si>
  <si>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</si>
  <si>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</si>
  <si>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</si>
  <si>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</si>
  <si>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</si>
  <si>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</si>
  <si>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</si>
  <si>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</si>
  <si>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</si>
  <si>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</si>
  <si>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</si>
  <si>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</si>
  <si>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</si>
  <si>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</si>
  <si>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</si>
  <si>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</si>
  <si>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</si>
  <si>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</si>
  <si>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</si>
  <si>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</si>
  <si>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</si>
  <si>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</si>
  <si>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</si>
  <si>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45441_1</t>
  </si>
  <si>
    <t>高千穂町</t>
    <rPh sb="0" eb="3">
      <t>タカチホ</t>
    </rPh>
    <rPh sb="3" eb="4">
      <t>チョウ</t>
    </rPh>
    <phoneticPr fontId="1"/>
  </si>
  <si>
    <t>大字三田井①</t>
  </si>
  <si>
    <t>45441_2</t>
  </si>
  <si>
    <t>大字三田井②</t>
  </si>
  <si>
    <t>45441_3</t>
  </si>
  <si>
    <t>大字三田井③</t>
  </si>
  <si>
    <t>45441_4</t>
  </si>
  <si>
    <t>大字押方①</t>
  </si>
  <si>
    <t>45441_5</t>
  </si>
  <si>
    <t>大字押方②</t>
  </si>
  <si>
    <t>45441_6</t>
  </si>
  <si>
    <t>大字向山</t>
  </si>
  <si>
    <t>45441_7</t>
  </si>
  <si>
    <t>大字岩戸①</t>
  </si>
  <si>
    <t>45441_8</t>
  </si>
  <si>
    <t>大字岩戸②</t>
  </si>
  <si>
    <t>45441_9</t>
  </si>
  <si>
    <t>大字岩戸③</t>
  </si>
  <si>
    <t>45441_10</t>
  </si>
  <si>
    <t>大字岩戸・上岩戸</t>
  </si>
  <si>
    <t>45441_11</t>
  </si>
  <si>
    <t>大字田原</t>
  </si>
  <si>
    <t>45441_12</t>
  </si>
  <si>
    <t>大字河内</t>
  </si>
  <si>
    <t>45441_13</t>
  </si>
  <si>
    <t>大字五ヶ所</t>
  </si>
  <si>
    <t>45441_14</t>
  </si>
  <si>
    <t>大字上野①</t>
  </si>
  <si>
    <t>45441_15</t>
  </si>
  <si>
    <t>大字上野②</t>
  </si>
  <si>
    <t>45441_16</t>
  </si>
  <si>
    <t>大字下野</t>
  </si>
  <si>
    <t>45441_10</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</si>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</sst>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5"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
      <b/>
      <sz val="18"/>
      <color rgb="FFFF0000"/>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4">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38" fillId="5" borderId="0" xfId="0" applyFont="1" applyFill="1">
      <alignment vertical="center"/>
    </xf>
    <xf numFmtId="178" fontId="38" fillId="5" borderId="0" xfId="2" applyNumberFormat="1" applyFont="1" applyFill="1" applyAlignment="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44"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8" fillId="5" borderId="0" xfId="0"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25</c:v>
                </c:pt>
                <c:pt idx="1">
                  <c:v>20</c:v>
                </c:pt>
                <c:pt idx="2">
                  <c:v>15</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1536440"/>
        <c:axId val="391534872"/>
      </c:barChart>
      <c:catAx>
        <c:axId val="391536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534872"/>
        <c:crosses val="autoZero"/>
        <c:auto val="1"/>
        <c:lblAlgn val="ctr"/>
        <c:lblOffset val="100"/>
        <c:noMultiLvlLbl val="0"/>
      </c:catAx>
      <c:valAx>
        <c:axId val="3915348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53644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15</c:v>
                </c:pt>
                <c:pt idx="1">
                  <c:v>10</c:v>
                </c:pt>
                <c:pt idx="2">
                  <c:v>8</c:v>
                </c:pt>
                <c:pt idx="3">
                  <c:v>6</c:v>
                </c:pt>
                <c:pt idx="4">
                  <c:v>5</c:v>
                </c:pt>
                <c:pt idx="5">
                  <c:v>4</c:v>
                </c:pt>
                <c:pt idx="6">
                  <c:v>3</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2545008"/>
        <c:axId val="392546968"/>
      </c:barChart>
      <c:catAx>
        <c:axId val="3925450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546968"/>
        <c:crosses val="autoZero"/>
        <c:auto val="1"/>
        <c:lblAlgn val="ctr"/>
        <c:lblOffset val="100"/>
        <c:noMultiLvlLbl val="0"/>
      </c:catAx>
      <c:valAx>
        <c:axId val="39254696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5450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0.36</c:v>
                </c:pt>
                <c:pt idx="1">
                  <c:v>0.42</c:v>
                </c:pt>
                <c:pt idx="2">
                  <c:v>0.48</c:v>
                </c:pt>
                <c:pt idx="3">
                  <c:v>0.54</c:v>
                </c:pt>
                <c:pt idx="4">
                  <c:v>0.57999999999999996</c:v>
                </c:pt>
                <c:pt idx="5">
                  <c:v>0.61</c:v>
                </c:pt>
                <c:pt idx="6">
                  <c:v>0.63</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2542264"/>
        <c:axId val="392543440"/>
      </c:barChart>
      <c:catAx>
        <c:axId val="3925422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543440"/>
        <c:crosses val="autoZero"/>
        <c:auto val="1"/>
        <c:lblAlgn val="ctr"/>
        <c:lblOffset val="100"/>
        <c:noMultiLvlLbl val="0"/>
      </c:catAx>
      <c:valAx>
        <c:axId val="3925434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54226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0.22</c:v>
                </c:pt>
                <c:pt idx="1">
                  <c:v>0.25</c:v>
                </c:pt>
                <c:pt idx="2">
                  <c:v>0.25</c:v>
                </c:pt>
                <c:pt idx="3">
                  <c:v>0.27</c:v>
                </c:pt>
                <c:pt idx="4">
                  <c:v>0.33</c:v>
                </c:pt>
                <c:pt idx="5">
                  <c:v>0.41</c:v>
                </c:pt>
                <c:pt idx="6">
                  <c:v>0.44</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2547360"/>
        <c:axId val="388679928"/>
      </c:barChart>
      <c:catAx>
        <c:axId val="3925473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679928"/>
        <c:crosses val="autoZero"/>
        <c:auto val="1"/>
        <c:lblAlgn val="ctr"/>
        <c:lblOffset val="100"/>
        <c:noMultiLvlLbl val="0"/>
      </c:catAx>
      <c:valAx>
        <c:axId val="3886799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54736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164895186799638"/>
          <c:y val="2.1489274572511333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0"/>
              <c:layout>
                <c:manualLayout>
                  <c:x val="-1.0863605203184266E-2"/>
                  <c:y val="1.1966901770802554E-16"/>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064-4CC5-BE16-C8E006CF650D}"/>
                </c:ext>
                <c:ext xmlns:c15="http://schemas.microsoft.com/office/drawing/2012/chart" uri="{CE6537A1-D6FC-4f65-9D91-7224C49458BB}"/>
              </c:extLst>
            </c:dLbl>
            <c:dLbl>
              <c:idx val="1"/>
              <c:layout>
                <c:manualLayout>
                  <c:x val="-1.0863605203184306E-2"/>
                  <c:y val="1.1966901770802554E-16"/>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064-4CC5-BE16-C8E006CF650D}"/>
                </c:ext>
                <c:ext xmlns:c15="http://schemas.microsoft.com/office/drawing/2012/chart" uri="{CE6537A1-D6FC-4f65-9D91-7224C49458BB}"/>
              </c:extLst>
            </c:dLbl>
            <c:dLbl>
              <c:idx val="2"/>
              <c:layout>
                <c:manualLayout>
                  <c:x val="-2.1725841741639554E-3"/>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C064-4CC5-BE16-C8E006CF650D}"/>
                </c:ext>
                <c:ext xmlns:c15="http://schemas.microsoft.com/office/drawing/2012/chart" uri="{CE6537A1-D6FC-4f65-9D91-7224C49458BB}"/>
              </c:extLst>
            </c:dLbl>
            <c:dLbl>
              <c:idx val="4"/>
              <c:layout>
                <c:manualLayout>
                  <c:x val="-2.1725841741639554E-3"/>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C064-4CC5-BE16-C8E006CF650D}"/>
                </c:ext>
                <c:ext xmlns:c15="http://schemas.microsoft.com/office/drawing/2012/chart" uri="{CE6537A1-D6FC-4f65-9D91-7224C49458BB}"/>
              </c:extLst>
            </c:dLbl>
            <c:dLbl>
              <c:idx val="5"/>
              <c:layout>
                <c:manualLayout>
                  <c:x val="-2.172413091072833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C064-4CC5-BE16-C8E006CF650D}"/>
                </c:ext>
                <c:ext xmlns:c15="http://schemas.microsoft.com/office/drawing/2012/chart" uri="{CE6537A1-D6FC-4f65-9D91-7224C49458BB}"/>
              </c:extLst>
            </c:dLbl>
            <c:dLbl>
              <c:idx val="6"/>
              <c:layout>
                <c:manualLayout>
                  <c:x val="1.7108309112244707E-7"/>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C064-4CC5-BE16-C8E006CF650D}"/>
                </c:ext>
                <c:ext xmlns:c15="http://schemas.microsoft.com/office/drawing/2012/chart" uri="{CE6537A1-D6FC-4f65-9D91-7224C49458BB}"/>
              </c:extLst>
            </c:dLbl>
            <c:dLbl>
              <c:idx val="7"/>
              <c:layout>
                <c:manualLayout>
                  <c:x val="-2.1725841741639554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C064-4CC5-BE16-C8E006CF650D}"/>
                </c:ext>
                <c:ext xmlns:c15="http://schemas.microsoft.com/office/drawing/2012/chart" uri="{CE6537A1-D6FC-4f65-9D91-7224C49458BB}"/>
              </c:extLst>
            </c:dLbl>
            <c:dLbl>
              <c:idx val="9"/>
              <c:layout>
                <c:manualLayout>
                  <c:x val="-6.5180946886741111E-3"/>
                  <c:y val="-1.631997586375666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C064-4CC5-BE16-C8E006CF650D}"/>
                </c:ext>
                <c:ext xmlns:c15="http://schemas.microsoft.com/office/drawing/2012/chart" uri="{CE6537A1-D6FC-4f65-9D91-7224C49458BB}"/>
              </c:extLst>
            </c:dLbl>
            <c:dLbl>
              <c:idx val="10"/>
              <c:layout>
                <c:manualLayout>
                  <c:x val="-2.1725841741639155E-3"/>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C064-4CC5-BE16-C8E006CF650D}"/>
                </c:ext>
                <c:ext xmlns:c15="http://schemas.microsoft.com/office/drawing/2012/chart" uri="{CE6537A1-D6FC-4f65-9D91-7224C49458BB}"/>
              </c:extLst>
            </c:dLbl>
            <c:dLbl>
              <c:idx val="11"/>
              <c:layout>
                <c:manualLayout>
                  <c:x val="-2.1725841741639155E-3"/>
                  <c:y val="-1.631869092746256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C064-4CC5-BE16-C8E006CF650D}"/>
                </c:ext>
                <c:ext xmlns:c15="http://schemas.microsoft.com/office/drawing/2012/chart" uri="{CE6537A1-D6FC-4f65-9D91-7224C49458BB}"/>
              </c:extLst>
            </c:dLbl>
            <c:dLbl>
              <c:idx val="13"/>
              <c:layout>
                <c:manualLayout>
                  <c:x val="-4.3453394314189936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C064-4CC5-BE16-C8E006CF650D}"/>
                </c:ext>
                <c:ext xmlns:c15="http://schemas.microsoft.com/office/drawing/2012/chart" uri="{CE6537A1-D6FC-4f65-9D91-7224C49458BB}"/>
              </c:extLst>
            </c:dLbl>
            <c:dLbl>
              <c:idx val="19"/>
              <c:layout>
                <c:manualLayout>
                  <c:x val="-3.476391303299012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C064-4CC5-BE16-C8E006CF650D}"/>
                </c:ext>
                <c:ext xmlns:c15="http://schemas.microsoft.com/office/drawing/2012/chart" uri="{CE6537A1-D6FC-4f65-9D91-7224C49458BB}"/>
              </c:extLst>
            </c:dLbl>
            <c:dLbl>
              <c:idx val="20"/>
              <c:layout>
                <c:manualLayout>
                  <c:x val="-3.670825779718085E-2"/>
                  <c:y val="-1.6642188235466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C064-4CC5-BE16-C8E006CF650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2</c:v>
                </c:pt>
                <c:pt idx="1">
                  <c:v>3</c:v>
                </c:pt>
                <c:pt idx="2">
                  <c:v>5</c:v>
                </c:pt>
                <c:pt idx="3">
                  <c:v>3</c:v>
                </c:pt>
                <c:pt idx="4">
                  <c:v>2</c:v>
                </c:pt>
                <c:pt idx="5">
                  <c:v>2</c:v>
                </c:pt>
                <c:pt idx="6">
                  <c:v>2</c:v>
                </c:pt>
                <c:pt idx="7">
                  <c:v>5</c:v>
                </c:pt>
                <c:pt idx="8">
                  <c:v>6</c:v>
                </c:pt>
                <c:pt idx="9">
                  <c:v>6</c:v>
                </c:pt>
                <c:pt idx="10">
                  <c:v>10</c:v>
                </c:pt>
                <c:pt idx="11">
                  <c:v>9</c:v>
                </c:pt>
                <c:pt idx="12">
                  <c:v>13</c:v>
                </c:pt>
                <c:pt idx="13">
                  <c:v>16</c:v>
                </c:pt>
                <c:pt idx="14">
                  <c:v>24</c:v>
                </c:pt>
                <c:pt idx="15">
                  <c:v>25</c:v>
                </c:pt>
                <c:pt idx="16">
                  <c:v>20</c:v>
                </c:pt>
                <c:pt idx="17">
                  <c:v>8</c:v>
                </c:pt>
                <c:pt idx="18">
                  <c:v>5</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88674048"/>
        <c:axId val="388674440"/>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3</c:v>
                </c:pt>
                <c:pt idx="1">
                  <c:v>4</c:v>
                </c:pt>
                <c:pt idx="2">
                  <c:v>6</c:v>
                </c:pt>
                <c:pt idx="3">
                  <c:v>3</c:v>
                </c:pt>
                <c:pt idx="4">
                  <c:v>2</c:v>
                </c:pt>
                <c:pt idx="5">
                  <c:v>3</c:v>
                </c:pt>
                <c:pt idx="6">
                  <c:v>3</c:v>
                </c:pt>
                <c:pt idx="7">
                  <c:v>5</c:v>
                </c:pt>
                <c:pt idx="8">
                  <c:v>3</c:v>
                </c:pt>
                <c:pt idx="9">
                  <c:v>10</c:v>
                </c:pt>
                <c:pt idx="10">
                  <c:v>8</c:v>
                </c:pt>
                <c:pt idx="11">
                  <c:v>11</c:v>
                </c:pt>
                <c:pt idx="12">
                  <c:v>12</c:v>
                </c:pt>
                <c:pt idx="13">
                  <c:v>19</c:v>
                </c:pt>
                <c:pt idx="14">
                  <c:v>26</c:v>
                </c:pt>
                <c:pt idx="15">
                  <c:v>20</c:v>
                </c:pt>
                <c:pt idx="16">
                  <c:v>17</c:v>
                </c:pt>
                <c:pt idx="17">
                  <c:v>10</c:v>
                </c:pt>
                <c:pt idx="18">
                  <c:v>5</c:v>
                </c:pt>
                <c:pt idx="19">
                  <c:v>0</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56835168"/>
        <c:axId val="388675224"/>
      </c:barChart>
      <c:catAx>
        <c:axId val="38867404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674440"/>
        <c:crosses val="autoZero"/>
        <c:auto val="1"/>
        <c:lblAlgn val="ctr"/>
        <c:lblOffset val="100"/>
        <c:noMultiLvlLbl val="0"/>
      </c:catAx>
      <c:valAx>
        <c:axId val="388674440"/>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674048"/>
        <c:crosses val="autoZero"/>
        <c:crossBetween val="between"/>
        <c:majorUnit val="25"/>
      </c:valAx>
      <c:valAx>
        <c:axId val="388675224"/>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835168"/>
        <c:crosses val="max"/>
        <c:crossBetween val="between"/>
        <c:majorUnit val="25"/>
      </c:valAx>
      <c:catAx>
        <c:axId val="456835168"/>
        <c:scaling>
          <c:orientation val="minMax"/>
        </c:scaling>
        <c:delete val="1"/>
        <c:axPos val="l"/>
        <c:numFmt formatCode="General" sourceLinked="1"/>
        <c:majorTickMark val="out"/>
        <c:minorTickMark val="none"/>
        <c:tickLblPos val="nextTo"/>
        <c:crossAx val="38867522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0"/>
              <c:layout>
                <c:manualLayout>
                  <c:x val="1.7142999184850389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D6C-47A0-A711-6C0D9EDF4ED2}"/>
                </c:ext>
                <c:ext xmlns:c15="http://schemas.microsoft.com/office/drawing/2012/chart" uri="{CE6537A1-D6FC-4f65-9D91-7224C49458BB}"/>
              </c:extLst>
            </c:dLbl>
            <c:dLbl>
              <c:idx val="1"/>
              <c:layout>
                <c:manualLayout>
                  <c:x val="1.7142999188841804E-7"/>
                  <c:y val="-3.26621861226394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D6C-47A0-A711-6C0D9EDF4ED2}"/>
                </c:ext>
                <c:ext xmlns:c15="http://schemas.microsoft.com/office/drawing/2012/chart" uri="{CE6537A1-D6FC-4f65-9D91-7224C49458BB}"/>
              </c:extLst>
            </c:dLbl>
            <c:dLbl>
              <c:idx val="2"/>
              <c:layout>
                <c:manualLayout>
                  <c:x val="-2.176989466484151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4D6C-47A0-A711-6C0D9EDF4ED2}"/>
                </c:ext>
                <c:ext xmlns:c15="http://schemas.microsoft.com/office/drawing/2012/chart" uri="{CE6537A1-D6FC-4f65-9D91-7224C49458BB}"/>
              </c:extLst>
            </c:dLbl>
            <c:dLbl>
              <c:idx val="3"/>
              <c:layout>
                <c:manualLayout>
                  <c:x val="1.7142999188841804E-7"/>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4D6C-47A0-A711-6C0D9EDF4ED2}"/>
                </c:ext>
                <c:ext xmlns:c15="http://schemas.microsoft.com/office/drawing/2012/chart" uri="{CE6537A1-D6FC-4f65-9D91-7224C49458BB}"/>
              </c:extLst>
            </c:dLbl>
            <c:dLbl>
              <c:idx val="4"/>
              <c:layout>
                <c:manualLayout>
                  <c:x val="1.7142999184850389E-7"/>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4D6C-47A0-A711-6C0D9EDF4ED2}"/>
                </c:ext>
                <c:ext xmlns:c15="http://schemas.microsoft.com/office/drawing/2012/chart" uri="{CE6537A1-D6FC-4f65-9D91-7224C49458BB}"/>
              </c:extLst>
            </c:dLbl>
            <c:dLbl>
              <c:idx val="5"/>
              <c:layout>
                <c:manualLayout>
                  <c:x val="1.7142999184850389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4D6C-47A0-A711-6C0D9EDF4ED2}"/>
                </c:ext>
                <c:ext xmlns:c15="http://schemas.microsoft.com/office/drawing/2012/chart" uri="{CE6537A1-D6FC-4f65-9D91-7224C49458BB}"/>
              </c:extLst>
            </c:dLbl>
            <c:dLbl>
              <c:idx val="6"/>
              <c:layout>
                <c:manualLayout>
                  <c:x val="2.1773323264678477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4D6C-47A0-A711-6C0D9EDF4ED2}"/>
                </c:ext>
                <c:ext xmlns:c15="http://schemas.microsoft.com/office/drawing/2012/chart" uri="{CE6537A1-D6FC-4f65-9D91-7224C49458BB}"/>
              </c:extLst>
            </c:dLbl>
            <c:dLbl>
              <c:idx val="7"/>
              <c:layout>
                <c:manualLayout>
                  <c:x val="-4.3541503629601899E-3"/>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4D6C-47A0-A711-6C0D9EDF4ED2}"/>
                </c:ext>
                <c:ext xmlns:c15="http://schemas.microsoft.com/office/drawing/2012/chart" uri="{CE6537A1-D6FC-4f65-9D91-7224C49458BB}"/>
              </c:extLst>
            </c:dLbl>
            <c:dLbl>
              <c:idx val="8"/>
              <c:layout>
                <c:manualLayout>
                  <c:x val="-4.35415036296015E-3"/>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4D6C-47A0-A711-6C0D9EDF4ED2}"/>
                </c:ext>
                <c:ext xmlns:c15="http://schemas.microsoft.com/office/drawing/2012/chart" uri="{CE6537A1-D6FC-4f65-9D91-7224C49458BB}"/>
              </c:extLst>
            </c:dLbl>
            <c:dLbl>
              <c:idx val="9"/>
              <c:layout>
                <c:manualLayout>
                  <c:x val="-6.531311259436149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4D6C-47A0-A711-6C0D9EDF4ED2}"/>
                </c:ext>
                <c:ext xmlns:c15="http://schemas.microsoft.com/office/drawing/2012/chart" uri="{CE6537A1-D6FC-4f65-9D91-7224C49458BB}"/>
              </c:extLst>
            </c:dLbl>
            <c:dLbl>
              <c:idx val="10"/>
              <c:layout>
                <c:manualLayout>
                  <c:x val="1.7142999184850389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4D6C-47A0-A711-6C0D9EDF4ED2}"/>
                </c:ext>
                <c:ext xmlns:c15="http://schemas.microsoft.com/office/drawing/2012/chart" uri="{CE6537A1-D6FC-4f65-9D91-7224C49458BB}"/>
              </c:extLst>
            </c:dLbl>
            <c:dLbl>
              <c:idx val="11"/>
              <c:layout>
                <c:manualLayout>
                  <c:x val="-2.176989466484191E-3"/>
                  <c:y val="-4.8991350390638509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4D6C-47A0-A711-6C0D9EDF4ED2}"/>
                </c:ext>
                <c:ext xmlns:c15="http://schemas.microsoft.com/office/drawing/2012/chart" uri="{CE6537A1-D6FC-4f65-9D91-7224C49458BB}"/>
              </c:extLst>
            </c:dLbl>
            <c:dLbl>
              <c:idx val="12"/>
              <c:layout>
                <c:manualLayout>
                  <c:x val="1.7142999180858974E-7"/>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4D6C-47A0-A711-6C0D9EDF4ED2}"/>
                </c:ext>
                <c:ext xmlns:c15="http://schemas.microsoft.com/office/drawing/2012/chart" uri="{CE6537A1-D6FC-4f65-9D91-7224C49458BB}"/>
              </c:extLst>
            </c:dLbl>
            <c:dLbl>
              <c:idx val="13"/>
              <c:layout>
                <c:manualLayout>
                  <c:x val="-2.17698946648419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4D6C-47A0-A711-6C0D9EDF4ED2}"/>
                </c:ext>
                <c:ext xmlns:c15="http://schemas.microsoft.com/office/drawing/2012/chart" uri="{CE6537A1-D6FC-4f65-9D91-7224C49458BB}"/>
              </c:extLst>
            </c:dLbl>
            <c:dLbl>
              <c:idx val="15"/>
              <c:layout>
                <c:manualLayout>
                  <c:x val="-2.176989466484111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E-4D6C-47A0-A711-6C0D9EDF4ED2}"/>
                </c:ext>
                <c:ext xmlns:c15="http://schemas.microsoft.com/office/drawing/2012/chart" uri="{CE6537A1-D6FC-4f65-9D91-7224C49458BB}"/>
              </c:extLst>
            </c:dLbl>
            <c:dLbl>
              <c:idx val="19"/>
              <c:layout>
                <c:manualLayout>
                  <c:x val="-3.483440291362414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4D6C-47A0-A711-6C0D9EDF4ED2}"/>
                </c:ext>
                <c:ext xmlns:c15="http://schemas.microsoft.com/office/drawing/2012/chart" uri="{CE6537A1-D6FC-4f65-9D91-7224C49458BB}"/>
              </c:extLst>
            </c:dLbl>
            <c:dLbl>
              <c:idx val="20"/>
              <c:layout>
                <c:manualLayout>
                  <c:x val="-3.5664332915034076E-2"/>
                  <c:y val="-1.665441845655767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4D6C-47A0-A711-6C0D9EDF4ED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1</c:v>
                </c:pt>
                <c:pt idx="1">
                  <c:v>2</c:v>
                </c:pt>
                <c:pt idx="2">
                  <c:v>2</c:v>
                </c:pt>
                <c:pt idx="3">
                  <c:v>2</c:v>
                </c:pt>
                <c:pt idx="4">
                  <c:v>1</c:v>
                </c:pt>
                <c:pt idx="5">
                  <c:v>1</c:v>
                </c:pt>
                <c:pt idx="6">
                  <c:v>1</c:v>
                </c:pt>
                <c:pt idx="7">
                  <c:v>2</c:v>
                </c:pt>
                <c:pt idx="8">
                  <c:v>1</c:v>
                </c:pt>
                <c:pt idx="9">
                  <c:v>5</c:v>
                </c:pt>
                <c:pt idx="10">
                  <c:v>6</c:v>
                </c:pt>
                <c:pt idx="11">
                  <c:v>6</c:v>
                </c:pt>
                <c:pt idx="12">
                  <c:v>11</c:v>
                </c:pt>
                <c:pt idx="13">
                  <c:v>9</c:v>
                </c:pt>
                <c:pt idx="14">
                  <c:v>11</c:v>
                </c:pt>
                <c:pt idx="15">
                  <c:v>13</c:v>
                </c:pt>
                <c:pt idx="16">
                  <c:v>17</c:v>
                </c:pt>
                <c:pt idx="17">
                  <c:v>13</c:v>
                </c:pt>
                <c:pt idx="18">
                  <c:v>6</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6834384"/>
        <c:axId val="456831640"/>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2</c:v>
                </c:pt>
                <c:pt idx="1">
                  <c:v>2</c:v>
                </c:pt>
                <c:pt idx="2">
                  <c:v>3</c:v>
                </c:pt>
                <c:pt idx="3">
                  <c:v>2</c:v>
                </c:pt>
                <c:pt idx="4">
                  <c:v>2</c:v>
                </c:pt>
                <c:pt idx="5">
                  <c:v>2</c:v>
                </c:pt>
                <c:pt idx="6">
                  <c:v>2</c:v>
                </c:pt>
                <c:pt idx="7">
                  <c:v>2</c:v>
                </c:pt>
                <c:pt idx="8">
                  <c:v>2</c:v>
                </c:pt>
                <c:pt idx="9">
                  <c:v>5</c:v>
                </c:pt>
                <c:pt idx="10">
                  <c:v>3</c:v>
                </c:pt>
                <c:pt idx="11">
                  <c:v>10</c:v>
                </c:pt>
                <c:pt idx="12">
                  <c:v>8</c:v>
                </c:pt>
                <c:pt idx="13">
                  <c:v>11</c:v>
                </c:pt>
                <c:pt idx="14">
                  <c:v>11</c:v>
                </c:pt>
                <c:pt idx="15">
                  <c:v>16</c:v>
                </c:pt>
                <c:pt idx="16">
                  <c:v>20</c:v>
                </c:pt>
                <c:pt idx="17">
                  <c:v>12</c:v>
                </c:pt>
                <c:pt idx="18">
                  <c:v>5</c:v>
                </c:pt>
                <c:pt idx="19">
                  <c:v>0</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6834776"/>
        <c:axId val="456832424"/>
      </c:barChart>
      <c:catAx>
        <c:axId val="45683438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831640"/>
        <c:crosses val="autoZero"/>
        <c:auto val="1"/>
        <c:lblAlgn val="ctr"/>
        <c:lblOffset val="100"/>
        <c:noMultiLvlLbl val="0"/>
      </c:catAx>
      <c:valAx>
        <c:axId val="456831640"/>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834384"/>
        <c:crosses val="autoZero"/>
        <c:crossBetween val="between"/>
        <c:majorUnit val="25"/>
      </c:valAx>
      <c:valAx>
        <c:axId val="456832424"/>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834776"/>
        <c:crosses val="max"/>
        <c:crossBetween val="between"/>
        <c:majorUnit val="25"/>
      </c:valAx>
      <c:catAx>
        <c:axId val="456834776"/>
        <c:scaling>
          <c:orientation val="minMax"/>
        </c:scaling>
        <c:delete val="1"/>
        <c:axPos val="l"/>
        <c:numFmt formatCode="General" sourceLinked="1"/>
        <c:majorTickMark val="out"/>
        <c:minorTickMark val="none"/>
        <c:tickLblPos val="nextTo"/>
        <c:crossAx val="45683242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617</c:v>
                </c:pt>
                <c:pt idx="1">
                  <c:v>539</c:v>
                </c:pt>
                <c:pt idx="2">
                  <c:v>474</c:v>
                </c:pt>
                <c:pt idx="3">
                  <c:v>396</c:v>
                </c:pt>
                <c:pt idx="4">
                  <c:v>336</c:v>
                </c:pt>
                <c:pt idx="5">
                  <c:v>281</c:v>
                </c:pt>
                <c:pt idx="6">
                  <c:v>230</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8F15-4772-B16A-FA22CBD437E4}"/>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8F15-4772-B16A-FA22CBD437E4}"/>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8F15-4772-B16A-FA22CBD437E4}"/>
                </c:ext>
                <c:ext xmlns:c15="http://schemas.microsoft.com/office/drawing/2012/chart" uri="{CE6537A1-D6FC-4f65-9D91-7224C49458BB}"/>
              </c:extLst>
            </c:dLbl>
            <c:dLbl>
              <c:idx val="6"/>
              <c:layout>
                <c:manualLayout>
                  <c:x val="0"/>
                  <c:y val="-1.6301474593526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8F15-4772-B16A-FA22CBD437E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405</c:v>
                </c:pt>
                <c:pt idx="4" formatCode="#,##0_);[Red]\(#,##0\)">
                  <c:v>354</c:v>
                </c:pt>
                <c:pt idx="5" formatCode="#,##0_);[Red]\(#,##0\)">
                  <c:v>308</c:v>
                </c:pt>
                <c:pt idx="6" formatCode="#,##0_);[Red]\(#,##0\)">
                  <c:v>263</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6832032"/>
        <c:axId val="456837520"/>
      </c:barChart>
      <c:catAx>
        <c:axId val="4568320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837520"/>
        <c:crosses val="autoZero"/>
        <c:auto val="1"/>
        <c:lblAlgn val="ctr"/>
        <c:lblOffset val="100"/>
        <c:noMultiLvlLbl val="0"/>
      </c:catAx>
      <c:valAx>
        <c:axId val="4568375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832032"/>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7.410854014346295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25</c:v>
                </c:pt>
                <c:pt idx="1">
                  <c:v>20</c:v>
                </c:pt>
                <c:pt idx="2">
                  <c:v>15</c:v>
                </c:pt>
                <c:pt idx="3">
                  <c:v>12</c:v>
                </c:pt>
                <c:pt idx="4">
                  <c:v>10</c:v>
                </c:pt>
                <c:pt idx="5">
                  <c:v>7</c:v>
                </c:pt>
                <c:pt idx="6">
                  <c:v>5</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13</c:v>
                </c:pt>
                <c:pt idx="4">
                  <c:v>13</c:v>
                </c:pt>
                <c:pt idx="5">
                  <c:v>12</c:v>
                </c:pt>
                <c:pt idx="6">
                  <c:v>12</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6833208"/>
        <c:axId val="456835560"/>
      </c:barChart>
      <c:catAx>
        <c:axId val="4568332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835560"/>
        <c:crosses val="autoZero"/>
        <c:auto val="1"/>
        <c:lblAlgn val="ctr"/>
        <c:lblOffset val="100"/>
        <c:noMultiLvlLbl val="0"/>
      </c:catAx>
      <c:valAx>
        <c:axId val="4568355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833208"/>
        <c:crosses val="autoZero"/>
        <c:crossBetween val="between"/>
      </c:valAx>
      <c:spPr>
        <a:noFill/>
        <a:ln>
          <a:noFill/>
        </a:ln>
        <a:effectLst/>
      </c:spPr>
    </c:plotArea>
    <c:legend>
      <c:legendPos val="t"/>
      <c:layout>
        <c:manualLayout>
          <c:xMode val="edge"/>
          <c:yMode val="edge"/>
          <c:x val="5.5207713232717746E-2"/>
          <c:y val="0.12714278492223405"/>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0.36</c:v>
                </c:pt>
                <c:pt idx="1">
                  <c:v>0.42</c:v>
                </c:pt>
                <c:pt idx="2">
                  <c:v>0.48</c:v>
                </c:pt>
                <c:pt idx="3">
                  <c:v>0.54</c:v>
                </c:pt>
                <c:pt idx="4">
                  <c:v>0.57999999999999996</c:v>
                </c:pt>
                <c:pt idx="5">
                  <c:v>0.61</c:v>
                </c:pt>
                <c:pt idx="6">
                  <c:v>0.63</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F5E4-4B98-BBD5-F83751679041}"/>
                </c:ext>
                <c:ext xmlns:c15="http://schemas.microsoft.com/office/drawing/2012/chart" uri="{CE6537A1-D6FC-4f65-9D91-7224C49458BB}"/>
              </c:extLst>
            </c:dLbl>
            <c:dLbl>
              <c:idx val="4"/>
              <c:layout>
                <c:manualLayout>
                  <c:x val="2.3218844926453002E-3"/>
                  <c:y val="-0.10307065795691059"/>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5E4-4B98-BBD5-F83751679041}"/>
                </c:ext>
                <c:ext xmlns:c15="http://schemas.microsoft.com/office/drawing/2012/chart" uri="{CE6537A1-D6FC-4f65-9D91-7224C49458BB}"/>
              </c:extLst>
            </c:dLbl>
            <c:dLbl>
              <c:idx val="5"/>
              <c:layout>
                <c:manualLayout>
                  <c:x val="6.9656244598342194E-3"/>
                  <c:y val="-0.1147232643083210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F5E4-4B98-BBD5-F83751679041}"/>
                </c:ext>
                <c:ext xmlns:c15="http://schemas.microsoft.com/office/drawing/2012/chart" uri="{CE6537A1-D6FC-4f65-9D91-7224C49458BB}"/>
              </c:extLst>
            </c:dLbl>
            <c:dLbl>
              <c:idx val="6"/>
              <c:layout>
                <c:manualLayout>
                  <c:x val="1.5037542100321082E-2"/>
                  <c:y val="-0.12335990347991548"/>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5E4-4B98-BBD5-F8375167904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0.52</c:v>
                </c:pt>
                <c:pt idx="4" formatCode="0%">
                  <c:v>0.55000000000000004</c:v>
                </c:pt>
                <c:pt idx="5" formatCode="0%">
                  <c:v>0.56000000000000005</c:v>
                </c:pt>
                <c:pt idx="6" formatCode="0%">
                  <c:v>0.55000000000000004</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6839088"/>
        <c:axId val="456833992"/>
      </c:barChart>
      <c:catAx>
        <c:axId val="4568390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833992"/>
        <c:crosses val="autoZero"/>
        <c:auto val="1"/>
        <c:lblAlgn val="ctr"/>
        <c:lblOffset val="100"/>
        <c:noMultiLvlLbl val="0"/>
      </c:catAx>
      <c:valAx>
        <c:axId val="4568339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83908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0.22</c:v>
                </c:pt>
                <c:pt idx="1">
                  <c:v>0.25</c:v>
                </c:pt>
                <c:pt idx="2">
                  <c:v>0.25</c:v>
                </c:pt>
                <c:pt idx="3">
                  <c:v>0.27</c:v>
                </c:pt>
                <c:pt idx="4">
                  <c:v>0.33</c:v>
                </c:pt>
                <c:pt idx="5">
                  <c:v>0.41</c:v>
                </c:pt>
                <c:pt idx="6">
                  <c:v>0.44</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71FF-42E6-B74A-CB4E8DE47CA2}"/>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71FF-42E6-B74A-CB4E8DE47CA2}"/>
                </c:ext>
                <c:ext xmlns:c15="http://schemas.microsoft.com/office/drawing/2012/chart" uri="{CE6537A1-D6FC-4f65-9D91-7224C49458BB}"/>
              </c:extLst>
            </c:dLbl>
            <c:dLbl>
              <c:idx val="5"/>
              <c:layout>
                <c:manualLayout>
                  <c:x val="4.8280571402974145E-3"/>
                  <c:y val="-0.1012677784915008"/>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71FF-42E6-B74A-CB4E8DE47CA2}"/>
                </c:ext>
                <c:ext xmlns:c15="http://schemas.microsoft.com/office/drawing/2012/chart" uri="{CE6537A1-D6FC-4f65-9D91-7224C49458BB}"/>
              </c:extLst>
            </c:dLbl>
            <c:dLbl>
              <c:idx val="6"/>
              <c:layout>
                <c:manualLayout>
                  <c:x val="9.2876114855886503E-3"/>
                  <c:y val="-9.785101083275532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71FF-42E6-B74A-CB4E8DE47CA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0.27</c:v>
                </c:pt>
                <c:pt idx="4" formatCode="0%">
                  <c:v>0.31</c:v>
                </c:pt>
                <c:pt idx="5" formatCode="0%">
                  <c:v>0.37</c:v>
                </c:pt>
                <c:pt idx="6" formatCode="0%">
                  <c:v>0.39</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6837912"/>
        <c:axId val="456838304"/>
      </c:barChart>
      <c:catAx>
        <c:axId val="4568379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838304"/>
        <c:crosses val="autoZero"/>
        <c:auto val="1"/>
        <c:lblAlgn val="ctr"/>
        <c:lblOffset val="100"/>
        <c:noMultiLvlLbl val="0"/>
      </c:catAx>
      <c:valAx>
        <c:axId val="4568383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83791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15</c:v>
                </c:pt>
                <c:pt idx="1">
                  <c:v>10</c:v>
                </c:pt>
                <c:pt idx="2">
                  <c:v>8</c:v>
                </c:pt>
                <c:pt idx="3">
                  <c:v>6</c:v>
                </c:pt>
                <c:pt idx="4">
                  <c:v>5</c:v>
                </c:pt>
                <c:pt idx="5">
                  <c:v>4</c:v>
                </c:pt>
                <c:pt idx="6">
                  <c:v>3</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6</c:v>
                </c:pt>
                <c:pt idx="4">
                  <c:v>6</c:v>
                </c:pt>
                <c:pt idx="5">
                  <c:v>6</c:v>
                </c:pt>
                <c:pt idx="6">
                  <c:v>6</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6837128"/>
        <c:axId val="457539736"/>
      </c:barChart>
      <c:catAx>
        <c:axId val="4568371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539736"/>
        <c:crosses val="autoZero"/>
        <c:auto val="1"/>
        <c:lblAlgn val="ctr"/>
        <c:lblOffset val="100"/>
        <c:noMultiLvlLbl val="0"/>
      </c:catAx>
      <c:valAx>
        <c:axId val="45753973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837128"/>
        <c:crosses val="autoZero"/>
        <c:crossBetween val="between"/>
      </c:valAx>
      <c:spPr>
        <a:noFill/>
        <a:ln>
          <a:noFill/>
        </a:ln>
        <a:effectLst/>
      </c:spPr>
    </c:plotArea>
    <c:legend>
      <c:legendPos val="t"/>
      <c:layout>
        <c:manualLayout>
          <c:xMode val="edge"/>
          <c:yMode val="edge"/>
          <c:x val="0.12848750588908001"/>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15</c:v>
                </c:pt>
                <c:pt idx="1">
                  <c:v>10</c:v>
                </c:pt>
                <c:pt idx="2">
                  <c:v>8</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1535264"/>
        <c:axId val="388673656"/>
      </c:barChart>
      <c:catAx>
        <c:axId val="3915352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673656"/>
        <c:crosses val="autoZero"/>
        <c:auto val="1"/>
        <c:lblAlgn val="ctr"/>
        <c:lblOffset val="100"/>
        <c:noMultiLvlLbl val="0"/>
      </c:catAx>
      <c:valAx>
        <c:axId val="3886736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5352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4"/>
              <c:layout>
                <c:manualLayout>
                  <c:x val="-2.2419826478063593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447-47BA-BD03-16BE2CEB4BDD}"/>
                </c:ext>
                <c:ext xmlns:c15="http://schemas.microsoft.com/office/drawing/2012/chart" uri="{CE6537A1-D6FC-4f65-9D91-7224C49458BB}"/>
              </c:extLst>
            </c:dLbl>
            <c:dLbl>
              <c:idx val="7"/>
              <c:layout>
                <c:manualLayout>
                  <c:x val="4.484494939517314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447-47BA-BD03-16BE2CEB4BDD}"/>
                </c:ext>
                <c:ext xmlns:c15="http://schemas.microsoft.com/office/drawing/2012/chart" uri="{CE6537A1-D6FC-4f65-9D91-7224C49458BB}"/>
              </c:extLst>
            </c:dLbl>
            <c:dLbl>
              <c:idx val="9"/>
              <c:layout>
                <c:manualLayout>
                  <c:x val="-2.24198264780640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9447-47BA-BD03-16BE2CEB4BDD}"/>
                </c:ext>
                <c:ext xmlns:c15="http://schemas.microsoft.com/office/drawing/2012/chart" uri="{CE6537A1-D6FC-4f65-9D91-7224C49458BB}"/>
              </c:extLst>
            </c:dLbl>
            <c:dLbl>
              <c:idx val="10"/>
              <c:layout>
                <c:manualLayout>
                  <c:x val="2.242335743742743E-3"/>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9447-47BA-BD03-16BE2CEB4BDD}"/>
                </c:ext>
                <c:ext xmlns:c15="http://schemas.microsoft.com/office/drawing/2012/chart" uri="{CE6537A1-D6FC-4f65-9D91-7224C49458BB}"/>
              </c:extLst>
            </c:dLbl>
            <c:dLbl>
              <c:idx val="11"/>
              <c:layout>
                <c:manualLayout>
                  <c:x val="4.484494939517314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9447-47BA-BD03-16BE2CEB4BDD}"/>
                </c:ext>
                <c:ext xmlns:c15="http://schemas.microsoft.com/office/drawing/2012/chart" uri="{CE6537A1-D6FC-4f65-9D91-7224C49458BB}"/>
              </c:extLst>
            </c:dLbl>
            <c:dLbl>
              <c:idx val="13"/>
              <c:layout>
                <c:manualLayout>
                  <c:x val="1.7654796817122611E-7"/>
                  <c:y val="-3.2281207444249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9447-47BA-BD03-16BE2CEB4BDD}"/>
                </c:ext>
                <c:ext xmlns:c15="http://schemas.microsoft.com/office/drawing/2012/chart" uri="{CE6537A1-D6FC-4f65-9D91-7224C49458BB}"/>
              </c:extLst>
            </c:dLbl>
            <c:dLbl>
              <c:idx val="19"/>
              <c:layout>
                <c:manualLayout>
                  <c:x val="-4.0358688975974118E-2"/>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9447-47BA-BD03-16BE2CEB4BDD}"/>
                </c:ext>
                <c:ext xmlns:c15="http://schemas.microsoft.com/office/drawing/2012/chart" uri="{CE6537A1-D6FC-4f65-9D91-7224C49458BB}"/>
              </c:extLst>
            </c:dLbl>
            <c:dLbl>
              <c:idx val="20"/>
              <c:layout>
                <c:manualLayout>
                  <c:x val="-3.62887210654597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9447-47BA-BD03-16BE2CEB4BD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4</c:v>
                </c:pt>
                <c:pt idx="1">
                  <c:v>4</c:v>
                </c:pt>
                <c:pt idx="2">
                  <c:v>6</c:v>
                </c:pt>
                <c:pt idx="3">
                  <c:v>4</c:v>
                </c:pt>
                <c:pt idx="4">
                  <c:v>2</c:v>
                </c:pt>
                <c:pt idx="5">
                  <c:v>4</c:v>
                </c:pt>
                <c:pt idx="6">
                  <c:v>3</c:v>
                </c:pt>
                <c:pt idx="7">
                  <c:v>5</c:v>
                </c:pt>
                <c:pt idx="8">
                  <c:v>6</c:v>
                </c:pt>
                <c:pt idx="9">
                  <c:v>6</c:v>
                </c:pt>
                <c:pt idx="10">
                  <c:v>10</c:v>
                </c:pt>
                <c:pt idx="11">
                  <c:v>9</c:v>
                </c:pt>
                <c:pt idx="12">
                  <c:v>13</c:v>
                </c:pt>
                <c:pt idx="13">
                  <c:v>16</c:v>
                </c:pt>
                <c:pt idx="14">
                  <c:v>24</c:v>
                </c:pt>
                <c:pt idx="15">
                  <c:v>25</c:v>
                </c:pt>
                <c:pt idx="16">
                  <c:v>20</c:v>
                </c:pt>
                <c:pt idx="17">
                  <c:v>8</c:v>
                </c:pt>
                <c:pt idx="18">
                  <c:v>5</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7535424"/>
        <c:axId val="457539344"/>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4</c:v>
                </c:pt>
                <c:pt idx="1">
                  <c:v>5</c:v>
                </c:pt>
                <c:pt idx="2">
                  <c:v>7</c:v>
                </c:pt>
                <c:pt idx="3">
                  <c:v>4</c:v>
                </c:pt>
                <c:pt idx="4">
                  <c:v>2</c:v>
                </c:pt>
                <c:pt idx="5">
                  <c:v>5</c:v>
                </c:pt>
                <c:pt idx="6">
                  <c:v>5</c:v>
                </c:pt>
                <c:pt idx="7">
                  <c:v>5</c:v>
                </c:pt>
                <c:pt idx="8">
                  <c:v>4</c:v>
                </c:pt>
                <c:pt idx="9">
                  <c:v>11</c:v>
                </c:pt>
                <c:pt idx="10">
                  <c:v>8</c:v>
                </c:pt>
                <c:pt idx="11">
                  <c:v>11</c:v>
                </c:pt>
                <c:pt idx="12">
                  <c:v>12</c:v>
                </c:pt>
                <c:pt idx="13">
                  <c:v>19</c:v>
                </c:pt>
                <c:pt idx="14">
                  <c:v>26</c:v>
                </c:pt>
                <c:pt idx="15">
                  <c:v>20</c:v>
                </c:pt>
                <c:pt idx="16">
                  <c:v>17</c:v>
                </c:pt>
                <c:pt idx="17">
                  <c:v>10</c:v>
                </c:pt>
                <c:pt idx="18">
                  <c:v>5</c:v>
                </c:pt>
                <c:pt idx="19">
                  <c:v>0</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7541696"/>
        <c:axId val="457535816"/>
      </c:barChart>
      <c:catAx>
        <c:axId val="45753542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539344"/>
        <c:crosses val="autoZero"/>
        <c:auto val="1"/>
        <c:lblAlgn val="ctr"/>
        <c:lblOffset val="100"/>
        <c:noMultiLvlLbl val="0"/>
      </c:catAx>
      <c:valAx>
        <c:axId val="457539344"/>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535424"/>
        <c:crosses val="autoZero"/>
        <c:crossBetween val="between"/>
        <c:majorUnit val="25"/>
      </c:valAx>
      <c:valAx>
        <c:axId val="457535816"/>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541696"/>
        <c:crosses val="max"/>
        <c:crossBetween val="between"/>
        <c:majorUnit val="25"/>
      </c:valAx>
      <c:catAx>
        <c:axId val="457541696"/>
        <c:scaling>
          <c:orientation val="minMax"/>
        </c:scaling>
        <c:delete val="1"/>
        <c:axPos val="l"/>
        <c:numFmt formatCode="General" sourceLinked="1"/>
        <c:majorTickMark val="out"/>
        <c:minorTickMark val="none"/>
        <c:tickLblPos val="nextTo"/>
        <c:crossAx val="45753581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4"/>
              <c:layout>
                <c:manualLayout>
                  <c:x val="2.2423357437427838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1CC-4593-A75A-E9ED4D9D7BDB}"/>
                </c:ext>
                <c:ext xmlns:c15="http://schemas.microsoft.com/office/drawing/2012/chart" uri="{CE6537A1-D6FC-4f65-9D91-7224C49458BB}"/>
              </c:extLst>
            </c:dLbl>
            <c:dLbl>
              <c:idx val="7"/>
              <c:layout>
                <c:manualLayout>
                  <c:x val="-2.2419826478064005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1CC-4593-A75A-E9ED4D9D7BDB}"/>
                </c:ext>
                <c:ext xmlns:c15="http://schemas.microsoft.com/office/drawing/2012/chart" uri="{CE6537A1-D6FC-4f65-9D91-7224C49458BB}"/>
              </c:extLst>
            </c:dLbl>
            <c:dLbl>
              <c:idx val="8"/>
              <c:layout>
                <c:manualLayout>
                  <c:x val="1.7654796817122611E-7"/>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81CC-4593-A75A-E9ED4D9D7BDB}"/>
                </c:ext>
                <c:ext xmlns:c15="http://schemas.microsoft.com/office/drawing/2012/chart" uri="{CE6537A1-D6FC-4f65-9D91-7224C49458BB}"/>
              </c:extLst>
            </c:dLbl>
            <c:dLbl>
              <c:idx val="9"/>
              <c:layout>
                <c:manualLayout>
                  <c:x val="2.242335743742743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81CC-4593-A75A-E9ED4D9D7BDB}"/>
                </c:ext>
                <c:ext xmlns:c15="http://schemas.microsoft.com/office/drawing/2012/chart" uri="{CE6537A1-D6FC-4f65-9D91-7224C49458BB}"/>
              </c:extLst>
            </c:dLbl>
            <c:dLbl>
              <c:idx val="10"/>
              <c:layout>
                <c:manualLayout>
                  <c:x val="-2.2419826478064005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81CC-4593-A75A-E9ED4D9D7BDB}"/>
                </c:ext>
                <c:ext xmlns:c15="http://schemas.microsoft.com/office/drawing/2012/chart" uri="{CE6537A1-D6FC-4f65-9D91-7224C49458BB}"/>
              </c:extLst>
            </c:dLbl>
            <c:dLbl>
              <c:idx val="11"/>
              <c:layout>
                <c:manualLayout>
                  <c:x val="-4.484141843580972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81CC-4593-A75A-E9ED4D9D7BDB}"/>
                </c:ext>
                <c:ext xmlns:c15="http://schemas.microsoft.com/office/drawing/2012/chart" uri="{CE6537A1-D6FC-4f65-9D91-7224C49458BB}"/>
              </c:extLst>
            </c:dLbl>
            <c:dLbl>
              <c:idx val="12"/>
              <c:layout>
                <c:manualLayout>
                  <c:x val="1.7654796817122611E-7"/>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81CC-4593-A75A-E9ED4D9D7BDB}"/>
                </c:ext>
                <c:ext xmlns:c15="http://schemas.microsoft.com/office/drawing/2012/chart" uri="{CE6537A1-D6FC-4f65-9D91-7224C49458BB}"/>
              </c:extLst>
            </c:dLbl>
            <c:dLbl>
              <c:idx val="13"/>
              <c:layout>
                <c:manualLayout>
                  <c:x val="-2.2419826478064005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81CC-4593-A75A-E9ED4D9D7BDB}"/>
                </c:ext>
                <c:ext xmlns:c15="http://schemas.microsoft.com/office/drawing/2012/chart" uri="{CE6537A1-D6FC-4f65-9D91-7224C49458BB}"/>
              </c:extLst>
            </c:dLbl>
            <c:dLbl>
              <c:idx val="15"/>
              <c:layout>
                <c:manualLayout>
                  <c:x val="2.242335743742743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81CC-4593-A75A-E9ED4D9D7BDB}"/>
                </c:ext>
                <c:ext xmlns:c15="http://schemas.microsoft.com/office/drawing/2012/chart" uri="{CE6537A1-D6FC-4f65-9D91-7224C49458BB}"/>
              </c:extLst>
            </c:dLbl>
            <c:dLbl>
              <c:idx val="19"/>
              <c:layout>
                <c:manualLayout>
                  <c:x val="-3.363221138865039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81CC-4593-A75A-E9ED4D9D7BDB}"/>
                </c:ext>
                <c:ext xmlns:c15="http://schemas.microsoft.com/office/drawing/2012/chart" uri="{CE6537A1-D6FC-4f65-9D91-7224C49458BB}"/>
              </c:extLst>
            </c:dLbl>
            <c:dLbl>
              <c:idx val="20"/>
              <c:layout>
                <c:manualLayout>
                  <c:x val="-3.62887210654597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81CC-4593-A75A-E9ED4D9D7BD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3</c:v>
                </c:pt>
                <c:pt idx="1">
                  <c:v>4</c:v>
                </c:pt>
                <c:pt idx="2">
                  <c:v>5</c:v>
                </c:pt>
                <c:pt idx="3">
                  <c:v>3</c:v>
                </c:pt>
                <c:pt idx="4">
                  <c:v>1</c:v>
                </c:pt>
                <c:pt idx="5">
                  <c:v>3</c:v>
                </c:pt>
                <c:pt idx="6">
                  <c:v>3</c:v>
                </c:pt>
                <c:pt idx="7">
                  <c:v>3</c:v>
                </c:pt>
                <c:pt idx="8">
                  <c:v>2</c:v>
                </c:pt>
                <c:pt idx="9">
                  <c:v>5</c:v>
                </c:pt>
                <c:pt idx="10">
                  <c:v>6</c:v>
                </c:pt>
                <c:pt idx="11">
                  <c:v>6</c:v>
                </c:pt>
                <c:pt idx="12">
                  <c:v>11</c:v>
                </c:pt>
                <c:pt idx="13">
                  <c:v>9</c:v>
                </c:pt>
                <c:pt idx="14">
                  <c:v>11</c:v>
                </c:pt>
                <c:pt idx="15">
                  <c:v>13</c:v>
                </c:pt>
                <c:pt idx="16">
                  <c:v>17</c:v>
                </c:pt>
                <c:pt idx="17">
                  <c:v>13</c:v>
                </c:pt>
                <c:pt idx="18">
                  <c:v>6</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7540128"/>
        <c:axId val="457535032"/>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4</c:v>
                </c:pt>
                <c:pt idx="1">
                  <c:v>4</c:v>
                </c:pt>
                <c:pt idx="2">
                  <c:v>6</c:v>
                </c:pt>
                <c:pt idx="3">
                  <c:v>4</c:v>
                </c:pt>
                <c:pt idx="4">
                  <c:v>2</c:v>
                </c:pt>
                <c:pt idx="5">
                  <c:v>4</c:v>
                </c:pt>
                <c:pt idx="6">
                  <c:v>3</c:v>
                </c:pt>
                <c:pt idx="7">
                  <c:v>3</c:v>
                </c:pt>
                <c:pt idx="8">
                  <c:v>5</c:v>
                </c:pt>
                <c:pt idx="9">
                  <c:v>6</c:v>
                </c:pt>
                <c:pt idx="10">
                  <c:v>4</c:v>
                </c:pt>
                <c:pt idx="11">
                  <c:v>11</c:v>
                </c:pt>
                <c:pt idx="12">
                  <c:v>8</c:v>
                </c:pt>
                <c:pt idx="13">
                  <c:v>11</c:v>
                </c:pt>
                <c:pt idx="14">
                  <c:v>11</c:v>
                </c:pt>
                <c:pt idx="15">
                  <c:v>16</c:v>
                </c:pt>
                <c:pt idx="16">
                  <c:v>20</c:v>
                </c:pt>
                <c:pt idx="17">
                  <c:v>12</c:v>
                </c:pt>
                <c:pt idx="18">
                  <c:v>5</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7541304"/>
        <c:axId val="457542088"/>
      </c:barChart>
      <c:catAx>
        <c:axId val="4575401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535032"/>
        <c:crosses val="autoZero"/>
        <c:auto val="1"/>
        <c:lblAlgn val="ctr"/>
        <c:lblOffset val="100"/>
        <c:noMultiLvlLbl val="0"/>
      </c:catAx>
      <c:valAx>
        <c:axId val="457535032"/>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540128"/>
        <c:crosses val="autoZero"/>
        <c:crossBetween val="between"/>
        <c:majorUnit val="25"/>
      </c:valAx>
      <c:valAx>
        <c:axId val="457542088"/>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541304"/>
        <c:crosses val="max"/>
        <c:crossBetween val="between"/>
        <c:majorUnit val="25"/>
      </c:valAx>
      <c:catAx>
        <c:axId val="457541304"/>
        <c:scaling>
          <c:orientation val="minMax"/>
        </c:scaling>
        <c:delete val="1"/>
        <c:axPos val="l"/>
        <c:numFmt formatCode="General" sourceLinked="1"/>
        <c:majorTickMark val="out"/>
        <c:minorTickMark val="none"/>
        <c:tickLblPos val="nextTo"/>
        <c:crossAx val="45754208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5"/>
              <c:layout>
                <c:manualLayout>
                  <c:x val="-2.1116347934359236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AEB-458F-8023-0BDD02F9AA36}"/>
                </c:ext>
                <c:ext xmlns:c15="http://schemas.microsoft.com/office/drawing/2012/chart" uri="{CE6537A1-D6FC-4f65-9D91-7224C49458BB}"/>
              </c:extLst>
            </c:dLbl>
            <c:dLbl>
              <c:idx val="9"/>
              <c:layout>
                <c:manualLayout>
                  <c:x val="2.112133644084030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AEB-458F-8023-0BDD02F9AA36}"/>
                </c:ext>
                <c:ext xmlns:c15="http://schemas.microsoft.com/office/drawing/2012/chart" uri="{CE6537A1-D6FC-4f65-9D91-7224C49458BB}"/>
              </c:extLst>
            </c:dLbl>
            <c:dLbl>
              <c:idx val="19"/>
              <c:layout>
                <c:manualLayout>
                  <c:x val="-3.5900452025200605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0AEB-458F-8023-0BDD02F9AA36}"/>
                </c:ext>
                <c:ext xmlns:c15="http://schemas.microsoft.com/office/drawing/2012/chart" uri="{CE6537A1-D6FC-4f65-9D91-7224C49458BB}"/>
              </c:extLst>
            </c:dLbl>
            <c:dLbl>
              <c:idx val="20"/>
              <c:layout>
                <c:manualLayout>
                  <c:x val="-3.590061830874997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0AEB-458F-8023-0BDD02F9AA3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5</c:v>
                </c:pt>
                <c:pt idx="1">
                  <c:v>7</c:v>
                </c:pt>
                <c:pt idx="2">
                  <c:v>11</c:v>
                </c:pt>
                <c:pt idx="3">
                  <c:v>6</c:v>
                </c:pt>
                <c:pt idx="4">
                  <c:v>4</c:v>
                </c:pt>
                <c:pt idx="5">
                  <c:v>5</c:v>
                </c:pt>
                <c:pt idx="6">
                  <c:v>5</c:v>
                </c:pt>
                <c:pt idx="7">
                  <c:v>10</c:v>
                </c:pt>
                <c:pt idx="8">
                  <c:v>9</c:v>
                </c:pt>
                <c:pt idx="9">
                  <c:v>16</c:v>
                </c:pt>
                <c:pt idx="10">
                  <c:v>18</c:v>
                </c:pt>
                <c:pt idx="11">
                  <c:v>20</c:v>
                </c:pt>
                <c:pt idx="12">
                  <c:v>25</c:v>
                </c:pt>
                <c:pt idx="13">
                  <c:v>35</c:v>
                </c:pt>
                <c:pt idx="14">
                  <c:v>50</c:v>
                </c:pt>
                <c:pt idx="15">
                  <c:v>45</c:v>
                </c:pt>
                <c:pt idx="16">
                  <c:v>37</c:v>
                </c:pt>
                <c:pt idx="17">
                  <c:v>18</c:v>
                </c:pt>
                <c:pt idx="18">
                  <c:v>10</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7540520"/>
        <c:axId val="457542480"/>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8</c:v>
                </c:pt>
                <c:pt idx="1">
                  <c:v>9</c:v>
                </c:pt>
                <c:pt idx="2">
                  <c:v>13</c:v>
                </c:pt>
                <c:pt idx="3">
                  <c:v>8</c:v>
                </c:pt>
                <c:pt idx="4">
                  <c:v>4</c:v>
                </c:pt>
                <c:pt idx="5">
                  <c:v>9</c:v>
                </c:pt>
                <c:pt idx="6">
                  <c:v>8</c:v>
                </c:pt>
                <c:pt idx="7">
                  <c:v>10</c:v>
                </c:pt>
                <c:pt idx="8">
                  <c:v>10</c:v>
                </c:pt>
                <c:pt idx="9">
                  <c:v>17</c:v>
                </c:pt>
                <c:pt idx="10">
                  <c:v>18</c:v>
                </c:pt>
                <c:pt idx="11">
                  <c:v>20</c:v>
                </c:pt>
                <c:pt idx="12">
                  <c:v>25</c:v>
                </c:pt>
                <c:pt idx="13">
                  <c:v>35</c:v>
                </c:pt>
                <c:pt idx="14">
                  <c:v>50</c:v>
                </c:pt>
                <c:pt idx="15">
                  <c:v>45</c:v>
                </c:pt>
                <c:pt idx="16">
                  <c:v>37</c:v>
                </c:pt>
                <c:pt idx="17">
                  <c:v>18</c:v>
                </c:pt>
                <c:pt idx="18">
                  <c:v>10</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7536600"/>
        <c:axId val="457536208"/>
      </c:barChart>
      <c:catAx>
        <c:axId val="45754052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542480"/>
        <c:crosses val="autoZero"/>
        <c:auto val="1"/>
        <c:lblAlgn val="ctr"/>
        <c:lblOffset val="100"/>
        <c:noMultiLvlLbl val="0"/>
      </c:catAx>
      <c:valAx>
        <c:axId val="457542480"/>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540520"/>
        <c:crosses val="autoZero"/>
        <c:crossBetween val="between"/>
        <c:majorUnit val="50"/>
      </c:valAx>
      <c:valAx>
        <c:axId val="457536208"/>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536600"/>
        <c:crosses val="max"/>
        <c:crossBetween val="between"/>
        <c:majorUnit val="50"/>
      </c:valAx>
      <c:catAx>
        <c:axId val="457536600"/>
        <c:scaling>
          <c:orientation val="minMax"/>
        </c:scaling>
        <c:delete val="1"/>
        <c:axPos val="l"/>
        <c:numFmt formatCode="General" sourceLinked="1"/>
        <c:majorTickMark val="out"/>
        <c:minorTickMark val="none"/>
        <c:tickLblPos val="nextTo"/>
        <c:crossAx val="457536208"/>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0"/>
              <c:layout>
                <c:manualLayout>
                  <c:x val="2.1106564970945862E-3"/>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F70-45BD-A927-810B75F594AD}"/>
                </c:ext>
                <c:ext xmlns:c15="http://schemas.microsoft.com/office/drawing/2012/chart" uri="{CE6537A1-D6FC-4f65-9D91-7224C49458BB}"/>
              </c:extLst>
            </c:dLbl>
            <c:dLbl>
              <c:idx val="1"/>
              <c:layout>
                <c:manualLayout>
                  <c:x val="1.6618033990194364E-7"/>
                  <c:y val="-3.215130454550975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F70-45BD-A927-810B75F594AD}"/>
                </c:ext>
                <c:ext xmlns:c15="http://schemas.microsoft.com/office/drawing/2012/chart" uri="{CE6537A1-D6FC-4f65-9D91-7224C49458BB}"/>
              </c:extLst>
            </c:dLbl>
            <c:dLbl>
              <c:idx val="2"/>
              <c:layout>
                <c:manualLayout>
                  <c:x val="1.6618033990194364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1F70-45BD-A927-810B75F594AD}"/>
                </c:ext>
                <c:ext xmlns:c15="http://schemas.microsoft.com/office/drawing/2012/chart" uri="{CE6537A1-D6FC-4f65-9D91-7224C49458BB}"/>
              </c:extLst>
            </c:dLbl>
            <c:dLbl>
              <c:idx val="3"/>
              <c:layout>
                <c:manualLayout>
                  <c:x val="2.110656497094586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1F70-45BD-A927-810B75F594AD}"/>
                </c:ext>
                <c:ext xmlns:c15="http://schemas.microsoft.com/office/drawing/2012/chart" uri="{CE6537A1-D6FC-4f65-9D91-7224C49458BB}"/>
              </c:extLst>
            </c:dLbl>
            <c:dLbl>
              <c:idx val="4"/>
              <c:layout>
                <c:manualLayout>
                  <c:x val="1.6618033990194364E-7"/>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1F70-45BD-A927-810B75F594AD}"/>
                </c:ext>
                <c:ext xmlns:c15="http://schemas.microsoft.com/office/drawing/2012/chart" uri="{CE6537A1-D6FC-4f65-9D91-7224C49458BB}"/>
              </c:extLst>
            </c:dLbl>
            <c:dLbl>
              <c:idx val="11"/>
              <c:layout>
                <c:manualLayout>
                  <c:x val="1.6618033990194364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1F70-45BD-A927-810B75F594AD}"/>
                </c:ext>
                <c:ext xmlns:c15="http://schemas.microsoft.com/office/drawing/2012/chart" uri="{CE6537A1-D6FC-4f65-9D91-7224C49458BB}"/>
              </c:extLst>
            </c:dLbl>
            <c:dLbl>
              <c:idx val="19"/>
              <c:layout>
                <c:manualLayout>
                  <c:x val="-3.376767888773504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1F70-45BD-A927-810B75F594AD}"/>
                </c:ext>
                <c:ext xmlns:c15="http://schemas.microsoft.com/office/drawing/2012/chart" uri="{CE6537A1-D6FC-4f65-9D91-7224C49458BB}"/>
              </c:extLst>
            </c:dLbl>
            <c:dLbl>
              <c:idx val="20"/>
              <c:layout>
                <c:manualLayout>
                  <c:x val="-3.376784506807494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1F70-45BD-A927-810B75F594A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3</c:v>
                </c:pt>
                <c:pt idx="1">
                  <c:v>4</c:v>
                </c:pt>
                <c:pt idx="2">
                  <c:v>5</c:v>
                </c:pt>
                <c:pt idx="3">
                  <c:v>4</c:v>
                </c:pt>
                <c:pt idx="4">
                  <c:v>3</c:v>
                </c:pt>
                <c:pt idx="5">
                  <c:v>3</c:v>
                </c:pt>
                <c:pt idx="6">
                  <c:v>3</c:v>
                </c:pt>
                <c:pt idx="7">
                  <c:v>4</c:v>
                </c:pt>
                <c:pt idx="8">
                  <c:v>3</c:v>
                </c:pt>
                <c:pt idx="9">
                  <c:v>10</c:v>
                </c:pt>
                <c:pt idx="10">
                  <c:v>9</c:v>
                </c:pt>
                <c:pt idx="11">
                  <c:v>16</c:v>
                </c:pt>
                <c:pt idx="12">
                  <c:v>19</c:v>
                </c:pt>
                <c:pt idx="13">
                  <c:v>20</c:v>
                </c:pt>
                <c:pt idx="14">
                  <c:v>22</c:v>
                </c:pt>
                <c:pt idx="15">
                  <c:v>29</c:v>
                </c:pt>
                <c:pt idx="16">
                  <c:v>37</c:v>
                </c:pt>
                <c:pt idx="17">
                  <c:v>25</c:v>
                </c:pt>
                <c:pt idx="18">
                  <c:v>11</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7537776"/>
        <c:axId val="457538560"/>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7</c:v>
                </c:pt>
                <c:pt idx="1">
                  <c:v>8</c:v>
                </c:pt>
                <c:pt idx="2">
                  <c:v>11</c:v>
                </c:pt>
                <c:pt idx="3">
                  <c:v>7</c:v>
                </c:pt>
                <c:pt idx="4">
                  <c:v>3</c:v>
                </c:pt>
                <c:pt idx="5">
                  <c:v>7</c:v>
                </c:pt>
                <c:pt idx="6">
                  <c:v>6</c:v>
                </c:pt>
                <c:pt idx="7">
                  <c:v>6</c:v>
                </c:pt>
                <c:pt idx="8">
                  <c:v>7</c:v>
                </c:pt>
                <c:pt idx="9">
                  <c:v>11</c:v>
                </c:pt>
                <c:pt idx="10">
                  <c:v>10</c:v>
                </c:pt>
                <c:pt idx="11">
                  <c:v>17</c:v>
                </c:pt>
                <c:pt idx="12">
                  <c:v>19</c:v>
                </c:pt>
                <c:pt idx="13">
                  <c:v>20</c:v>
                </c:pt>
                <c:pt idx="14">
                  <c:v>22</c:v>
                </c:pt>
                <c:pt idx="15">
                  <c:v>29</c:v>
                </c:pt>
                <c:pt idx="16">
                  <c:v>37</c:v>
                </c:pt>
                <c:pt idx="17">
                  <c:v>25</c:v>
                </c:pt>
                <c:pt idx="18">
                  <c:v>11</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8266872"/>
        <c:axId val="457538952"/>
      </c:barChart>
      <c:catAx>
        <c:axId val="45753777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538560"/>
        <c:crosses val="autoZero"/>
        <c:auto val="1"/>
        <c:lblAlgn val="ctr"/>
        <c:lblOffset val="100"/>
        <c:noMultiLvlLbl val="0"/>
      </c:catAx>
      <c:valAx>
        <c:axId val="457538560"/>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537776"/>
        <c:crosses val="autoZero"/>
        <c:crossBetween val="between"/>
        <c:majorUnit val="50"/>
      </c:valAx>
      <c:valAx>
        <c:axId val="457538952"/>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266872"/>
        <c:crosses val="max"/>
        <c:crossBetween val="between"/>
        <c:majorUnit val="50"/>
      </c:valAx>
      <c:catAx>
        <c:axId val="458266872"/>
        <c:scaling>
          <c:orientation val="minMax"/>
        </c:scaling>
        <c:delete val="1"/>
        <c:axPos val="l"/>
        <c:numFmt formatCode="General" sourceLinked="1"/>
        <c:majorTickMark val="out"/>
        <c:minorTickMark val="none"/>
        <c:tickLblPos val="nextTo"/>
        <c:crossAx val="457538952"/>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大字岩戸・上岩戸</c:v>
                </c:pt>
              </c:strCache>
            </c:strRef>
          </c:cat>
          <c:val>
            <c:numRef>
              <c:f>管理者用地域特徴シート!$H$3:$H$5</c:f>
              <c:numCache>
                <c:formatCode>0.0%</c:formatCode>
                <c:ptCount val="3"/>
                <c:pt idx="0">
                  <c:v>0.46108733927332846</c:v>
                </c:pt>
                <c:pt idx="1">
                  <c:v>0.65919680497004662</c:v>
                </c:pt>
                <c:pt idx="2">
                  <c:v>0.82269639374306547</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8267264"/>
        <c:axId val="458268832"/>
      </c:barChart>
      <c:catAx>
        <c:axId val="45826726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268832"/>
        <c:crosses val="autoZero"/>
        <c:auto val="1"/>
        <c:lblAlgn val="ctr"/>
        <c:lblOffset val="100"/>
        <c:noMultiLvlLbl val="0"/>
      </c:catAx>
      <c:valAx>
        <c:axId val="45826883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26726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大字岩戸・上岩戸</c:v>
                </c:pt>
              </c:strCache>
            </c:strRef>
          </c:cat>
          <c:val>
            <c:numRef>
              <c:f>管理者用地域特徴シート!$J$3:$J$5</c:f>
              <c:numCache>
                <c:formatCode>0.0%</c:formatCode>
                <c:ptCount val="3"/>
                <c:pt idx="0">
                  <c:v>0.15075281438403673</c:v>
                </c:pt>
                <c:pt idx="1">
                  <c:v>0.16529842467273131</c:v>
                </c:pt>
                <c:pt idx="2">
                  <c:v>0.14546042739276133</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8264912"/>
        <c:axId val="458268440"/>
      </c:barChart>
      <c:catAx>
        <c:axId val="45826491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268440"/>
        <c:crosses val="autoZero"/>
        <c:auto val="1"/>
        <c:lblAlgn val="ctr"/>
        <c:lblOffset val="100"/>
        <c:noMultiLvlLbl val="0"/>
      </c:catAx>
      <c:valAx>
        <c:axId val="45826844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2649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大字岩戸・上岩戸</c:v>
                </c:pt>
              </c:strCache>
            </c:strRef>
          </c:cat>
          <c:val>
            <c:numRef>
              <c:f>管理者用地域特徴シート!$P$3:$P$5</c:f>
              <c:numCache>
                <c:formatCode>0.0%</c:formatCode>
                <c:ptCount val="3"/>
                <c:pt idx="0">
                  <c:v>0.34758352842621743</c:v>
                </c:pt>
                <c:pt idx="1">
                  <c:v>0.27383611063391172</c:v>
                </c:pt>
                <c:pt idx="2">
                  <c:v>0.10576498514932775</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8267656"/>
        <c:axId val="458264128"/>
      </c:barChart>
      <c:catAx>
        <c:axId val="45826765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264128"/>
        <c:crosses val="autoZero"/>
        <c:auto val="1"/>
        <c:lblAlgn val="ctr"/>
        <c:lblOffset val="100"/>
        <c:noMultiLvlLbl val="0"/>
      </c:catAx>
      <c:valAx>
        <c:axId val="45826412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26765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大字岩戸・上岩戸</c:v>
                </c:pt>
              </c:strCache>
            </c:strRef>
          </c:cat>
          <c:val>
            <c:numRef>
              <c:f>管理者用地域特徴シート!$AO$3:$AO$5</c:f>
              <c:numCache>
                <c:formatCode>0.0%</c:formatCode>
                <c:ptCount val="3"/>
                <c:pt idx="0">
                  <c:v>0.5259093009439566</c:v>
                </c:pt>
                <c:pt idx="1">
                  <c:v>0.51949317738791423</c:v>
                </c:pt>
                <c:pt idx="2">
                  <c:v>0.54696177084867159</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8264520"/>
        <c:axId val="458270008"/>
      </c:barChart>
      <c:catAx>
        <c:axId val="45826452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270008"/>
        <c:crosses val="autoZero"/>
        <c:auto val="1"/>
        <c:lblAlgn val="ctr"/>
        <c:lblOffset val="100"/>
        <c:noMultiLvlLbl val="0"/>
      </c:catAx>
      <c:valAx>
        <c:axId val="45827000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26452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大字岩戸・上岩戸</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0.4297800553412825</c:v>
                </c:pt>
                <c:pt idx="1">
                  <c:v>0</c:v>
                </c:pt>
                <c:pt idx="2">
                  <c:v>0</c:v>
                </c:pt>
                <c:pt idx="3">
                  <c:v>0.11311158870593435</c:v>
                </c:pt>
                <c:pt idx="4">
                  <c:v>6.4117116771628804E-2</c:v>
                </c:pt>
                <c:pt idx="5">
                  <c:v>1.958558611397947E-3</c:v>
                </c:pt>
                <c:pt idx="6">
                  <c:v>0</c:v>
                </c:pt>
                <c:pt idx="7">
                  <c:v>3.2836363390272495E-2</c:v>
                </c:pt>
                <c:pt idx="8">
                  <c:v>7.863292425637794E-2</c:v>
                </c:pt>
                <c:pt idx="9">
                  <c:v>2.4481982642474338E-3</c:v>
                </c:pt>
                <c:pt idx="10">
                  <c:v>6.9416461902605427E-3</c:v>
                </c:pt>
                <c:pt idx="11">
                  <c:v>9.8794841073574641E-3</c:v>
                </c:pt>
                <c:pt idx="12">
                  <c:v>3.0531040577403631E-2</c:v>
                </c:pt>
                <c:pt idx="13">
                  <c:v>1.4286240983002843E-2</c:v>
                </c:pt>
                <c:pt idx="14">
                  <c:v>1.4286240983002843E-2</c:v>
                </c:pt>
                <c:pt idx="15">
                  <c:v>0.10377792865243722</c:v>
                </c:pt>
                <c:pt idx="16">
                  <c:v>3.6090458859483449E-2</c:v>
                </c:pt>
                <c:pt idx="17">
                  <c:v>3.960462747979758E-2</c:v>
                </c:pt>
                <c:pt idx="18">
                  <c:v>2.1227887173263387E-2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高千穂町平均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0.23955935547517268</c:v>
                </c:pt>
                <c:pt idx="1">
                  <c:v>8.2209799408089446E-4</c:v>
                </c:pt>
                <c:pt idx="2">
                  <c:v>1.6441959881617887E-4</c:v>
                </c:pt>
                <c:pt idx="3">
                  <c:v>0.10851693521867807</c:v>
                </c:pt>
                <c:pt idx="4">
                  <c:v>5.080565603419928E-2</c:v>
                </c:pt>
                <c:pt idx="5">
                  <c:v>2.7951331798750411E-3</c:v>
                </c:pt>
                <c:pt idx="6">
                  <c:v>9.8651759289707314E-4</c:v>
                </c:pt>
                <c:pt idx="7">
                  <c:v>2.7951331798750416E-2</c:v>
                </c:pt>
                <c:pt idx="8">
                  <c:v>0.11180532719500165</c:v>
                </c:pt>
                <c:pt idx="9">
                  <c:v>9.5363367313383747E-3</c:v>
                </c:pt>
                <c:pt idx="10">
                  <c:v>1.0194015126603092E-2</c:v>
                </c:pt>
                <c:pt idx="11">
                  <c:v>1.7592897073331139E-2</c:v>
                </c:pt>
                <c:pt idx="12">
                  <c:v>5.9848733969089116E-2</c:v>
                </c:pt>
                <c:pt idx="13">
                  <c:v>2.2196645840184149E-2</c:v>
                </c:pt>
                <c:pt idx="14">
                  <c:v>4.3900032883919762E-2</c:v>
                </c:pt>
                <c:pt idx="15">
                  <c:v>0.15159487010851691</c:v>
                </c:pt>
                <c:pt idx="16">
                  <c:v>3.4856954949029927E-2</c:v>
                </c:pt>
                <c:pt idx="17">
                  <c:v>4.9819138441302195E-2</c:v>
                </c:pt>
                <c:pt idx="18">
                  <c:v>5.6067083196317001E-2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8270792"/>
        <c:axId val="458265304"/>
      </c:barChart>
      <c:catAx>
        <c:axId val="4582707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265304"/>
        <c:crosses val="autoZero"/>
        <c:auto val="1"/>
        <c:lblAlgn val="ctr"/>
        <c:lblOffset val="100"/>
        <c:noMultiLvlLbl val="0"/>
      </c:catAx>
      <c:valAx>
        <c:axId val="458265304"/>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270792"/>
        <c:crosses val="autoZero"/>
        <c:crossBetween val="between"/>
      </c:valAx>
      <c:spPr>
        <a:noFill/>
        <a:ln>
          <a:noFill/>
        </a:ln>
        <a:effectLst/>
      </c:spPr>
    </c:plotArea>
    <c:legend>
      <c:legendPos val="b"/>
      <c:layout>
        <c:manualLayout>
          <c:xMode val="edge"/>
          <c:yMode val="edge"/>
          <c:x val="0.65097586041181477"/>
          <c:y val="8.682673405881466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大字岩戸・上岩戸</c:v>
                </c:pt>
              </c:strCache>
            </c:strRef>
          </c:cat>
          <c:val>
            <c:numRef>
              <c:f>管理者用地域特徴シート!$CK$3:$CK$5</c:f>
              <c:numCache>
                <c:formatCode>0.0%</c:formatCode>
                <c:ptCount val="3"/>
                <c:pt idx="0">
                  <c:v>0.82747216160708559</c:v>
                </c:pt>
                <c:pt idx="1">
                  <c:v>0.89164748438013841</c:v>
                </c:pt>
                <c:pt idx="2">
                  <c:v>0.91140090058589673</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8266088"/>
        <c:axId val="458265696"/>
      </c:barChart>
      <c:catAx>
        <c:axId val="4582660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265696"/>
        <c:crosses val="autoZero"/>
        <c:auto val="1"/>
        <c:lblAlgn val="ctr"/>
        <c:lblOffset val="100"/>
        <c:noMultiLvlLbl val="0"/>
      </c:catAx>
      <c:valAx>
        <c:axId val="458265696"/>
        <c:scaling>
          <c:orientation val="minMax"/>
          <c:max val="1"/>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2660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0.36</c:v>
                </c:pt>
                <c:pt idx="1">
                  <c:v>0.42</c:v>
                </c:pt>
                <c:pt idx="2">
                  <c:v>0.48</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88680320"/>
        <c:axId val="388678360"/>
      </c:barChart>
      <c:catAx>
        <c:axId val="3886803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678360"/>
        <c:crosses val="autoZero"/>
        <c:auto val="1"/>
        <c:lblAlgn val="ctr"/>
        <c:lblOffset val="100"/>
        <c:noMultiLvlLbl val="0"/>
      </c:catAx>
      <c:valAx>
        <c:axId val="3886783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68032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0.22</c:v>
                </c:pt>
                <c:pt idx="1">
                  <c:v>0.25</c:v>
                </c:pt>
                <c:pt idx="2">
                  <c:v>0.25</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88678752"/>
        <c:axId val="388677968"/>
      </c:barChart>
      <c:catAx>
        <c:axId val="3886787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677968"/>
        <c:crosses val="autoZero"/>
        <c:auto val="1"/>
        <c:lblAlgn val="ctr"/>
        <c:lblOffset val="100"/>
        <c:noMultiLvlLbl val="0"/>
      </c:catAx>
      <c:valAx>
        <c:axId val="3886779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67875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0"/>
              <c:layout>
                <c:manualLayout>
                  <c:x val="2.0607684113943406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159-4B0C-90D5-206EF60F1C96}"/>
                </c:ext>
                <c:ext xmlns:c15="http://schemas.microsoft.com/office/drawing/2012/chart" uri="{CE6537A1-D6FC-4f65-9D91-7224C49458BB}"/>
              </c:extLst>
            </c:dLbl>
            <c:dLbl>
              <c:idx val="18"/>
              <c:layout>
                <c:manualLayout>
                  <c:x val="-4.1210500654283019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159-4B0C-90D5-206EF60F1C96}"/>
                </c:ext>
                <c:ext xmlns:c15="http://schemas.microsoft.com/office/drawing/2012/chart" uri="{CE6537A1-D6FC-4f65-9D91-7224C49458BB}"/>
              </c:extLst>
            </c:dLbl>
            <c:dLbl>
              <c:idx val="19"/>
              <c:layout>
                <c:manualLayout>
                  <c:x val="-3.5029980197088056E-2"/>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E159-4B0C-90D5-206EF60F1C96}"/>
                </c:ext>
                <c:ext xmlns:c15="http://schemas.microsoft.com/office/drawing/2012/chart" uri="{CE6537A1-D6FC-4f65-9D91-7224C49458BB}"/>
              </c:extLst>
            </c:dLbl>
            <c:dLbl>
              <c:idx val="20"/>
              <c:layout>
                <c:manualLayout>
                  <c:x val="-3.4932628725012106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E159-4B0C-90D5-206EF60F1C9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8</c:v>
                </c:pt>
                <c:pt idx="1">
                  <c:v>10</c:v>
                </c:pt>
                <c:pt idx="2">
                  <c:v>14</c:v>
                </c:pt>
                <c:pt idx="3">
                  <c:v>15</c:v>
                </c:pt>
                <c:pt idx="4">
                  <c:v>12</c:v>
                </c:pt>
                <c:pt idx="5">
                  <c:v>11</c:v>
                </c:pt>
                <c:pt idx="6">
                  <c:v>10</c:v>
                </c:pt>
                <c:pt idx="7">
                  <c:v>10</c:v>
                </c:pt>
                <c:pt idx="8">
                  <c:v>11</c:v>
                </c:pt>
                <c:pt idx="9">
                  <c:v>17</c:v>
                </c:pt>
                <c:pt idx="10">
                  <c:v>26</c:v>
                </c:pt>
                <c:pt idx="11">
                  <c:v>31</c:v>
                </c:pt>
                <c:pt idx="12">
                  <c:v>32</c:v>
                </c:pt>
                <c:pt idx="13">
                  <c:v>19</c:v>
                </c:pt>
                <c:pt idx="14">
                  <c:v>23</c:v>
                </c:pt>
                <c:pt idx="15">
                  <c:v>23</c:v>
                </c:pt>
                <c:pt idx="16">
                  <c:v>28</c:v>
                </c:pt>
                <c:pt idx="17">
                  <c:v>4</c:v>
                </c:pt>
                <c:pt idx="18">
                  <c:v>2</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88673264"/>
        <c:axId val="38867757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5</c:v>
                </c:pt>
                <c:pt idx="1">
                  <c:v>9</c:v>
                </c:pt>
                <c:pt idx="2">
                  <c:v>10</c:v>
                </c:pt>
                <c:pt idx="3">
                  <c:v>11</c:v>
                </c:pt>
                <c:pt idx="4">
                  <c:v>4</c:v>
                </c:pt>
                <c:pt idx="5">
                  <c:v>13</c:v>
                </c:pt>
                <c:pt idx="6">
                  <c:v>9</c:v>
                </c:pt>
                <c:pt idx="7">
                  <c:v>11</c:v>
                </c:pt>
                <c:pt idx="8">
                  <c:v>12</c:v>
                </c:pt>
                <c:pt idx="9">
                  <c:v>21</c:v>
                </c:pt>
                <c:pt idx="10">
                  <c:v>30</c:v>
                </c:pt>
                <c:pt idx="11">
                  <c:v>26</c:v>
                </c:pt>
                <c:pt idx="12">
                  <c:v>24</c:v>
                </c:pt>
                <c:pt idx="13">
                  <c:v>18</c:v>
                </c:pt>
                <c:pt idx="14">
                  <c:v>27</c:v>
                </c:pt>
                <c:pt idx="15">
                  <c:v>29</c:v>
                </c:pt>
                <c:pt idx="16">
                  <c:v>29</c:v>
                </c:pt>
                <c:pt idx="17">
                  <c:v>18</c:v>
                </c:pt>
                <c:pt idx="18">
                  <c:v>4</c:v>
                </c:pt>
                <c:pt idx="19">
                  <c:v>1</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88677184"/>
        <c:axId val="388676400"/>
      </c:barChart>
      <c:catAx>
        <c:axId val="38867326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677576"/>
        <c:crosses val="autoZero"/>
        <c:auto val="1"/>
        <c:lblAlgn val="ctr"/>
        <c:lblOffset val="100"/>
        <c:noMultiLvlLbl val="0"/>
      </c:catAx>
      <c:valAx>
        <c:axId val="388677576"/>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673264"/>
        <c:crosses val="autoZero"/>
        <c:crossBetween val="between"/>
        <c:majorUnit val="25"/>
      </c:valAx>
      <c:valAx>
        <c:axId val="388676400"/>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677184"/>
        <c:crosses val="max"/>
        <c:crossBetween val="between"/>
        <c:majorUnit val="25"/>
      </c:valAx>
      <c:catAx>
        <c:axId val="388677184"/>
        <c:scaling>
          <c:orientation val="minMax"/>
        </c:scaling>
        <c:delete val="1"/>
        <c:axPos val="l"/>
        <c:numFmt formatCode="General" sourceLinked="1"/>
        <c:majorTickMark val="out"/>
        <c:minorTickMark val="none"/>
        <c:tickLblPos val="nextTo"/>
        <c:crossAx val="38867640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306</c:v>
                </c:pt>
                <c:pt idx="1">
                  <c:v>271</c:v>
                </c:pt>
                <c:pt idx="2">
                  <c:v>239</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311</c:v>
                </c:pt>
                <c:pt idx="1">
                  <c:v>268</c:v>
                </c:pt>
                <c:pt idx="2">
                  <c:v>235</c:v>
                </c:pt>
              </c:numCache>
            </c:numRef>
          </c:val>
          <c:extLst xmlns:c16r2="http://schemas.microsoft.com/office/drawing/2015/06/chart">
            <c:ext xmlns:c16="http://schemas.microsoft.com/office/drawing/2014/chart" uri="{C3380CC4-5D6E-409C-BE32-E72D297353CC}">
              <c16:uniqueId val="{00000000-2FB6-4346-B0DC-1C6BC67BE399}"/>
            </c:ext>
          </c:extLst>
        </c:ser>
        <c:dLbls>
          <c:showLegendKey val="0"/>
          <c:showVal val="0"/>
          <c:showCatName val="0"/>
          <c:showSerName val="0"/>
          <c:showPercent val="0"/>
          <c:showBubbleSize val="0"/>
        </c:dLbls>
        <c:gapWidth val="219"/>
        <c:overlap val="100"/>
        <c:axId val="388676008"/>
        <c:axId val="392545400"/>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617</c:v>
                </c:pt>
                <c:pt idx="1">
                  <c:v>539</c:v>
                </c:pt>
                <c:pt idx="2">
                  <c:v>474</c:v>
                </c:pt>
              </c:numCache>
            </c:numRef>
          </c:val>
          <c:smooth val="0"/>
          <c:extLst xmlns:c16r2="http://schemas.microsoft.com/office/drawing/2015/06/chart">
            <c:ext xmlns:c16="http://schemas.microsoft.com/office/drawing/2014/chart" uri="{C3380CC4-5D6E-409C-BE32-E72D297353CC}">
              <c16:uniqueId val="{00000001-2FB6-4346-B0DC-1C6BC67BE399}"/>
            </c:ext>
          </c:extLst>
        </c:ser>
        <c:dLbls>
          <c:showLegendKey val="0"/>
          <c:showVal val="0"/>
          <c:showCatName val="0"/>
          <c:showSerName val="0"/>
          <c:showPercent val="0"/>
          <c:showBubbleSize val="0"/>
        </c:dLbls>
        <c:marker val="1"/>
        <c:smooth val="0"/>
        <c:axId val="388676008"/>
        <c:axId val="392545400"/>
      </c:lineChart>
      <c:catAx>
        <c:axId val="3886760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545400"/>
        <c:crosses val="autoZero"/>
        <c:auto val="1"/>
        <c:lblAlgn val="ctr"/>
        <c:lblOffset val="100"/>
        <c:noMultiLvlLbl val="0"/>
      </c:catAx>
      <c:valAx>
        <c:axId val="3925454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676008"/>
        <c:crosses val="autoZero"/>
        <c:crossBetween val="between"/>
      </c:valAx>
      <c:spPr>
        <a:noFill/>
        <a:ln>
          <a:noFill/>
        </a:ln>
        <a:effectLst/>
      </c:spPr>
    </c:plotArea>
    <c:legend>
      <c:legendPos val="t"/>
      <c:legendEntry>
        <c:idx val="2"/>
        <c:delete val="1"/>
      </c:legendEntry>
      <c:layout>
        <c:manualLayout>
          <c:xMode val="edge"/>
          <c:yMode val="edge"/>
          <c:x val="0.70851120857035632"/>
          <c:y val="6.0772596013155725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0"/>
              <c:layout>
                <c:manualLayout>
                  <c:x val="-4.2129710875964642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C78-459E-8A26-A8F8C29DB2FD}"/>
                </c:ext>
                <c:ext xmlns:c15="http://schemas.microsoft.com/office/drawing/2012/chart" uri="{CE6537A1-D6FC-4f65-9D91-7224C49458BB}"/>
              </c:extLst>
            </c:dLbl>
            <c:dLbl>
              <c:idx val="3"/>
              <c:layout>
                <c:manualLayout>
                  <c:x val="3.3174306764805113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C78-459E-8A26-A8F8C29DB2FD}"/>
                </c:ext>
                <c:ext xmlns:c15="http://schemas.microsoft.com/office/drawing/2012/chart" uri="{CE6537A1-D6FC-4f65-9D91-7224C49458BB}"/>
              </c:extLst>
            </c:dLbl>
            <c:dLbl>
              <c:idx val="4"/>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6C78-459E-8A26-A8F8C29DB2FD}"/>
                </c:ext>
                <c:ext xmlns:c15="http://schemas.microsoft.com/office/drawing/2012/chart" uri="{CE6537A1-D6FC-4f65-9D91-7224C49458BB}"/>
              </c:extLst>
            </c:dLbl>
            <c:dLbl>
              <c:idx val="18"/>
              <c:layout>
                <c:manualLayout>
                  <c:x val="-4.2129710875964252E-3"/>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6C78-459E-8A26-A8F8C29DB2FD}"/>
                </c:ext>
                <c:ext xmlns:c15="http://schemas.microsoft.com/office/drawing/2012/chart" uri="{CE6537A1-D6FC-4f65-9D91-7224C49458BB}"/>
              </c:extLst>
            </c:dLbl>
            <c:dLbl>
              <c:idx val="19"/>
              <c:layout>
                <c:manualLayout>
                  <c:x val="-2.1060708649636526E-3"/>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6C78-459E-8A26-A8F8C29DB2FD}"/>
                </c:ext>
                <c:ext xmlns:c15="http://schemas.microsoft.com/office/drawing/2012/chart" uri="{CE6537A1-D6FC-4f65-9D91-7224C49458BB}"/>
              </c:extLst>
            </c:dLbl>
            <c:dLbl>
              <c:idx val="20"/>
              <c:layout>
                <c:manualLayout>
                  <c:x val="-3.6947386544700221E-2"/>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6C78-459E-8A26-A8F8C29DB2F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4</c:v>
                </c:pt>
                <c:pt idx="1">
                  <c:v>5</c:v>
                </c:pt>
                <c:pt idx="2">
                  <c:v>9</c:v>
                </c:pt>
                <c:pt idx="3">
                  <c:v>6</c:v>
                </c:pt>
                <c:pt idx="4">
                  <c:v>2</c:v>
                </c:pt>
                <c:pt idx="5">
                  <c:v>8</c:v>
                </c:pt>
                <c:pt idx="6">
                  <c:v>8</c:v>
                </c:pt>
                <c:pt idx="7">
                  <c:v>7</c:v>
                </c:pt>
                <c:pt idx="8">
                  <c:v>10</c:v>
                </c:pt>
                <c:pt idx="9">
                  <c:v>9</c:v>
                </c:pt>
                <c:pt idx="10">
                  <c:v>12</c:v>
                </c:pt>
                <c:pt idx="11">
                  <c:v>16</c:v>
                </c:pt>
                <c:pt idx="12">
                  <c:v>27</c:v>
                </c:pt>
                <c:pt idx="13">
                  <c:v>31</c:v>
                </c:pt>
                <c:pt idx="14">
                  <c:v>28</c:v>
                </c:pt>
                <c:pt idx="15">
                  <c:v>15</c:v>
                </c:pt>
                <c:pt idx="16">
                  <c:v>19</c:v>
                </c:pt>
                <c:pt idx="17">
                  <c:v>11</c:v>
                </c:pt>
                <c:pt idx="18">
                  <c:v>12</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2543832"/>
        <c:axId val="39254618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5</c:v>
                </c:pt>
                <c:pt idx="1">
                  <c:v>5</c:v>
                </c:pt>
                <c:pt idx="2">
                  <c:v>6</c:v>
                </c:pt>
                <c:pt idx="3">
                  <c:v>5</c:v>
                </c:pt>
                <c:pt idx="4">
                  <c:v>4</c:v>
                </c:pt>
                <c:pt idx="5">
                  <c:v>7</c:v>
                </c:pt>
                <c:pt idx="6">
                  <c:v>3</c:v>
                </c:pt>
                <c:pt idx="7">
                  <c:v>10</c:v>
                </c:pt>
                <c:pt idx="8">
                  <c:v>7</c:v>
                </c:pt>
                <c:pt idx="9">
                  <c:v>11</c:v>
                </c:pt>
                <c:pt idx="10">
                  <c:v>13</c:v>
                </c:pt>
                <c:pt idx="11">
                  <c:v>20</c:v>
                </c:pt>
                <c:pt idx="12">
                  <c:v>29</c:v>
                </c:pt>
                <c:pt idx="13">
                  <c:v>24</c:v>
                </c:pt>
                <c:pt idx="14">
                  <c:v>23</c:v>
                </c:pt>
                <c:pt idx="15">
                  <c:v>16</c:v>
                </c:pt>
                <c:pt idx="16">
                  <c:v>18</c:v>
                </c:pt>
                <c:pt idx="17">
                  <c:v>20</c:v>
                </c:pt>
                <c:pt idx="18">
                  <c:v>8</c:v>
                </c:pt>
                <c:pt idx="19">
                  <c:v>1</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2543048"/>
        <c:axId val="392542656"/>
      </c:barChart>
      <c:catAx>
        <c:axId val="39254383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546184"/>
        <c:crosses val="autoZero"/>
        <c:auto val="1"/>
        <c:lblAlgn val="ctr"/>
        <c:lblOffset val="100"/>
        <c:noMultiLvlLbl val="0"/>
      </c:catAx>
      <c:valAx>
        <c:axId val="392546184"/>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543832"/>
        <c:crosses val="autoZero"/>
        <c:crossBetween val="between"/>
        <c:majorUnit val="25"/>
      </c:valAx>
      <c:valAx>
        <c:axId val="392542656"/>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543048"/>
        <c:crosses val="max"/>
        <c:crossBetween val="between"/>
        <c:majorUnit val="25"/>
      </c:valAx>
      <c:catAx>
        <c:axId val="392543048"/>
        <c:scaling>
          <c:orientation val="minMax"/>
        </c:scaling>
        <c:delete val="1"/>
        <c:axPos val="l"/>
        <c:numFmt formatCode="General" sourceLinked="1"/>
        <c:majorTickMark val="out"/>
        <c:minorTickMark val="none"/>
        <c:tickLblPos val="nextTo"/>
        <c:crossAx val="39254265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A181-49B5-862E-FC011D7D01EA}"/>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A181-49B5-862E-FC011D7D01EA}"/>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A181-49B5-862E-FC011D7D01EA}"/>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181-49B5-862E-FC011D7D01EA}"/>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A181-49B5-862E-FC011D7D01EA}"/>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306</c:v>
                </c:pt>
                <c:pt idx="1">
                  <c:v>271</c:v>
                </c:pt>
                <c:pt idx="2">
                  <c:v>239</c:v>
                </c:pt>
                <c:pt idx="3">
                  <c:v>198</c:v>
                </c:pt>
                <c:pt idx="4">
                  <c:v>166</c:v>
                </c:pt>
                <c:pt idx="5">
                  <c:v>136</c:v>
                </c:pt>
                <c:pt idx="6">
                  <c:v>110</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A181-49B5-862E-FC011D7D01EA}"/>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A181-49B5-862E-FC011D7D01EA}"/>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A181-49B5-862E-FC011D7D01E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311</c:v>
                </c:pt>
                <c:pt idx="1">
                  <c:v>268</c:v>
                </c:pt>
                <c:pt idx="2">
                  <c:v>235</c:v>
                </c:pt>
                <c:pt idx="3">
                  <c:v>198</c:v>
                </c:pt>
                <c:pt idx="4">
                  <c:v>170</c:v>
                </c:pt>
                <c:pt idx="5">
                  <c:v>145</c:v>
                </c:pt>
                <c:pt idx="6">
                  <c:v>120</c:v>
                </c:pt>
              </c:numCache>
            </c:numRef>
          </c:val>
          <c:extLst xmlns:c16r2="http://schemas.microsoft.com/office/drawing/2015/06/chart">
            <c:ext xmlns:c16="http://schemas.microsoft.com/office/drawing/2014/chart" uri="{C3380CC4-5D6E-409C-BE32-E72D297353CC}">
              <c16:uniqueId val="{00000010-A181-49B5-862E-FC011D7D01EA}"/>
            </c:ext>
          </c:extLst>
        </c:ser>
        <c:dLbls>
          <c:showLegendKey val="0"/>
          <c:showVal val="0"/>
          <c:showCatName val="0"/>
          <c:showSerName val="0"/>
          <c:showPercent val="0"/>
          <c:showBubbleSize val="0"/>
        </c:dLbls>
        <c:gapWidth val="219"/>
        <c:overlap val="100"/>
        <c:axId val="392540696"/>
        <c:axId val="392541480"/>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617</c:v>
                </c:pt>
                <c:pt idx="1">
                  <c:v>539</c:v>
                </c:pt>
                <c:pt idx="2">
                  <c:v>474</c:v>
                </c:pt>
                <c:pt idx="3">
                  <c:v>396</c:v>
                </c:pt>
                <c:pt idx="4">
                  <c:v>336</c:v>
                </c:pt>
                <c:pt idx="5">
                  <c:v>281</c:v>
                </c:pt>
                <c:pt idx="6">
                  <c:v>230</c:v>
                </c:pt>
              </c:numCache>
            </c:numRef>
          </c:val>
          <c:smooth val="0"/>
          <c:extLst xmlns:c16r2="http://schemas.microsoft.com/office/drawing/2015/06/chart">
            <c:ext xmlns:c16="http://schemas.microsoft.com/office/drawing/2014/chart" uri="{C3380CC4-5D6E-409C-BE32-E72D297353CC}">
              <c16:uniqueId val="{00000011-A181-49B5-862E-FC011D7D01EA}"/>
            </c:ext>
          </c:extLst>
        </c:ser>
        <c:dLbls>
          <c:showLegendKey val="0"/>
          <c:showVal val="0"/>
          <c:showCatName val="0"/>
          <c:showSerName val="0"/>
          <c:showPercent val="0"/>
          <c:showBubbleSize val="0"/>
        </c:dLbls>
        <c:marker val="1"/>
        <c:smooth val="0"/>
        <c:axId val="392540696"/>
        <c:axId val="392541480"/>
      </c:lineChart>
      <c:catAx>
        <c:axId val="3925406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541480"/>
        <c:crosses val="autoZero"/>
        <c:auto val="1"/>
        <c:lblAlgn val="ctr"/>
        <c:lblOffset val="100"/>
        <c:noMultiLvlLbl val="0"/>
      </c:catAx>
      <c:valAx>
        <c:axId val="39254148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540696"/>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25</c:v>
                </c:pt>
                <c:pt idx="1">
                  <c:v>20</c:v>
                </c:pt>
                <c:pt idx="2">
                  <c:v>15</c:v>
                </c:pt>
                <c:pt idx="3">
                  <c:v>12</c:v>
                </c:pt>
                <c:pt idx="4">
                  <c:v>10</c:v>
                </c:pt>
                <c:pt idx="5">
                  <c:v>7</c:v>
                </c:pt>
                <c:pt idx="6">
                  <c:v>5</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2541088"/>
        <c:axId val="392539912"/>
      </c:barChart>
      <c:catAx>
        <c:axId val="3925410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539912"/>
        <c:crosses val="autoZero"/>
        <c:auto val="1"/>
        <c:lblAlgn val="ctr"/>
        <c:lblOffset val="100"/>
        <c:noMultiLvlLbl val="0"/>
      </c:catAx>
      <c:valAx>
        <c:axId val="3925399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5410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364583</xdr:colOff>
      <xdr:row>49</xdr:row>
      <xdr:rowOff>145285</xdr:rowOff>
    </xdr:from>
    <xdr:to>
      <xdr:col>1</xdr:col>
      <xdr:colOff>395985</xdr:colOff>
      <xdr:row>50</xdr:row>
      <xdr:rowOff>171084</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364583" y="12807932"/>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210436</xdr:colOff>
      <xdr:row>98</xdr:row>
      <xdr:rowOff>22151</xdr:rowOff>
    </xdr:from>
    <xdr:to>
      <xdr:col>1</xdr:col>
      <xdr:colOff>241838</xdr:colOff>
      <xdr:row>99</xdr:row>
      <xdr:rowOff>47950</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210436" y="26747529"/>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0.03613</cdr:x>
      <cdr:y>0.07514</cdr:y>
    </cdr:from>
    <cdr:to>
      <cdr:x>0.17959</cdr:x>
      <cdr:y>0.17304</cdr:y>
    </cdr:to>
    <cdr:sp macro="" textlink="">
      <cdr:nvSpPr>
        <cdr:cNvPr id="2" name="テキスト ボックス 1"/>
        <cdr:cNvSpPr txBox="1"/>
      </cdr:nvSpPr>
      <cdr:spPr>
        <a:xfrm xmlns:a="http://schemas.openxmlformats.org/drawingml/2006/main">
          <a:off x="222273"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0.05718</cdr:x>
      <cdr:y>0.0446</cdr:y>
    </cdr:from>
    <cdr:to>
      <cdr:x>0.1871</cdr:x>
      <cdr:y>0.1172</cdr:y>
    </cdr:to>
    <cdr:sp macro="" textlink="">
      <cdr:nvSpPr>
        <cdr:cNvPr id="3" name="テキスト ボックス 13"/>
        <cdr:cNvSpPr txBox="1"/>
      </cdr:nvSpPr>
      <cdr:spPr>
        <a:xfrm xmlns:a="http://schemas.openxmlformats.org/drawingml/2006/main">
          <a:off x="351119" y="218887"/>
          <a:ext cx="797858" cy="35634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14</xdr:row>
      <xdr:rowOff>80308</xdr:rowOff>
    </xdr:from>
    <xdr:to>
      <xdr:col>2</xdr:col>
      <xdr:colOff>112058</xdr:colOff>
      <xdr:row>15</xdr:row>
      <xdr:rowOff>102719</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4417" y="4440641"/>
          <a:ext cx="736474" cy="3081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5" t="s">
        <v>322</v>
      </c>
      <c r="B8" s="245"/>
      <c r="C8" s="245"/>
      <c r="D8" s="245"/>
      <c r="E8" s="245"/>
      <c r="F8" s="245"/>
      <c r="G8" s="245"/>
      <c r="H8" s="245"/>
      <c r="I8" s="245"/>
      <c r="J8" s="245"/>
    </row>
    <row r="9" spans="1:10" x14ac:dyDescent="0.15">
      <c r="A9" s="248" t="s">
        <v>357</v>
      </c>
      <c r="B9" s="248"/>
      <c r="C9" s="248"/>
      <c r="D9" s="248"/>
      <c r="E9" s="248"/>
      <c r="F9" s="248"/>
      <c r="G9" s="248"/>
      <c r="H9" s="248"/>
      <c r="I9" s="248"/>
      <c r="J9" s="248"/>
    </row>
    <row r="10" spans="1:10" x14ac:dyDescent="0.15">
      <c r="A10" s="248"/>
      <c r="B10" s="248"/>
      <c r="C10" s="248"/>
      <c r="D10" s="248"/>
      <c r="E10" s="248"/>
      <c r="F10" s="248"/>
      <c r="G10" s="248"/>
      <c r="H10" s="248"/>
      <c r="I10" s="248"/>
      <c r="J10" s="248"/>
    </row>
    <row r="11" spans="1:10" x14ac:dyDescent="0.15">
      <c r="A11" s="248"/>
      <c r="B11" s="248"/>
      <c r="C11" s="248"/>
      <c r="D11" s="248"/>
      <c r="E11" s="248"/>
      <c r="F11" s="248"/>
      <c r="G11" s="248"/>
      <c r="H11" s="248"/>
      <c r="I11" s="248"/>
      <c r="J11" s="248"/>
    </row>
    <row r="12" spans="1:10" x14ac:dyDescent="0.15">
      <c r="A12" s="248"/>
      <c r="B12" s="248"/>
      <c r="C12" s="248"/>
      <c r="D12" s="248"/>
      <c r="E12" s="248"/>
      <c r="F12" s="248"/>
      <c r="G12" s="248"/>
      <c r="H12" s="248"/>
      <c r="I12" s="248"/>
      <c r="J12" s="248"/>
    </row>
    <row r="15" spans="1:10" ht="18.75" customHeight="1" x14ac:dyDescent="0.15">
      <c r="A15" s="246" t="str">
        <f>管理者入力シート!B4</f>
        <v>大字岩戸・上岩戸</v>
      </c>
      <c r="B15" s="246"/>
      <c r="C15" s="246"/>
      <c r="D15" s="246"/>
      <c r="E15" s="246"/>
      <c r="F15" s="246"/>
      <c r="G15" s="246"/>
      <c r="H15" s="246"/>
      <c r="I15" s="246"/>
      <c r="J15" s="246"/>
    </row>
    <row r="16" spans="1:10" ht="18.75" customHeight="1" x14ac:dyDescent="0.15">
      <c r="A16" s="246"/>
      <c r="B16" s="246"/>
      <c r="C16" s="246"/>
      <c r="D16" s="246"/>
      <c r="E16" s="246"/>
      <c r="F16" s="246"/>
      <c r="G16" s="246"/>
      <c r="H16" s="246"/>
      <c r="I16" s="246"/>
      <c r="J16" s="246"/>
    </row>
    <row r="19" spans="1:10" ht="18.75" customHeight="1" x14ac:dyDescent="0.15">
      <c r="A19" s="247" t="s">
        <v>358</v>
      </c>
      <c r="B19" s="247"/>
      <c r="C19" s="247"/>
      <c r="D19" s="247"/>
      <c r="E19" s="247"/>
      <c r="F19" s="247"/>
      <c r="G19" s="247"/>
      <c r="H19" s="247"/>
      <c r="I19" s="247"/>
      <c r="J19" s="247"/>
    </row>
    <row r="20" spans="1:10" x14ac:dyDescent="0.15">
      <c r="A20" s="247"/>
      <c r="B20" s="247"/>
      <c r="C20" s="247"/>
      <c r="D20" s="247"/>
      <c r="E20" s="247"/>
      <c r="F20" s="247"/>
      <c r="G20" s="247"/>
      <c r="H20" s="247"/>
      <c r="I20" s="247"/>
      <c r="J20" s="247"/>
    </row>
    <row r="21" spans="1:10" x14ac:dyDescent="0.15">
      <c r="A21" s="247"/>
      <c r="B21" s="247"/>
      <c r="C21" s="247"/>
      <c r="D21" s="247"/>
      <c r="E21" s="247"/>
      <c r="F21" s="247"/>
      <c r="G21" s="247"/>
      <c r="H21" s="247"/>
      <c r="I21" s="247"/>
      <c r="J21" s="247"/>
    </row>
    <row r="22" spans="1:10" x14ac:dyDescent="0.15">
      <c r="A22" s="247"/>
      <c r="B22" s="247"/>
      <c r="C22" s="247"/>
      <c r="D22" s="247"/>
      <c r="E22" s="247"/>
      <c r="F22" s="247"/>
      <c r="G22" s="247"/>
      <c r="H22" s="247"/>
      <c r="I22" s="247"/>
      <c r="J22" s="247"/>
    </row>
    <row r="23" spans="1:10" x14ac:dyDescent="0.15">
      <c r="A23" s="247"/>
      <c r="B23" s="247"/>
      <c r="C23" s="247"/>
      <c r="D23" s="247"/>
      <c r="E23" s="247"/>
      <c r="F23" s="247"/>
      <c r="G23" s="247"/>
      <c r="H23" s="247"/>
      <c r="I23" s="247"/>
      <c r="J23" s="247"/>
    </row>
    <row r="24" spans="1:10" x14ac:dyDescent="0.15">
      <c r="A24" s="247"/>
      <c r="B24" s="247"/>
      <c r="C24" s="247"/>
      <c r="D24" s="247"/>
      <c r="E24" s="247"/>
      <c r="F24" s="247"/>
      <c r="G24" s="247"/>
      <c r="H24" s="247"/>
      <c r="I24" s="247"/>
      <c r="J24" s="247"/>
    </row>
    <row r="25" spans="1:10" x14ac:dyDescent="0.15">
      <c r="A25" s="247"/>
      <c r="B25" s="247"/>
      <c r="C25" s="247"/>
      <c r="D25" s="247"/>
      <c r="E25" s="247"/>
      <c r="F25" s="247"/>
      <c r="G25" s="247"/>
      <c r="H25" s="247"/>
      <c r="I25" s="247"/>
      <c r="J25" s="247"/>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22"/>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5" t="s">
        <v>127</v>
      </c>
      <c r="B1" s="326" t="s">
        <v>128</v>
      </c>
      <c r="C1" s="328" t="s">
        <v>129</v>
      </c>
      <c r="D1" s="330" t="s">
        <v>130</v>
      </c>
      <c r="E1" s="330"/>
      <c r="F1" s="330"/>
      <c r="G1" s="330"/>
      <c r="H1" s="330"/>
      <c r="I1" s="330"/>
      <c r="J1" s="330"/>
      <c r="K1" s="298" t="s">
        <v>131</v>
      </c>
      <c r="L1" s="298"/>
      <c r="M1" s="298"/>
      <c r="N1" s="298"/>
      <c r="O1" s="298"/>
      <c r="P1" s="298"/>
      <c r="Q1" s="298"/>
      <c r="R1" s="331" t="s">
        <v>132</v>
      </c>
      <c r="S1" s="332"/>
      <c r="T1" s="332"/>
      <c r="U1" s="332"/>
      <c r="V1" s="332"/>
      <c r="W1" s="332"/>
      <c r="X1" s="332"/>
      <c r="Y1" s="332"/>
      <c r="Z1" s="332"/>
      <c r="AA1" s="332"/>
      <c r="AB1" s="332"/>
      <c r="AC1" s="332"/>
      <c r="AD1" s="332"/>
      <c r="AE1" s="332"/>
      <c r="AF1" s="332"/>
      <c r="AG1" s="332"/>
      <c r="AH1" s="332"/>
      <c r="AI1" s="332"/>
      <c r="AJ1" s="332"/>
      <c r="AK1" s="332"/>
      <c r="AL1" s="332"/>
      <c r="AM1" s="332"/>
      <c r="AN1" s="332"/>
      <c r="AO1" s="333"/>
      <c r="AP1" s="319" t="s">
        <v>133</v>
      </c>
      <c r="AQ1" s="320"/>
      <c r="AR1" s="320"/>
      <c r="AS1" s="320"/>
      <c r="AT1" s="320"/>
      <c r="AU1" s="320"/>
      <c r="AV1" s="320"/>
      <c r="AW1" s="320"/>
      <c r="AX1" s="320"/>
      <c r="AY1" s="320"/>
      <c r="AZ1" s="320"/>
      <c r="BA1" s="320"/>
      <c r="BB1" s="320"/>
      <c r="BC1" s="320"/>
      <c r="BD1" s="320"/>
      <c r="BE1" s="320"/>
      <c r="BF1" s="320"/>
      <c r="BG1" s="320"/>
      <c r="BH1" s="320"/>
      <c r="BI1" s="320"/>
      <c r="BJ1" s="320"/>
      <c r="BK1" s="320"/>
      <c r="BL1" s="320"/>
      <c r="BM1" s="320"/>
      <c r="BN1" s="320"/>
      <c r="BO1" s="320"/>
      <c r="BP1" s="320"/>
      <c r="BQ1" s="320"/>
      <c r="BR1" s="320"/>
      <c r="BS1" s="320"/>
      <c r="BT1" s="320"/>
      <c r="BU1" s="320"/>
      <c r="BV1" s="320"/>
      <c r="BW1" s="320"/>
      <c r="BX1" s="320"/>
      <c r="BY1" s="320"/>
      <c r="BZ1" s="320"/>
      <c r="CA1" s="320"/>
      <c r="CB1" s="321"/>
      <c r="CC1" s="322" t="s">
        <v>134</v>
      </c>
      <c r="CD1" s="323"/>
      <c r="CE1" s="323"/>
      <c r="CF1" s="323"/>
      <c r="CG1" s="323"/>
      <c r="CH1" s="323"/>
      <c r="CI1" s="323"/>
      <c r="CJ1" s="323"/>
      <c r="CK1" s="323"/>
      <c r="CL1" s="323"/>
      <c r="CM1" s="323"/>
      <c r="CN1" s="323"/>
      <c r="CO1" s="323"/>
      <c r="CP1" s="324"/>
    </row>
    <row r="2" spans="1:94" s="80" customFormat="1" ht="60" x14ac:dyDescent="0.15">
      <c r="A2" s="326"/>
      <c r="B2" s="327"/>
      <c r="C2" s="329"/>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高千穂町平均</v>
      </c>
      <c r="C4" s="88" t="str">
        <f>B4</f>
        <v>高千穂町平均</v>
      </c>
      <c r="D4" s="185">
        <f>SUM(D7:D70)</f>
        <v>4506.9999999999991</v>
      </c>
      <c r="E4" s="186">
        <f>SUM(E7:E70)</f>
        <v>2970.9999999999995</v>
      </c>
      <c r="F4" s="186">
        <f>SUM(F7:F70)</f>
        <v>807</v>
      </c>
      <c r="G4" s="187">
        <f>SUM(G7:G70)</f>
        <v>744.99999999999989</v>
      </c>
      <c r="H4" s="148">
        <f>E4/D4</f>
        <v>0.65919680497004662</v>
      </c>
      <c r="I4" s="149">
        <f>F4/D4</f>
        <v>0.17905480363878415</v>
      </c>
      <c r="J4" s="150">
        <f>G4/D4</f>
        <v>0.16529842467273131</v>
      </c>
      <c r="K4" s="185">
        <f>SUM(K7:K70)</f>
        <v>11641.999999999996</v>
      </c>
      <c r="L4" s="186">
        <f>SUM(L7:L70)</f>
        <v>2405.9999999999991</v>
      </c>
      <c r="M4" s="186">
        <f>SUM(M7:M70)</f>
        <v>3187.9999999999995</v>
      </c>
      <c r="N4" s="187">
        <f>SUM(N7:N70)</f>
        <v>5954.9999999999991</v>
      </c>
      <c r="O4" s="148">
        <f>L4/K4</f>
        <v>0.20666552138807764</v>
      </c>
      <c r="P4" s="149">
        <f>M4/K4</f>
        <v>0.27383611063391172</v>
      </c>
      <c r="Q4" s="150">
        <f>N4/K4</f>
        <v>0.51151004981961867</v>
      </c>
      <c r="R4" s="185">
        <f>SUM(R7:R70)</f>
        <v>11641.999999999996</v>
      </c>
      <c r="S4" s="145">
        <f>SUM(S7:S70)</f>
        <v>992</v>
      </c>
      <c r="T4" s="145">
        <f>SUM(T7:T70)</f>
        <v>608</v>
      </c>
      <c r="U4" s="144">
        <f>SUM(U7:U70)</f>
        <v>430.99999999999989</v>
      </c>
      <c r="V4" s="144">
        <f>SUM(V7:V70)</f>
        <v>21</v>
      </c>
      <c r="W4" s="146">
        <f>S4+T4+U4+V4</f>
        <v>2052</v>
      </c>
      <c r="X4" s="143">
        <f>SUM(X7:X70)</f>
        <v>5604.0000000000009</v>
      </c>
      <c r="Y4" s="144">
        <f>SUM(Y7:Y70)</f>
        <v>425</v>
      </c>
      <c r="Z4" s="144">
        <f>SUM(Z7:Z70)</f>
        <v>315</v>
      </c>
      <c r="AA4" s="144">
        <f>SUM(AA7:AA70)</f>
        <v>237</v>
      </c>
      <c r="AB4" s="144">
        <f>SUM(AB7:AB70)</f>
        <v>9</v>
      </c>
      <c r="AC4" s="146">
        <f>Y4+Z4+AA4+AB4</f>
        <v>986</v>
      </c>
      <c r="AD4" s="143">
        <f>SUM(AD7:AD70)</f>
        <v>6037.9999999999991</v>
      </c>
      <c r="AE4" s="143">
        <f t="shared" ref="AE4:AH4" si="0">SUM(AE7:AE70)</f>
        <v>567</v>
      </c>
      <c r="AF4" s="143">
        <f t="shared" si="0"/>
        <v>292.99999999999994</v>
      </c>
      <c r="AG4" s="143">
        <f t="shared" si="0"/>
        <v>194</v>
      </c>
      <c r="AH4" s="143">
        <f t="shared" si="0"/>
        <v>12</v>
      </c>
      <c r="AI4" s="146">
        <f>AE4+AF4+AG4+AH4</f>
        <v>1066</v>
      </c>
      <c r="AJ4" s="148">
        <f>W4/R4</f>
        <v>0.17625837484968224</v>
      </c>
      <c r="AK4" s="149">
        <f>T4/W4</f>
        <v>0.29629629629629628</v>
      </c>
      <c r="AL4" s="149">
        <f>U4/W4</f>
        <v>0.21003898635477578</v>
      </c>
      <c r="AM4" s="149">
        <f>V4/W4</f>
        <v>1.023391812865497E-2</v>
      </c>
      <c r="AN4" s="147">
        <f>AC4/W4</f>
        <v>0.48050682261208577</v>
      </c>
      <c r="AO4" s="150">
        <f>AI4/W4</f>
        <v>0.51949317738791423</v>
      </c>
      <c r="AP4" s="143">
        <f>SUM(AP7:AP70)</f>
        <v>6082</v>
      </c>
      <c r="AQ4" s="144">
        <f t="shared" ref="AQ4:BI4" si="1">SUM(AQ7:AQ70)</f>
        <v>1457.0000000000002</v>
      </c>
      <c r="AR4" s="144">
        <f t="shared" si="1"/>
        <v>5</v>
      </c>
      <c r="AS4" s="144">
        <f t="shared" si="1"/>
        <v>0.99999999999999989</v>
      </c>
      <c r="AT4" s="144">
        <f t="shared" si="1"/>
        <v>660</v>
      </c>
      <c r="AU4" s="144">
        <f t="shared" si="1"/>
        <v>309</v>
      </c>
      <c r="AV4" s="144">
        <f t="shared" si="1"/>
        <v>17</v>
      </c>
      <c r="AW4" s="144">
        <f t="shared" si="1"/>
        <v>5.9999999999999991</v>
      </c>
      <c r="AX4" s="144">
        <f t="shared" si="1"/>
        <v>170.00000000000003</v>
      </c>
      <c r="AY4" s="144">
        <f t="shared" si="1"/>
        <v>680</v>
      </c>
      <c r="AZ4" s="144">
        <f t="shared" si="1"/>
        <v>57.999999999999993</v>
      </c>
      <c r="BA4" s="144">
        <f t="shared" si="1"/>
        <v>62.000000000000007</v>
      </c>
      <c r="BB4" s="144">
        <f t="shared" si="1"/>
        <v>106.99999999999999</v>
      </c>
      <c r="BC4" s="144">
        <f t="shared" si="1"/>
        <v>364</v>
      </c>
      <c r="BD4" s="144">
        <f t="shared" si="1"/>
        <v>135</v>
      </c>
      <c r="BE4" s="144">
        <f t="shared" si="1"/>
        <v>267</v>
      </c>
      <c r="BF4" s="144">
        <f t="shared" si="1"/>
        <v>921.99999999999977</v>
      </c>
      <c r="BG4" s="144">
        <f t="shared" si="1"/>
        <v>212.00000000000003</v>
      </c>
      <c r="BH4" s="144">
        <f t="shared" si="1"/>
        <v>302.99999999999994</v>
      </c>
      <c r="BI4" s="146">
        <f t="shared" si="1"/>
        <v>341</v>
      </c>
      <c r="BJ4" s="147">
        <f>IF($AP4=0,0,AQ4/$AP4)</f>
        <v>0.23955935547517268</v>
      </c>
      <c r="BK4" s="149">
        <f t="shared" ref="BK4:CB4" si="2">IF($AP4=0,0,AR4/$AP4)</f>
        <v>8.2209799408089446E-4</v>
      </c>
      <c r="BL4" s="149">
        <f t="shared" si="2"/>
        <v>1.6441959881617887E-4</v>
      </c>
      <c r="BM4" s="149">
        <f t="shared" si="2"/>
        <v>0.10851693521867807</v>
      </c>
      <c r="BN4" s="149">
        <f t="shared" si="2"/>
        <v>5.080565603419928E-2</v>
      </c>
      <c r="BO4" s="149">
        <f t="shared" si="2"/>
        <v>2.7951331798750411E-3</v>
      </c>
      <c r="BP4" s="149">
        <f t="shared" si="2"/>
        <v>9.8651759289707314E-4</v>
      </c>
      <c r="BQ4" s="149">
        <f t="shared" si="2"/>
        <v>2.7951331798750416E-2</v>
      </c>
      <c r="BR4" s="149">
        <f t="shared" si="2"/>
        <v>0.11180532719500165</v>
      </c>
      <c r="BS4" s="149">
        <f t="shared" si="2"/>
        <v>9.5363367313383747E-3</v>
      </c>
      <c r="BT4" s="149">
        <f t="shared" si="2"/>
        <v>1.0194015126603092E-2</v>
      </c>
      <c r="BU4" s="149">
        <f t="shared" si="2"/>
        <v>1.7592897073331139E-2</v>
      </c>
      <c r="BV4" s="149">
        <f t="shared" si="2"/>
        <v>5.9848733969089116E-2</v>
      </c>
      <c r="BW4" s="149">
        <f t="shared" si="2"/>
        <v>2.2196645840184149E-2</v>
      </c>
      <c r="BX4" s="149">
        <f t="shared" si="2"/>
        <v>4.3900032883919762E-2</v>
      </c>
      <c r="BY4" s="149">
        <f t="shared" si="2"/>
        <v>0.15159487010851691</v>
      </c>
      <c r="BZ4" s="149">
        <f t="shared" si="2"/>
        <v>3.4856954949029927E-2</v>
      </c>
      <c r="CA4" s="149">
        <f t="shared" si="2"/>
        <v>4.9819138441302195E-2</v>
      </c>
      <c r="CB4" s="150">
        <f t="shared" si="2"/>
        <v>5.6067083196317001E-2</v>
      </c>
      <c r="CC4" s="143">
        <f>SUM(CC7:CC70)</f>
        <v>6082</v>
      </c>
      <c r="CD4" s="144">
        <f t="shared" ref="CD4:CI4" si="3">SUM(CD7:CD70)</f>
        <v>5423.0000000000018</v>
      </c>
      <c r="CE4" s="144">
        <f t="shared" si="3"/>
        <v>509</v>
      </c>
      <c r="CF4" s="144">
        <f t="shared" si="3"/>
        <v>126</v>
      </c>
      <c r="CG4" s="143">
        <f t="shared" si="3"/>
        <v>345</v>
      </c>
      <c r="CH4" s="144">
        <f t="shared" si="3"/>
        <v>304</v>
      </c>
      <c r="CI4" s="144">
        <f t="shared" si="3"/>
        <v>38.000000000000007</v>
      </c>
      <c r="CJ4" s="144">
        <f>SUM(CJ7:CJ70)</f>
        <v>3</v>
      </c>
      <c r="CK4" s="148">
        <f t="shared" ref="CK4:CM4" si="4">IF($CC4=0,0,CD4/$CC4)</f>
        <v>0.89164748438013841</v>
      </c>
      <c r="CL4" s="149">
        <f t="shared" si="4"/>
        <v>8.3689575797435051E-2</v>
      </c>
      <c r="CM4" s="150">
        <f t="shared" si="4"/>
        <v>2.0716869450838539E-2</v>
      </c>
      <c r="CN4" s="148">
        <f t="shared" ref="CN4:CP4" si="5">IF($CG4=0,0,CH4/$CG4)</f>
        <v>0.88115942028985506</v>
      </c>
      <c r="CO4" s="149">
        <f t="shared" si="5"/>
        <v>0.11014492753623191</v>
      </c>
      <c r="CP4" s="150">
        <f t="shared" si="5"/>
        <v>8.6956521739130436E-3</v>
      </c>
    </row>
    <row r="5" spans="1:94" s="181" customFormat="1" x14ac:dyDescent="0.15">
      <c r="A5" s="183" t="str">
        <f>管理者入力シート!B2</f>
        <v>45441_10</v>
      </c>
      <c r="B5" s="201" t="str">
        <f>VLOOKUP($A$5,$A$7:$CP$50,2,FALSE)</f>
        <v>高千穂町</v>
      </c>
      <c r="C5" s="201" t="str">
        <f>VLOOKUP($A$5,$A$7:$CP$50,3,FALSE)</f>
        <v>大字岩戸・上岩戸</v>
      </c>
      <c r="D5" s="188">
        <f>VLOOKUP($A$5,$A$7:$CP$70,4,FALSE)</f>
        <v>172.19778836509531</v>
      </c>
      <c r="E5" s="189">
        <f>VLOOKUP($A$5,$A$7:$CP$70,5,FALSE)</f>
        <v>141.66649949849551</v>
      </c>
      <c r="F5" s="189">
        <f>VLOOKUP($A$5,$A$7:$CP$70,6,FALSE)</f>
        <v>35.162627883650956</v>
      </c>
      <c r="G5" s="190">
        <f>VLOOKUP($A$5,$A$7:$CP$70,7,FALSE)</f>
        <v>25.047963891675028</v>
      </c>
      <c r="H5" s="178">
        <f>VLOOKUP($A$5,$A$7:$CP$70,8,FALSE)</f>
        <v>0.82269639374306547</v>
      </c>
      <c r="I5" s="179">
        <f>VLOOKUP($A$5,$A$7:$CP$70,9,FALSE)</f>
        <v>0.20419906792936757</v>
      </c>
      <c r="J5" s="180">
        <f>VLOOKUP($A$5,$A$7:$CP$70,10,FALSE)</f>
        <v>0.14546042739276133</v>
      </c>
      <c r="K5" s="188">
        <f>VLOOKUP($A$5,$A$7:$CP$70,11,FALSE)</f>
        <v>474.42205616850561</v>
      </c>
      <c r="L5" s="189">
        <f>VLOOKUP($A$5,$A$7:$CP$70,12,FALSE)</f>
        <v>167.87115847542628</v>
      </c>
      <c r="M5" s="189">
        <f>VLOOKUP($A$5,$A$7:$CP$70,13,FALSE)</f>
        <v>50.177241725175534</v>
      </c>
      <c r="N5" s="190">
        <f>VLOOKUP($A$5,$A$7:$CP$70,14,FALSE)</f>
        <v>255.25899197592784</v>
      </c>
      <c r="O5" s="178">
        <f>VLOOKUP($A$5,$A$7:$CP$70,15,FALSE)</f>
        <v>0.35384349503304219</v>
      </c>
      <c r="P5" s="179">
        <f>VLOOKUP($A$5,$A$7:$CP$70,16,FALSE)</f>
        <v>0.10576498514932775</v>
      </c>
      <c r="Q5" s="180">
        <f>VLOOKUP($A$5,$A$7:$CP$70,17,FALSE)</f>
        <v>0.53804200006515879</v>
      </c>
      <c r="R5" s="188">
        <f>VLOOKUP($A$5,$A$7:$CP$70,18,FALSE)</f>
        <v>474.42205616850561</v>
      </c>
      <c r="S5" s="189">
        <f>VLOOKUP($A$5,$A$7:$CP$70,19,FALSE)</f>
        <v>13.703971915747244</v>
      </c>
      <c r="T5" s="189">
        <f>VLOOKUP($A$5,$A$7:$CP$70,20,FALSE)</f>
        <v>7.5733199598796404</v>
      </c>
      <c r="U5" s="189">
        <f>VLOOKUP($A$5,$A$7:$CP$70,21,FALSE)</f>
        <v>7.1553209628886671</v>
      </c>
      <c r="V5" s="189">
        <f>VLOOKUP($A$5,$A$7:$CP$70,22,FALSE)</f>
        <v>0.27866599799398201</v>
      </c>
      <c r="W5" s="190">
        <f>VLOOKUP($A$5,$A$7:$CP$70,23,FALSE)</f>
        <v>28.711278836509535</v>
      </c>
      <c r="X5" s="188">
        <f>VLOOKUP($A$5,$A$7:$CP$70,24,FALSE)</f>
        <v>240.07169508525578</v>
      </c>
      <c r="Y5" s="189">
        <f>VLOOKUP($A$5,$A$7:$CP$70,25,FALSE)</f>
        <v>5.8519859578736222</v>
      </c>
      <c r="Z5" s="189">
        <f>VLOOKUP($A$5,$A$7:$CP$70,26,FALSE)</f>
        <v>3.0899949849548651</v>
      </c>
      <c r="AA5" s="189">
        <f>VLOOKUP($A$5,$A$7:$CP$70,27,FALSE)</f>
        <v>3.9259929789368111</v>
      </c>
      <c r="AB5" s="189">
        <f>VLOOKUP($A$5,$A$7:$CP$70,28,FALSE)</f>
        <v>0.139332998996991</v>
      </c>
      <c r="AC5" s="191">
        <f>VLOOKUP($A$5,$A$7:$CP$70,29,FALSE)</f>
        <v>13.007306920762289</v>
      </c>
      <c r="AD5" s="188">
        <f>VLOOKUP($A$5,$A$7:$CP$70,30,FALSE)</f>
        <v>234.35036108324977</v>
      </c>
      <c r="AE5" s="189">
        <f>VLOOKUP($A$5,$A$7:$CP$70,31,FALSE)</f>
        <v>7.8519859578736222</v>
      </c>
      <c r="AF5" s="189">
        <f>VLOOKUP($A$5,$A$7:$CP$70,32,FALSE)</f>
        <v>4.4833249749247752</v>
      </c>
      <c r="AG5" s="189">
        <f>VLOOKUP($A$5,$A$7:$CP$70,33,FALSE)</f>
        <v>3.2293279839518561</v>
      </c>
      <c r="AH5" s="189">
        <f>VLOOKUP($A$5,$A$7:$CP$70,34,FALSE)</f>
        <v>0.139332998996991</v>
      </c>
      <c r="AI5" s="191">
        <f>VLOOKUP($A$5,$A$7:$CP$70,35,FALSE)</f>
        <v>15.703971915747244</v>
      </c>
      <c r="AJ5" s="178">
        <f>VLOOKUP($A$5,$A$7:$CP$70,36,FALSE)</f>
        <v>6.051843177019544E-2</v>
      </c>
      <c r="AK5" s="179">
        <f>VLOOKUP($A$5,$A$7:$CP$70,37,FALSE)</f>
        <v>0.26377508306071462</v>
      </c>
      <c r="AL5" s="179">
        <f>VLOOKUP($A$5,$A$7:$CP$70,38,FALSE)</f>
        <v>0.24921637951528278</v>
      </c>
      <c r="AM5" s="179">
        <f>VLOOKUP($A$5,$A$7:$CP$70,39,FALSE)</f>
        <v>9.7058023636212142E-3</v>
      </c>
      <c r="AN5" s="182">
        <f>VLOOKUP($A$5,$A$7:$CP$70,40,FALSE)</f>
        <v>0.4530382291513283</v>
      </c>
      <c r="AO5" s="180">
        <f>VLOOKUP($A$5,$A$7:$CP$70,41,FALSE)</f>
        <v>0.54696177084867159</v>
      </c>
      <c r="AP5" s="192">
        <f>VLOOKUP($A$5,$A$7:$CP$70,42,FALSE)</f>
        <v>284.56232698094288</v>
      </c>
      <c r="AQ5" s="189">
        <f>VLOOKUP($A$5,$A$7:$CP$70,43,FALSE)</f>
        <v>122.29921263791375</v>
      </c>
      <c r="AR5" s="189">
        <f>VLOOKUP($A$5,$A$7:$CP$70,44,FALSE)</f>
        <v>0</v>
      </c>
      <c r="AS5" s="189">
        <f>VLOOKUP($A$5,$A$7:$CP$70,45,FALSE)</f>
        <v>0</v>
      </c>
      <c r="AT5" s="189">
        <f>VLOOKUP($A$5,$A$7:$CP$70,46,FALSE)</f>
        <v>32.187296890672016</v>
      </c>
      <c r="AU5" s="189">
        <f>VLOOKUP($A$5,$A$7:$CP$70,47,FALSE)</f>
        <v>18.245315947843533</v>
      </c>
      <c r="AV5" s="189">
        <f>VLOOKUP($A$5,$A$7:$CP$70,48,FALSE)</f>
        <v>0.55733199598796401</v>
      </c>
      <c r="AW5" s="189">
        <f>VLOOKUP($A$5,$A$7:$CP$70,49,FALSE)</f>
        <v>0</v>
      </c>
      <c r="AX5" s="189">
        <f>VLOOKUP($A$5,$A$7:$CP$70,50,FALSE)</f>
        <v>9.3439919759277839</v>
      </c>
      <c r="AY5" s="189">
        <f>VLOOKUP($A$5,$A$7:$CP$70,51,FALSE)</f>
        <v>22.375967903711135</v>
      </c>
      <c r="AZ5" s="189">
        <f>VLOOKUP($A$5,$A$7:$CP$70,52,FALSE)</f>
        <v>0.69666499498495504</v>
      </c>
      <c r="BA5" s="189">
        <f>VLOOKUP($A$5,$A$7:$CP$70,53,FALSE)</f>
        <v>1.9753309929789369</v>
      </c>
      <c r="BB5" s="189">
        <f>VLOOKUP($A$5,$A$7:$CP$70,54,FALSE)</f>
        <v>2.8113289869608833</v>
      </c>
      <c r="BC5" s="189">
        <f>VLOOKUP($A$5,$A$7:$CP$70,55,FALSE)</f>
        <v>8.6879839518555677</v>
      </c>
      <c r="BD5" s="189">
        <f>VLOOKUP($A$5,$A$7:$CP$70,56,FALSE)</f>
        <v>4.065325977933802</v>
      </c>
      <c r="BE5" s="189">
        <f>VLOOKUP($A$5,$A$7:$CP$70,57,FALSE)</f>
        <v>4.065325977933802</v>
      </c>
      <c r="BF5" s="189">
        <f>VLOOKUP($A$5,$A$7:$CP$70,58,FALSE)</f>
        <v>29.531288866599802</v>
      </c>
      <c r="BG5" s="189">
        <f>VLOOKUP($A$5,$A$7:$CP$70,59,FALSE)</f>
        <v>10.269984954864595</v>
      </c>
      <c r="BH5" s="189">
        <f>VLOOKUP($A$5,$A$7:$CP$70,60,FALSE)</f>
        <v>11.269984954864595</v>
      </c>
      <c r="BI5" s="189">
        <f>VLOOKUP($A$5,$A$7:$CP$70,61,FALSE)</f>
        <v>6.0406569709127389</v>
      </c>
      <c r="BJ5" s="178">
        <f>VLOOKUP($A$5,$A$7:$CP$70,62,FALSE)</f>
        <v>0.4297800553412825</v>
      </c>
      <c r="BK5" s="179">
        <f>VLOOKUP($A$5,$A$7:$CP$70,63,FALSE)</f>
        <v>0</v>
      </c>
      <c r="BL5" s="179">
        <f>VLOOKUP($A$5,$A$7:$CP$70,64,FALSE)</f>
        <v>0</v>
      </c>
      <c r="BM5" s="179">
        <f>VLOOKUP($A$5,$A$7:$CP$70,65,FALSE)</f>
        <v>0.11311158870593435</v>
      </c>
      <c r="BN5" s="179">
        <f>VLOOKUP($A$5,$A$7:$CP$70,66,FALSE)</f>
        <v>6.4117116771628804E-2</v>
      </c>
      <c r="BO5" s="179">
        <f>VLOOKUP($A$5,$A$7:$CP$70,67,FALSE)</f>
        <v>1.958558611397947E-3</v>
      </c>
      <c r="BP5" s="179">
        <f>VLOOKUP($A$5,$A$7:$CP$70,68,FALSE)</f>
        <v>0</v>
      </c>
      <c r="BQ5" s="179">
        <f>VLOOKUP($A$5,$A$7:$CP$70,69,FALSE)</f>
        <v>3.2836363390272495E-2</v>
      </c>
      <c r="BR5" s="179">
        <f>VLOOKUP($A$5,$A$7:$CP$70,70,FALSE)</f>
        <v>7.863292425637794E-2</v>
      </c>
      <c r="BS5" s="179">
        <f>VLOOKUP($A$5,$A$7:$CP$70,71,FALSE)</f>
        <v>2.4481982642474338E-3</v>
      </c>
      <c r="BT5" s="179">
        <f>VLOOKUP($A$5,$A$7:$CP$70,72,FALSE)</f>
        <v>6.9416461902605427E-3</v>
      </c>
      <c r="BU5" s="179">
        <f>VLOOKUP($A$5,$A$7:$CP$70,73,FALSE)</f>
        <v>9.8794841073574641E-3</v>
      </c>
      <c r="BV5" s="179">
        <f>VLOOKUP($A$5,$A$7:$CP$70,74,FALSE)</f>
        <v>3.0531040577403631E-2</v>
      </c>
      <c r="BW5" s="179">
        <f>VLOOKUP($A$5,$A$7:$CP$70,75,FALSE)</f>
        <v>1.4286240983002843E-2</v>
      </c>
      <c r="BX5" s="179">
        <f>VLOOKUP($A$5,$A$7:$CP$70,76,FALSE)</f>
        <v>1.4286240983002843E-2</v>
      </c>
      <c r="BY5" s="179">
        <f>VLOOKUP($A$5,$A$7:$CP$70,77,FALSE)</f>
        <v>0.10377792865243722</v>
      </c>
      <c r="BZ5" s="179">
        <f>VLOOKUP($A$5,$A$7:$CP$70,78,FALSE)</f>
        <v>3.6090458859483449E-2</v>
      </c>
      <c r="CA5" s="179">
        <f>VLOOKUP($A$5,$A$7:$CP$70,79,FALSE)</f>
        <v>3.960462747979758E-2</v>
      </c>
      <c r="CB5" s="180">
        <f>VLOOKUP($A$5,$A$7:$CP$70,80,FALSE)</f>
        <v>2.1227887173263387E-2</v>
      </c>
      <c r="CC5" s="188">
        <f>VLOOKUP($A$5,$A$7:$CP$70,81,FALSE)</f>
        <v>284.56232698094288</v>
      </c>
      <c r="CD5" s="190">
        <f>VLOOKUP($A$5,$A$7:$CP$70,82,FALSE)</f>
        <v>259.35036108324977</v>
      </c>
      <c r="CE5" s="189">
        <f>VLOOKUP($A$5,$A$7:$CP$70,83,FALSE)</f>
        <v>19.425305917753263</v>
      </c>
      <c r="CF5" s="191">
        <f>VLOOKUP($A$5,$A$7:$CP$70,84,FALSE)</f>
        <v>3.8113289869608833</v>
      </c>
      <c r="CG5" s="188">
        <f>VLOOKUP($A$5,$A$7:$CP$70,85,FALSE)</f>
        <v>10.663314944834505</v>
      </c>
      <c r="CH5" s="189">
        <f>VLOOKUP($A$5,$A$7:$CP$70,86,FALSE)</f>
        <v>9.1059829488465418</v>
      </c>
      <c r="CI5" s="189">
        <f>VLOOKUP($A$5,$A$7:$CP$70,87,FALSE)</f>
        <v>0.55733199598796401</v>
      </c>
      <c r="CJ5" s="191">
        <f>VLOOKUP($A$5,$A$7:$CP$70,88,FALSE)</f>
        <v>1</v>
      </c>
      <c r="CK5" s="178">
        <f>VLOOKUP($A$5,$A$7:$CP$70,89,FALSE)</f>
        <v>0.91140090058589673</v>
      </c>
      <c r="CL5" s="179">
        <f>VLOOKUP($A$5,$A$7:$CP$70,90,FALSE)</f>
        <v>6.8263800496171007E-2</v>
      </c>
      <c r="CM5" s="180">
        <f>VLOOKUP($A$5,$A$7:$CP$70,91,FALSE)</f>
        <v>1.3393652727671599E-2</v>
      </c>
      <c r="CN5" s="178">
        <f>VLOOKUP($A$5,$A$7:$CP$70,92,FALSE)</f>
        <v>0.85395423430287387</v>
      </c>
      <c r="CO5" s="179">
        <f>VLOOKUP($A$5,$A$7:$CP$70,93,FALSE)</f>
        <v>5.2266297944988042E-2</v>
      </c>
      <c r="CP5" s="180">
        <f>VLOOKUP($A$5,$A$7:$CP$70,94,FALSE)</f>
        <v>9.3779467752138121E-2</v>
      </c>
    </row>
    <row r="6" spans="1:94" s="241" customFormat="1" x14ac:dyDescent="0.15"/>
    <row r="7" spans="1:94" x14ac:dyDescent="0.15">
      <c r="A7" t="s">
        <v>429</v>
      </c>
      <c r="B7" t="s">
        <v>430</v>
      </c>
      <c r="C7" t="s">
        <v>431</v>
      </c>
      <c r="D7">
        <v>1514.7232213739344</v>
      </c>
      <c r="E7">
        <v>783.74382390112635</v>
      </c>
      <c r="F7">
        <v>234.10718438722535</v>
      </c>
      <c r="G7">
        <v>237.47036238404999</v>
      </c>
      <c r="H7">
        <v>0.51741718410458448</v>
      </c>
      <c r="I7">
        <v>0.15455443019806464</v>
      </c>
      <c r="J7">
        <v>0.15677475530391075</v>
      </c>
      <c r="K7">
        <v>3524.183625134975</v>
      </c>
      <c r="L7">
        <v>485.33281605587825</v>
      </c>
      <c r="M7">
        <v>1295.6471802151973</v>
      </c>
      <c r="N7">
        <v>1698.1334007646442</v>
      </c>
      <c r="O7">
        <v>0.13771496257868521</v>
      </c>
      <c r="P7">
        <v>0.36764462866646869</v>
      </c>
      <c r="Q7">
        <v>0.48185156660206835</v>
      </c>
      <c r="R7">
        <v>3524.183625134975</v>
      </c>
      <c r="S7">
        <v>386.68426044407704</v>
      </c>
      <c r="T7">
        <v>269.88889065460864</v>
      </c>
      <c r="U7">
        <v>169.30459731245523</v>
      </c>
      <c r="V7">
        <v>8.3180797034291007</v>
      </c>
      <c r="W7">
        <v>834.19582811457008</v>
      </c>
      <c r="X7">
        <v>1690.7777055965269</v>
      </c>
      <c r="Y7">
        <v>173.53564609118752</v>
      </c>
      <c r="Z7">
        <v>152.60484586856649</v>
      </c>
      <c r="AA7">
        <v>99.212189668568826</v>
      </c>
      <c r="AB7">
        <v>1.3863466172381835</v>
      </c>
      <c r="AC7">
        <v>426.73902824556103</v>
      </c>
      <c r="AD7">
        <v>1833.4059195384486</v>
      </c>
      <c r="AE7">
        <v>213.14861435288955</v>
      </c>
      <c r="AF7">
        <v>117.28404478604217</v>
      </c>
      <c r="AG7">
        <v>70.092407643886432</v>
      </c>
      <c r="AH7">
        <v>6.9317330861909179</v>
      </c>
      <c r="AI7">
        <v>407.4567998690091</v>
      </c>
      <c r="AJ7">
        <v>0.2367061188767145</v>
      </c>
      <c r="AK7">
        <v>0.3235318153827324</v>
      </c>
      <c r="AL7">
        <v>0.20295545914574223</v>
      </c>
      <c r="AM7">
        <v>9.971375333091068E-3</v>
      </c>
      <c r="AN7">
        <v>0.51155737521496192</v>
      </c>
      <c r="AO7">
        <v>0.48844262478503814</v>
      </c>
      <c r="AP7">
        <v>1858.460420322649</v>
      </c>
      <c r="AQ7">
        <v>176.75587908830613</v>
      </c>
      <c r="AR7">
        <v>2.7288135593220339E-2</v>
      </c>
      <c r="AS7">
        <v>6.8220338983050847E-3</v>
      </c>
      <c r="AT7">
        <v>192.3784313648072</v>
      </c>
      <c r="AU7">
        <v>98.55994856333956</v>
      </c>
      <c r="AV7">
        <v>4.8605909837422665</v>
      </c>
      <c r="AW7">
        <v>2.0851051414630248</v>
      </c>
      <c r="AX7">
        <v>63.833980640476717</v>
      </c>
      <c r="AY7">
        <v>264.33476832445103</v>
      </c>
      <c r="AZ7">
        <v>28.439334936785119</v>
      </c>
      <c r="BA7">
        <v>20.128396238472089</v>
      </c>
      <c r="BB7">
        <v>34.719464860182299</v>
      </c>
      <c r="BC7">
        <v>158.21414334576755</v>
      </c>
      <c r="BD7">
        <v>52.726452055753995</v>
      </c>
      <c r="BE7">
        <v>126.22392681350817</v>
      </c>
      <c r="BF7">
        <v>322.12814537014225</v>
      </c>
      <c r="BG7">
        <v>56.259022214900689</v>
      </c>
      <c r="BH7">
        <v>97.928492531022968</v>
      </c>
      <c r="BI7">
        <v>157.44744438719891</v>
      </c>
      <c r="BJ7">
        <v>9.5108766996296529E-2</v>
      </c>
      <c r="BK7">
        <v>1.4683194376818001E-5</v>
      </c>
      <c r="BL7">
        <v>3.6707985942045003E-6</v>
      </c>
      <c r="BM7">
        <v>0.10351494670594502</v>
      </c>
      <c r="BN7">
        <v>5.3033116813016916E-2</v>
      </c>
      <c r="BO7">
        <v>2.6153857949250351E-3</v>
      </c>
      <c r="BP7">
        <v>1.1219529448472342E-3</v>
      </c>
      <c r="BQ7">
        <v>3.434777514895606E-2</v>
      </c>
      <c r="BR7">
        <v>0.14223319766936959</v>
      </c>
      <c r="BS7">
        <v>1.5302631482379238E-2</v>
      </c>
      <c r="BT7">
        <v>1.0830683300200485E-2</v>
      </c>
      <c r="BU7">
        <v>1.8681842497433775E-2</v>
      </c>
      <c r="BV7">
        <v>8.5131833648789706E-2</v>
      </c>
      <c r="BW7">
        <v>2.837103845698264E-2</v>
      </c>
      <c r="BX7">
        <v>6.7918544529236902E-2</v>
      </c>
      <c r="BY7">
        <v>0.17333064608081203</v>
      </c>
      <c r="BZ7">
        <v>3.0271843080270446E-2</v>
      </c>
      <c r="CA7">
        <v>5.2693343081270202E-2</v>
      </c>
      <c r="CB7">
        <v>8.471928843115438E-2</v>
      </c>
      <c r="CC7">
        <v>1858.460420322649</v>
      </c>
      <c r="CD7">
        <v>1641.2096142543344</v>
      </c>
      <c r="CE7">
        <v>188.10433478389623</v>
      </c>
      <c r="CF7">
        <v>22.209152982621919</v>
      </c>
      <c r="CG7">
        <v>149.78531624387676</v>
      </c>
      <c r="CH7">
        <v>132.44202048938507</v>
      </c>
      <c r="CI7">
        <v>15.956949137253485</v>
      </c>
      <c r="CJ7">
        <v>1.3863466172381835</v>
      </c>
      <c r="CK7">
        <v>0.88310173103896528</v>
      </c>
      <c r="CL7">
        <v>0.10121514169843836</v>
      </c>
      <c r="CM7">
        <v>1.1950296460317497E-2</v>
      </c>
      <c r="CN7">
        <v>0.88421231006213075</v>
      </c>
      <c r="CO7">
        <v>0.10653213237052404</v>
      </c>
      <c r="CP7">
        <v>9.2555575673450401E-3</v>
      </c>
    </row>
    <row r="8" spans="1:94" x14ac:dyDescent="0.15">
      <c r="A8" t="s">
        <v>432</v>
      </c>
      <c r="B8" t="s">
        <v>430</v>
      </c>
      <c r="C8" t="s">
        <v>433</v>
      </c>
      <c r="D8">
        <v>498.53652008940747</v>
      </c>
      <c r="E8">
        <v>258.15558416158001</v>
      </c>
      <c r="F8">
        <v>77.028449980919163</v>
      </c>
      <c r="G8">
        <v>78.135023850120405</v>
      </c>
      <c r="H8">
        <v>0.51782682663906432</v>
      </c>
      <c r="I8">
        <v>0.15450914201251473</v>
      </c>
      <c r="J8">
        <v>0.15672878656132891</v>
      </c>
      <c r="K8">
        <v>1160.1217673001258</v>
      </c>
      <c r="L8">
        <v>160.5269454062153</v>
      </c>
      <c r="M8">
        <v>425.38869493013402</v>
      </c>
      <c r="N8">
        <v>559.40265449377489</v>
      </c>
      <c r="O8">
        <v>0.13837077273345105</v>
      </c>
      <c r="P8">
        <v>0.36667590154791496</v>
      </c>
      <c r="Q8">
        <v>0.48219305098949694</v>
      </c>
      <c r="R8">
        <v>1160.1217673001258</v>
      </c>
      <c r="S8">
        <v>126.82244667607864</v>
      </c>
      <c r="T8">
        <v>88.638335461991531</v>
      </c>
      <c r="U8">
        <v>55.72659792046953</v>
      </c>
      <c r="V8">
        <v>2.7722235335475154</v>
      </c>
      <c r="W8">
        <v>273.95960359208721</v>
      </c>
      <c r="X8">
        <v>556.86106862149802</v>
      </c>
      <c r="Y8">
        <v>56.911168105093182</v>
      </c>
      <c r="Z8">
        <v>50.122434829033722</v>
      </c>
      <c r="AA8">
        <v>32.666170874166042</v>
      </c>
      <c r="AB8">
        <v>0.49935977080423433</v>
      </c>
      <c r="AC8">
        <v>140.19913357909718</v>
      </c>
      <c r="AD8">
        <v>603.26069867862782</v>
      </c>
      <c r="AE8">
        <v>69.911278570985459</v>
      </c>
      <c r="AF8">
        <v>38.515900632957795</v>
      </c>
      <c r="AG8">
        <v>23.060427046303488</v>
      </c>
      <c r="AH8">
        <v>2.2728637627432811</v>
      </c>
      <c r="AI8">
        <v>133.76047001299003</v>
      </c>
      <c r="AJ8">
        <v>0.2361472832542873</v>
      </c>
      <c r="AK8">
        <v>0.32354527565301122</v>
      </c>
      <c r="AL8">
        <v>0.20341173366363816</v>
      </c>
      <c r="AM8">
        <v>1.0119096017072737E-2</v>
      </c>
      <c r="AN8">
        <v>0.51175111856216216</v>
      </c>
      <c r="AO8">
        <v>0.48824888143783779</v>
      </c>
      <c r="AP8">
        <v>612.47646092937828</v>
      </c>
      <c r="AQ8">
        <v>59.208711176113411</v>
      </c>
      <c r="AR8">
        <v>0</v>
      </c>
      <c r="AS8">
        <v>0</v>
      </c>
      <c r="AT8">
        <v>63.450983428800242</v>
      </c>
      <c r="AU8">
        <v>32.48367151614729</v>
      </c>
      <c r="AV8">
        <v>1.6059336400054895</v>
      </c>
      <c r="AW8">
        <v>0.68185912882298427</v>
      </c>
      <c r="AX8">
        <v>20.984991647664149</v>
      </c>
      <c r="AY8">
        <v>86.879760476137676</v>
      </c>
      <c r="AZ8">
        <v>9.3485994394178373</v>
      </c>
      <c r="BA8">
        <v>6.6211629241259002</v>
      </c>
      <c r="BB8">
        <v>11.483750862397947</v>
      </c>
      <c r="BC8">
        <v>51.910867827057963</v>
      </c>
      <c r="BD8">
        <v>17.333480621189704</v>
      </c>
      <c r="BE8">
        <v>41.440765512353678</v>
      </c>
      <c r="BF8">
        <v>106.07296784078113</v>
      </c>
      <c r="BG8">
        <v>18.529628526902119</v>
      </c>
      <c r="BH8">
        <v>32.196669115532188</v>
      </c>
      <c r="BI8">
        <v>51.788084493379984</v>
      </c>
      <c r="BJ8">
        <v>9.6670998729109503E-2</v>
      </c>
      <c r="BK8">
        <v>0</v>
      </c>
      <c r="BL8">
        <v>0</v>
      </c>
      <c r="BM8">
        <v>0.10359742369938438</v>
      </c>
      <c r="BN8">
        <v>5.3036603997574407E-2</v>
      </c>
      <c r="BO8">
        <v>2.6220332411936759E-3</v>
      </c>
      <c r="BP8">
        <v>1.1132821786952007E-3</v>
      </c>
      <c r="BQ8">
        <v>3.4262527601177192E-2</v>
      </c>
      <c r="BR8">
        <v>0.14184995835481645</v>
      </c>
      <c r="BS8">
        <v>1.5263606090644158E-2</v>
      </c>
      <c r="BT8">
        <v>1.0810477375863355E-2</v>
      </c>
      <c r="BU8">
        <v>1.8749701572159005E-2</v>
      </c>
      <c r="BV8">
        <v>8.4755694526264511E-2</v>
      </c>
      <c r="BW8">
        <v>2.8300647823897913E-2</v>
      </c>
      <c r="BX8">
        <v>6.766099296203322E-2</v>
      </c>
      <c r="BY8">
        <v>0.17318701143195755</v>
      </c>
      <c r="BZ8">
        <v>3.025361741867608E-2</v>
      </c>
      <c r="CA8">
        <v>5.2568010641056512E-2</v>
      </c>
      <c r="CB8">
        <v>8.4555224236366883E-2</v>
      </c>
      <c r="CC8">
        <v>612.47646092937828</v>
      </c>
      <c r="CD8">
        <v>540.97752900946898</v>
      </c>
      <c r="CE8">
        <v>61.92304610421715</v>
      </c>
      <c r="CF8">
        <v>7.3030220529488847</v>
      </c>
      <c r="CG8">
        <v>49.273005348277181</v>
      </c>
      <c r="CH8">
        <v>43.590845941418976</v>
      </c>
      <c r="CI8">
        <v>5.2275866543095466</v>
      </c>
      <c r="CJ8">
        <v>0.4545727525486562</v>
      </c>
      <c r="CK8">
        <v>0.88326256357441713</v>
      </c>
      <c r="CL8">
        <v>0.10110273627537369</v>
      </c>
      <c r="CM8">
        <v>1.1923759554558556E-2</v>
      </c>
      <c r="CN8">
        <v>0.88468007245154001</v>
      </c>
      <c r="CO8">
        <v>0.10609433334458312</v>
      </c>
      <c r="CP8">
        <v>9.2255942038767941E-3</v>
      </c>
    </row>
    <row r="9" spans="1:94" x14ac:dyDescent="0.15">
      <c r="A9" t="s">
        <v>434</v>
      </c>
      <c r="B9" t="s">
        <v>430</v>
      </c>
      <c r="C9" t="s">
        <v>435</v>
      </c>
      <c r="D9">
        <v>173.5569675625579</v>
      </c>
      <c r="E9">
        <v>89.72147544022242</v>
      </c>
      <c r="F9">
        <v>26.805086190917514</v>
      </c>
      <c r="G9">
        <v>27.202787766450417</v>
      </c>
      <c r="H9">
        <v>0.5169569202566453</v>
      </c>
      <c r="I9">
        <v>0.15444546287809349</v>
      </c>
      <c r="J9">
        <v>0.15673693858845097</v>
      </c>
      <c r="K9">
        <v>403.66709916589434</v>
      </c>
      <c r="L9">
        <v>55.519139944392954</v>
      </c>
      <c r="M9">
        <v>148.50176830398516</v>
      </c>
      <c r="N9">
        <v>194.4760704355885</v>
      </c>
      <c r="O9">
        <v>0.13753694581280787</v>
      </c>
      <c r="P9">
        <v>0.36788177339901473</v>
      </c>
      <c r="Q9">
        <v>0.48177339901477828</v>
      </c>
      <c r="R9">
        <v>403.66709916589434</v>
      </c>
      <c r="S9">
        <v>44.30395551436515</v>
      </c>
      <c r="T9">
        <v>30.941182576459681</v>
      </c>
      <c r="U9">
        <v>19.407836886005558</v>
      </c>
      <c r="V9">
        <v>0.95448378127896194</v>
      </c>
      <c r="W9">
        <v>95.60745875810936</v>
      </c>
      <c r="X9">
        <v>193.68066728452268</v>
      </c>
      <c r="Y9">
        <v>19.885078776645042</v>
      </c>
      <c r="Z9">
        <v>17.498869323447636</v>
      </c>
      <c r="AA9">
        <v>11.374265060240964</v>
      </c>
      <c r="AB9">
        <v>0.15908063021316032</v>
      </c>
      <c r="AC9">
        <v>48.917293790546807</v>
      </c>
      <c r="AD9">
        <v>209.98643188137163</v>
      </c>
      <c r="AE9">
        <v>24.418876737720108</v>
      </c>
      <c r="AF9">
        <v>13.442313253012047</v>
      </c>
      <c r="AG9">
        <v>8.0335718257645965</v>
      </c>
      <c r="AH9">
        <v>0.79540315106580162</v>
      </c>
      <c r="AI9">
        <v>46.690164967562552</v>
      </c>
      <c r="AJ9">
        <v>0.23684729064039409</v>
      </c>
      <c r="AK9">
        <v>0.32362728785357736</v>
      </c>
      <c r="AL9">
        <v>0.20299500831946754</v>
      </c>
      <c r="AM9">
        <v>9.9833610648918467E-3</v>
      </c>
      <c r="AN9">
        <v>0.51164725457570726</v>
      </c>
      <c r="AO9">
        <v>0.4883527454242928</v>
      </c>
      <c r="AP9">
        <v>212.9294235403151</v>
      </c>
      <c r="AQ9">
        <v>20.20324003707136</v>
      </c>
      <c r="AR9">
        <v>0</v>
      </c>
      <c r="AS9">
        <v>0</v>
      </c>
      <c r="AT9">
        <v>22.032667284522706</v>
      </c>
      <c r="AU9">
        <v>11.294724745134383</v>
      </c>
      <c r="AV9">
        <v>0.55678220574606119</v>
      </c>
      <c r="AW9">
        <v>0.23862094531974049</v>
      </c>
      <c r="AX9">
        <v>7.3177089898053751</v>
      </c>
      <c r="AY9">
        <v>30.30486005560704</v>
      </c>
      <c r="AZ9">
        <v>3.2611529193697866</v>
      </c>
      <c r="BA9">
        <v>2.3066691380908249</v>
      </c>
      <c r="BB9">
        <v>3.977015755329008</v>
      </c>
      <c r="BC9">
        <v>18.135191844300277</v>
      </c>
      <c r="BD9">
        <v>6.0450639481000925</v>
      </c>
      <c r="BE9">
        <v>14.476337349397589</v>
      </c>
      <c r="BF9">
        <v>36.906706209453198</v>
      </c>
      <c r="BG9">
        <v>6.4427655236329935</v>
      </c>
      <c r="BH9">
        <v>11.215184430027803</v>
      </c>
      <c r="BI9">
        <v>18.055651529193696</v>
      </c>
      <c r="BJ9">
        <v>9.4882330967500927E-2</v>
      </c>
      <c r="BK9">
        <v>0</v>
      </c>
      <c r="BL9">
        <v>0</v>
      </c>
      <c r="BM9">
        <v>0.10347403810235338</v>
      </c>
      <c r="BN9">
        <v>5.304445274561076E-2</v>
      </c>
      <c r="BO9">
        <v>2.6148673888681364E-3</v>
      </c>
      <c r="BP9">
        <v>1.1206574523720582E-3</v>
      </c>
      <c r="BQ9">
        <v>3.436682853940979E-2</v>
      </c>
      <c r="BR9">
        <v>0.14232349645125139</v>
      </c>
      <c r="BS9">
        <v>1.5315651849084795E-2</v>
      </c>
      <c r="BT9">
        <v>1.0833022039596563E-2</v>
      </c>
      <c r="BU9">
        <v>1.867762420620097E-2</v>
      </c>
      <c r="BV9">
        <v>8.5169966380276421E-2</v>
      </c>
      <c r="BW9">
        <v>2.8389988793425476E-2</v>
      </c>
      <c r="BX9">
        <v>6.798655211057153E-2</v>
      </c>
      <c r="BY9">
        <v>0.17332835263354501</v>
      </c>
      <c r="BZ9">
        <v>3.0257751214045576E-2</v>
      </c>
      <c r="CA9">
        <v>5.2670900261486735E-2</v>
      </c>
      <c r="CB9">
        <v>8.4796413896152403E-2</v>
      </c>
      <c r="CC9">
        <v>212.9294235403151</v>
      </c>
      <c r="CD9">
        <v>188.0333049119555</v>
      </c>
      <c r="CE9">
        <v>21.555425393883223</v>
      </c>
      <c r="CF9">
        <v>2.5452900834105652</v>
      </c>
      <c r="CG9">
        <v>17.180708063021314</v>
      </c>
      <c r="CH9">
        <v>15.19220018535681</v>
      </c>
      <c r="CI9">
        <v>1.8294272474513438</v>
      </c>
      <c r="CJ9">
        <v>0.15908063021316032</v>
      </c>
      <c r="CK9">
        <v>0.88307807246918191</v>
      </c>
      <c r="CL9">
        <v>0.10123272319760926</v>
      </c>
      <c r="CM9">
        <v>1.195367949196862E-2</v>
      </c>
      <c r="CN9">
        <v>0.8842592592592593</v>
      </c>
      <c r="CO9">
        <v>0.1064814814814815</v>
      </c>
      <c r="CP9">
        <v>9.2592592592592605E-3</v>
      </c>
    </row>
    <row r="10" spans="1:94" x14ac:dyDescent="0.15">
      <c r="A10" t="s">
        <v>436</v>
      </c>
      <c r="B10" t="s">
        <v>430</v>
      </c>
      <c r="C10" t="s">
        <v>437</v>
      </c>
      <c r="D10">
        <v>218.9529363449692</v>
      </c>
      <c r="E10">
        <v>173.04344969199178</v>
      </c>
      <c r="F10">
        <v>52.383901437371662</v>
      </c>
      <c r="G10">
        <v>36.492156057494867</v>
      </c>
      <c r="H10">
        <v>0.79032258064516125</v>
      </c>
      <c r="I10">
        <v>0.23924731182795697</v>
      </c>
      <c r="J10">
        <v>0.16666666666666666</v>
      </c>
      <c r="K10">
        <v>751.62069815195071</v>
      </c>
      <c r="L10">
        <v>135.96271047227927</v>
      </c>
      <c r="M10">
        <v>251.32501026694047</v>
      </c>
      <c r="N10">
        <v>361.39006160164274</v>
      </c>
      <c r="O10">
        <v>0.18089271730618639</v>
      </c>
      <c r="P10">
        <v>0.33437744714173845</v>
      </c>
      <c r="Q10">
        <v>0.48081440877055603</v>
      </c>
      <c r="R10">
        <v>751.62069815195071</v>
      </c>
      <c r="S10">
        <v>113.59655030800822</v>
      </c>
      <c r="T10">
        <v>40.023655030800825</v>
      </c>
      <c r="U10">
        <v>22.954743326488707</v>
      </c>
      <c r="V10">
        <v>0</v>
      </c>
      <c r="W10">
        <v>176.57494866529777</v>
      </c>
      <c r="X10">
        <v>339.61248459958932</v>
      </c>
      <c r="Y10">
        <v>45.320903490759754</v>
      </c>
      <c r="Z10">
        <v>15.303162217659139</v>
      </c>
      <c r="AA10">
        <v>10.005913757700206</v>
      </c>
      <c r="AB10">
        <v>0</v>
      </c>
      <c r="AC10">
        <v>70.629979466119096</v>
      </c>
      <c r="AD10">
        <v>412.00821355236144</v>
      </c>
      <c r="AE10">
        <v>68.275646817248457</v>
      </c>
      <c r="AF10">
        <v>24.720492813141686</v>
      </c>
      <c r="AG10">
        <v>12.948829568788501</v>
      </c>
      <c r="AH10">
        <v>0</v>
      </c>
      <c r="AI10">
        <v>105.94496919917864</v>
      </c>
      <c r="AJ10">
        <v>0.23492560689115116</v>
      </c>
      <c r="AK10">
        <v>0.22666666666666666</v>
      </c>
      <c r="AL10">
        <v>0.12999999999999998</v>
      </c>
      <c r="AM10">
        <v>0</v>
      </c>
      <c r="AN10">
        <v>0.39999999999999991</v>
      </c>
      <c r="AO10">
        <v>0.59999999999999987</v>
      </c>
      <c r="AP10">
        <v>304.2974948665298</v>
      </c>
      <c r="AQ10">
        <v>70.629979466119096</v>
      </c>
      <c r="AR10">
        <v>0</v>
      </c>
      <c r="AS10">
        <v>0</v>
      </c>
      <c r="AT10">
        <v>34.726406570841888</v>
      </c>
      <c r="AU10">
        <v>10.005913757700206</v>
      </c>
      <c r="AV10">
        <v>1.7657494866529775</v>
      </c>
      <c r="AW10">
        <v>1.1771663244353183</v>
      </c>
      <c r="AX10">
        <v>5.8858316221765916</v>
      </c>
      <c r="AY10">
        <v>22.366160164271047</v>
      </c>
      <c r="AZ10">
        <v>1.1771663244353183</v>
      </c>
      <c r="BA10">
        <v>4.1200821355236137</v>
      </c>
      <c r="BB10">
        <v>7.0629979466119099</v>
      </c>
      <c r="BC10">
        <v>25.897659137577001</v>
      </c>
      <c r="BD10">
        <v>2.3543326488706366</v>
      </c>
      <c r="BE10">
        <v>8.2401642710472274</v>
      </c>
      <c r="BF10">
        <v>67.098480492813138</v>
      </c>
      <c r="BG10">
        <v>13.53741273100616</v>
      </c>
      <c r="BH10">
        <v>12.948829568788501</v>
      </c>
      <c r="BI10">
        <v>14.714579055441479</v>
      </c>
      <c r="BJ10">
        <v>0.23210831721470018</v>
      </c>
      <c r="BK10">
        <v>0</v>
      </c>
      <c r="BL10">
        <v>0</v>
      </c>
      <c r="BM10">
        <v>0.11411992263056092</v>
      </c>
      <c r="BN10">
        <v>3.2882011605415859E-2</v>
      </c>
      <c r="BO10">
        <v>5.8027079303675042E-3</v>
      </c>
      <c r="BP10">
        <v>3.8684719535783361E-3</v>
      </c>
      <c r="BQ10">
        <v>1.9342359767891681E-2</v>
      </c>
      <c r="BR10">
        <v>7.3500967117988383E-2</v>
      </c>
      <c r="BS10">
        <v>3.8684719535783361E-3</v>
      </c>
      <c r="BT10">
        <v>1.3539651837524177E-2</v>
      </c>
      <c r="BU10">
        <v>2.3210831721470017E-2</v>
      </c>
      <c r="BV10">
        <v>8.5106382978723388E-2</v>
      </c>
      <c r="BW10">
        <v>7.7369439071566723E-3</v>
      </c>
      <c r="BX10">
        <v>2.7079303675048353E-2</v>
      </c>
      <c r="BY10">
        <v>0.22050290135396516</v>
      </c>
      <c r="BZ10">
        <v>4.4487427466150864E-2</v>
      </c>
      <c r="CA10">
        <v>4.2553191489361694E-2</v>
      </c>
      <c r="CB10">
        <v>4.8355899419729204E-2</v>
      </c>
      <c r="CC10">
        <v>304.2974948665298</v>
      </c>
      <c r="CD10">
        <v>269.5710882956879</v>
      </c>
      <c r="CE10">
        <v>30.606324435318278</v>
      </c>
      <c r="CF10">
        <v>2.9429158110882958</v>
      </c>
      <c r="CG10">
        <v>11.183080082135524</v>
      </c>
      <c r="CH10">
        <v>8.2401642710472274</v>
      </c>
      <c r="CI10">
        <v>2.9429158110882958</v>
      </c>
      <c r="CJ10">
        <v>0</v>
      </c>
      <c r="CK10">
        <v>0.88588007736943908</v>
      </c>
      <c r="CL10">
        <v>0.10058027079303675</v>
      </c>
      <c r="CM10">
        <v>9.6711798839458404E-3</v>
      </c>
      <c r="CN10">
        <v>0.73684210526315785</v>
      </c>
      <c r="CO10">
        <v>0.26315789473684209</v>
      </c>
      <c r="CP10">
        <v>0</v>
      </c>
    </row>
    <row r="11" spans="1:94" x14ac:dyDescent="0.15">
      <c r="A11" t="s">
        <v>438</v>
      </c>
      <c r="B11" t="s">
        <v>430</v>
      </c>
      <c r="C11" t="s">
        <v>439</v>
      </c>
      <c r="D11">
        <v>152.00821355236141</v>
      </c>
      <c r="E11">
        <v>120.13552361396304</v>
      </c>
      <c r="F11">
        <v>36.367556468172488</v>
      </c>
      <c r="G11">
        <v>25.3347022587269</v>
      </c>
      <c r="H11">
        <v>0.79032258064516125</v>
      </c>
      <c r="I11">
        <v>0.239247311827957</v>
      </c>
      <c r="J11">
        <v>0.16666666666666666</v>
      </c>
      <c r="K11">
        <v>521.81314168377821</v>
      </c>
      <c r="L11">
        <v>94.392197125256672</v>
      </c>
      <c r="M11">
        <v>174.48254620123203</v>
      </c>
      <c r="N11">
        <v>250.89527720739221</v>
      </c>
      <c r="O11">
        <v>0.18089271730618639</v>
      </c>
      <c r="P11">
        <v>0.33437744714173845</v>
      </c>
      <c r="Q11">
        <v>0.48081440877055603</v>
      </c>
      <c r="R11">
        <v>521.81314168377821</v>
      </c>
      <c r="S11">
        <v>78.864476386036955</v>
      </c>
      <c r="T11">
        <v>27.786447638603697</v>
      </c>
      <c r="U11">
        <v>15.93634496919918</v>
      </c>
      <c r="V11">
        <v>0</v>
      </c>
      <c r="W11">
        <v>122.58726899383984</v>
      </c>
      <c r="X11">
        <v>235.77618069815196</v>
      </c>
      <c r="Y11">
        <v>31.464065708418893</v>
      </c>
      <c r="Z11">
        <v>10.624229979466119</v>
      </c>
      <c r="AA11">
        <v>6.9466119096509242</v>
      </c>
      <c r="AB11">
        <v>0</v>
      </c>
      <c r="AC11">
        <v>49.034907597535934</v>
      </c>
      <c r="AD11">
        <v>286.03696098562631</v>
      </c>
      <c r="AE11">
        <v>47.400410677618069</v>
      </c>
      <c r="AF11">
        <v>17.162217659137578</v>
      </c>
      <c r="AG11">
        <v>8.9897330595482554</v>
      </c>
      <c r="AH11">
        <v>0</v>
      </c>
      <c r="AI11">
        <v>73.552361396303908</v>
      </c>
      <c r="AJ11">
        <v>0.23492560689115116</v>
      </c>
      <c r="AK11">
        <v>0.22666666666666666</v>
      </c>
      <c r="AL11">
        <v>0.13</v>
      </c>
      <c r="AM11">
        <v>0</v>
      </c>
      <c r="AN11">
        <v>0.39999999999999997</v>
      </c>
      <c r="AO11">
        <v>0.6</v>
      </c>
      <c r="AP11">
        <v>211.25872689938399</v>
      </c>
      <c r="AQ11">
        <v>49.034907597535934</v>
      </c>
      <c r="AR11">
        <v>0</v>
      </c>
      <c r="AS11">
        <v>0</v>
      </c>
      <c r="AT11">
        <v>24.108829568788501</v>
      </c>
      <c r="AU11">
        <v>6.9466119096509242</v>
      </c>
      <c r="AV11">
        <v>1.2258726899383983</v>
      </c>
      <c r="AW11">
        <v>0.81724845995893225</v>
      </c>
      <c r="AX11">
        <v>4.0862422997946615</v>
      </c>
      <c r="AY11">
        <v>15.527720739219713</v>
      </c>
      <c r="AZ11">
        <v>0.81724845995893225</v>
      </c>
      <c r="BA11">
        <v>2.8603696098562628</v>
      </c>
      <c r="BB11">
        <v>4.9034907597535931</v>
      </c>
      <c r="BC11">
        <v>17.979466119096511</v>
      </c>
      <c r="BD11">
        <v>1.6344969199178645</v>
      </c>
      <c r="BE11">
        <v>5.7207392197125255</v>
      </c>
      <c r="BF11">
        <v>46.583162217659137</v>
      </c>
      <c r="BG11">
        <v>9.3983572895277216</v>
      </c>
      <c r="BH11">
        <v>8.9897330595482554</v>
      </c>
      <c r="BI11">
        <v>10.215605749486652</v>
      </c>
      <c r="BJ11">
        <v>0.23210831721470018</v>
      </c>
      <c r="BK11">
        <v>0</v>
      </c>
      <c r="BL11">
        <v>0</v>
      </c>
      <c r="BM11">
        <v>0.11411992263056092</v>
      </c>
      <c r="BN11">
        <v>3.2882011605415859E-2</v>
      </c>
      <c r="BO11">
        <v>5.8027079303675042E-3</v>
      </c>
      <c r="BP11">
        <v>3.8684719535783366E-3</v>
      </c>
      <c r="BQ11">
        <v>1.9342359767891684E-2</v>
      </c>
      <c r="BR11">
        <v>7.3500967117988397E-2</v>
      </c>
      <c r="BS11">
        <v>3.8684719535783366E-3</v>
      </c>
      <c r="BT11">
        <v>1.3539651837524178E-2</v>
      </c>
      <c r="BU11">
        <v>2.3210831721470017E-2</v>
      </c>
      <c r="BV11">
        <v>8.5106382978723416E-2</v>
      </c>
      <c r="BW11">
        <v>7.7369439071566732E-3</v>
      </c>
      <c r="BX11">
        <v>2.7079303675048357E-2</v>
      </c>
      <c r="BY11">
        <v>0.22050290135396516</v>
      </c>
      <c r="BZ11">
        <v>4.4487427466150871E-2</v>
      </c>
      <c r="CA11">
        <v>4.2553191489361708E-2</v>
      </c>
      <c r="CB11">
        <v>4.8355899419729204E-2</v>
      </c>
      <c r="CC11">
        <v>211.25872689938399</v>
      </c>
      <c r="CD11">
        <v>187.14989733059548</v>
      </c>
      <c r="CE11">
        <v>21.248459958932237</v>
      </c>
      <c r="CF11">
        <v>2.0431211498973307</v>
      </c>
      <c r="CG11">
        <v>7.7638603696098567</v>
      </c>
      <c r="CH11">
        <v>5.7207392197125255</v>
      </c>
      <c r="CI11">
        <v>2.0431211498973307</v>
      </c>
      <c r="CJ11">
        <v>0</v>
      </c>
      <c r="CK11">
        <v>0.88588007736943908</v>
      </c>
      <c r="CL11">
        <v>0.10058027079303675</v>
      </c>
      <c r="CM11">
        <v>9.6711798839458421E-3</v>
      </c>
      <c r="CN11">
        <v>0.73684210526315785</v>
      </c>
      <c r="CO11">
        <v>0.26315789473684209</v>
      </c>
      <c r="CP11">
        <v>0</v>
      </c>
    </row>
    <row r="12" spans="1:94" x14ac:dyDescent="0.15">
      <c r="A12" t="s">
        <v>440</v>
      </c>
      <c r="B12" t="s">
        <v>430</v>
      </c>
      <c r="C12" t="s">
        <v>441</v>
      </c>
      <c r="D12">
        <v>171.8197881355932</v>
      </c>
      <c r="E12">
        <v>148.97669491525423</v>
      </c>
      <c r="F12">
        <v>37.740762711864406</v>
      </c>
      <c r="G12">
        <v>33.768050847457623</v>
      </c>
      <c r="H12">
        <v>0.86705202312138729</v>
      </c>
      <c r="I12">
        <v>0.21965317919075147</v>
      </c>
      <c r="J12">
        <v>0.19653179190751444</v>
      </c>
      <c r="K12">
        <v>402.23707627118642</v>
      </c>
      <c r="L12">
        <v>124.14724576271186</v>
      </c>
      <c r="M12">
        <v>43.699830508474577</v>
      </c>
      <c r="N12">
        <v>234.39</v>
      </c>
      <c r="O12">
        <v>0.30864197530864196</v>
      </c>
      <c r="P12">
        <v>0.10864197530864197</v>
      </c>
      <c r="Q12">
        <v>0.58271604938271604</v>
      </c>
      <c r="R12">
        <v>402.23707627118642</v>
      </c>
      <c r="S12">
        <v>6.9522457627118639</v>
      </c>
      <c r="T12">
        <v>7.9454237288135587</v>
      </c>
      <c r="U12">
        <v>8.9386016949152527</v>
      </c>
      <c r="V12">
        <v>0</v>
      </c>
      <c r="W12">
        <v>23.836271186440676</v>
      </c>
      <c r="X12">
        <v>187.71063559322033</v>
      </c>
      <c r="Y12">
        <v>3.9727118644067794</v>
      </c>
      <c r="Z12">
        <v>4.9658898305084742</v>
      </c>
      <c r="AA12">
        <v>5.9590677966101691</v>
      </c>
      <c r="AB12">
        <v>0</v>
      </c>
      <c r="AC12">
        <v>14.897669491525422</v>
      </c>
      <c r="AD12">
        <v>214.52644067796609</v>
      </c>
      <c r="AE12">
        <v>2.9795338983050845</v>
      </c>
      <c r="AF12">
        <v>2.9795338983050845</v>
      </c>
      <c r="AG12">
        <v>2.9795338983050845</v>
      </c>
      <c r="AH12">
        <v>0</v>
      </c>
      <c r="AI12">
        <v>8.9386016949152527</v>
      </c>
      <c r="AJ12">
        <v>5.9259259259259255E-2</v>
      </c>
      <c r="AK12">
        <v>0.33333333333333331</v>
      </c>
      <c r="AL12">
        <v>0.37499999999999994</v>
      </c>
      <c r="AM12">
        <v>0</v>
      </c>
      <c r="AN12">
        <v>0.625</v>
      </c>
      <c r="AO12">
        <v>0.37499999999999994</v>
      </c>
      <c r="AP12">
        <v>202.60830508474575</v>
      </c>
      <c r="AQ12">
        <v>51.645254237288128</v>
      </c>
      <c r="AR12">
        <v>3.9727118644067794</v>
      </c>
      <c r="AS12">
        <v>0.99317796610169484</v>
      </c>
      <c r="AT12">
        <v>29.795338983050847</v>
      </c>
      <c r="AU12">
        <v>11.918135593220338</v>
      </c>
      <c r="AV12">
        <v>0</v>
      </c>
      <c r="AW12">
        <v>0</v>
      </c>
      <c r="AX12">
        <v>4.9658898305084742</v>
      </c>
      <c r="AY12">
        <v>18.870381355932203</v>
      </c>
      <c r="AZ12">
        <v>1.9863559322033897</v>
      </c>
      <c r="BA12">
        <v>0.99317796610169484</v>
      </c>
      <c r="BB12">
        <v>3.9727118644067794</v>
      </c>
      <c r="BC12">
        <v>6.9522457627118639</v>
      </c>
      <c r="BD12">
        <v>4.9658898305084742</v>
      </c>
      <c r="BE12">
        <v>3.9727118644067794</v>
      </c>
      <c r="BF12">
        <v>25.822627118644064</v>
      </c>
      <c r="BG12">
        <v>6.9522457627118639</v>
      </c>
      <c r="BH12">
        <v>18.870381355932203</v>
      </c>
      <c r="BI12">
        <v>3.9727118644067794</v>
      </c>
      <c r="BJ12">
        <v>0.25490196078431371</v>
      </c>
      <c r="BK12">
        <v>1.9607843137254902E-2</v>
      </c>
      <c r="BL12">
        <v>4.9019607843137254E-3</v>
      </c>
      <c r="BM12">
        <v>0.14705882352941177</v>
      </c>
      <c r="BN12">
        <v>5.8823529411764705E-2</v>
      </c>
      <c r="BO12">
        <v>0</v>
      </c>
      <c r="BP12">
        <v>0</v>
      </c>
      <c r="BQ12">
        <v>2.4509803921568627E-2</v>
      </c>
      <c r="BR12">
        <v>9.3137254901960786E-2</v>
      </c>
      <c r="BS12">
        <v>9.8039215686274508E-3</v>
      </c>
      <c r="BT12">
        <v>4.9019607843137254E-3</v>
      </c>
      <c r="BU12">
        <v>1.9607843137254902E-2</v>
      </c>
      <c r="BV12">
        <v>3.4313725490196074E-2</v>
      </c>
      <c r="BW12">
        <v>2.4509803921568627E-2</v>
      </c>
      <c r="BX12">
        <v>1.9607843137254902E-2</v>
      </c>
      <c r="BY12">
        <v>0.12745098039215685</v>
      </c>
      <c r="BZ12">
        <v>3.4313725490196074E-2</v>
      </c>
      <c r="CA12">
        <v>9.3137254901960786E-2</v>
      </c>
      <c r="CB12">
        <v>1.9607843137254902E-2</v>
      </c>
      <c r="CC12">
        <v>202.60830508474575</v>
      </c>
      <c r="CD12">
        <v>184.73110169491525</v>
      </c>
      <c r="CE12">
        <v>15.890847457627117</v>
      </c>
      <c r="CF12">
        <v>1.9863559322033897</v>
      </c>
      <c r="CG12">
        <v>0.99317796610169484</v>
      </c>
      <c r="CH12">
        <v>0.99317796610169484</v>
      </c>
      <c r="CI12">
        <v>0</v>
      </c>
      <c r="CJ12">
        <v>0</v>
      </c>
      <c r="CK12">
        <v>0.91176470588235303</v>
      </c>
      <c r="CL12">
        <v>7.8431372549019607E-2</v>
      </c>
      <c r="CM12">
        <v>9.8039215686274508E-3</v>
      </c>
      <c r="CN12">
        <v>1</v>
      </c>
      <c r="CO12">
        <v>0</v>
      </c>
      <c r="CP12">
        <v>0</v>
      </c>
    </row>
    <row r="13" spans="1:94" x14ac:dyDescent="0.15">
      <c r="A13" t="s">
        <v>442</v>
      </c>
      <c r="B13" t="s">
        <v>430</v>
      </c>
      <c r="C13" t="s">
        <v>443</v>
      </c>
      <c r="D13">
        <v>304.75426278836511</v>
      </c>
      <c r="E13">
        <v>240.72216649949848</v>
      </c>
      <c r="F13">
        <v>55.847542627883648</v>
      </c>
      <c r="G13">
        <v>51.995987963891672</v>
      </c>
      <c r="H13">
        <v>0.78988941548183245</v>
      </c>
      <c r="I13">
        <v>0.18325434439178512</v>
      </c>
      <c r="J13">
        <v>0.17061611374407581</v>
      </c>
      <c r="K13">
        <v>879.11735205616844</v>
      </c>
      <c r="L13">
        <v>251.79538615847542</v>
      </c>
      <c r="M13">
        <v>131.91574724172517</v>
      </c>
      <c r="N13">
        <v>491.55466399197587</v>
      </c>
      <c r="O13">
        <v>0.28641840087623222</v>
      </c>
      <c r="P13">
        <v>0.15005476451259583</v>
      </c>
      <c r="Q13">
        <v>0.55914567360350487</v>
      </c>
      <c r="R13">
        <v>879.11735205616844</v>
      </c>
      <c r="S13">
        <v>40.441323971915743</v>
      </c>
      <c r="T13">
        <v>19.257773319959878</v>
      </c>
      <c r="U13">
        <v>17.813440320962886</v>
      </c>
      <c r="V13">
        <v>0.96288866599799394</v>
      </c>
      <c r="W13">
        <v>78.475426278836494</v>
      </c>
      <c r="X13">
        <v>439.07723169508523</v>
      </c>
      <c r="Y13">
        <v>20.220661985957872</v>
      </c>
      <c r="Z13">
        <v>7.2216649949849545</v>
      </c>
      <c r="AA13">
        <v>10.110330992978936</v>
      </c>
      <c r="AB13">
        <v>0.48144433299899697</v>
      </c>
      <c r="AC13">
        <v>38.034102306920758</v>
      </c>
      <c r="AD13">
        <v>440.04012036108321</v>
      </c>
      <c r="AE13">
        <v>20.220661985957872</v>
      </c>
      <c r="AF13">
        <v>12.036108324974924</v>
      </c>
      <c r="AG13">
        <v>7.7031093279839515</v>
      </c>
      <c r="AH13">
        <v>0.48144433299899697</v>
      </c>
      <c r="AI13">
        <v>40.441323971915743</v>
      </c>
      <c r="AJ13">
        <v>8.9266155531215766E-2</v>
      </c>
      <c r="AK13">
        <v>0.245398773006135</v>
      </c>
      <c r="AL13">
        <v>0.22699386503067487</v>
      </c>
      <c r="AM13">
        <v>1.226993865030675E-2</v>
      </c>
      <c r="AN13">
        <v>0.4846625766871166</v>
      </c>
      <c r="AO13">
        <v>0.51533742331288346</v>
      </c>
      <c r="AP13">
        <v>489.14744232698092</v>
      </c>
      <c r="AQ13">
        <v>173.80140421263792</v>
      </c>
      <c r="AR13">
        <v>0</v>
      </c>
      <c r="AS13">
        <v>0</v>
      </c>
      <c r="AT13">
        <v>52.477432296890669</v>
      </c>
      <c r="AU13">
        <v>25.035105315947842</v>
      </c>
      <c r="AV13">
        <v>1.9257773319959879</v>
      </c>
      <c r="AW13">
        <v>0</v>
      </c>
      <c r="AX13">
        <v>11.554663991975927</v>
      </c>
      <c r="AY13">
        <v>46.218655967903707</v>
      </c>
      <c r="AZ13">
        <v>2.4072216649949847</v>
      </c>
      <c r="BA13">
        <v>3.3701103309929787</v>
      </c>
      <c r="BB13">
        <v>6.2587763289869605</v>
      </c>
      <c r="BC13">
        <v>23.109327983951854</v>
      </c>
      <c r="BD13">
        <v>10.591775325977933</v>
      </c>
      <c r="BE13">
        <v>10.591775325977933</v>
      </c>
      <c r="BF13">
        <v>64.032096288866597</v>
      </c>
      <c r="BG13">
        <v>21.664994984954863</v>
      </c>
      <c r="BH13">
        <v>21.664994984954863</v>
      </c>
      <c r="BI13">
        <v>13.961885656970912</v>
      </c>
      <c r="BJ13">
        <v>0.35531496062992129</v>
      </c>
      <c r="BK13">
        <v>0</v>
      </c>
      <c r="BL13">
        <v>0</v>
      </c>
      <c r="BM13">
        <v>0.10728346456692914</v>
      </c>
      <c r="BN13">
        <v>5.1181102362204724E-2</v>
      </c>
      <c r="BO13">
        <v>3.937007874015748E-3</v>
      </c>
      <c r="BP13">
        <v>0</v>
      </c>
      <c r="BQ13">
        <v>2.3622047244094488E-2</v>
      </c>
      <c r="BR13">
        <v>9.4488188976377951E-2</v>
      </c>
      <c r="BS13">
        <v>4.921259842519685E-3</v>
      </c>
      <c r="BT13">
        <v>6.889763779527559E-3</v>
      </c>
      <c r="BU13">
        <v>1.2795275590551181E-2</v>
      </c>
      <c r="BV13">
        <v>4.7244094488188976E-2</v>
      </c>
      <c r="BW13">
        <v>2.1653543307086614E-2</v>
      </c>
      <c r="BX13">
        <v>2.1653543307086614E-2</v>
      </c>
      <c r="BY13">
        <v>0.13090551181102361</v>
      </c>
      <c r="BZ13">
        <v>4.4291338582677163E-2</v>
      </c>
      <c r="CA13">
        <v>4.4291338582677163E-2</v>
      </c>
      <c r="CB13">
        <v>2.8543307086614175E-2</v>
      </c>
      <c r="CC13">
        <v>489.14744232698092</v>
      </c>
      <c r="CD13">
        <v>440.04012036108327</v>
      </c>
      <c r="CE13">
        <v>39.478435305917749</v>
      </c>
      <c r="CF13">
        <v>6.2587763289869605</v>
      </c>
      <c r="CG13">
        <v>26.479438314944833</v>
      </c>
      <c r="CH13">
        <v>24.553660982948845</v>
      </c>
      <c r="CI13">
        <v>1.9257773319959879</v>
      </c>
      <c r="CJ13">
        <v>0</v>
      </c>
      <c r="CK13">
        <v>0.89960629921259849</v>
      </c>
      <c r="CL13">
        <v>8.070866141732283E-2</v>
      </c>
      <c r="CM13">
        <v>1.2795275590551181E-2</v>
      </c>
      <c r="CN13">
        <v>0.92727272727272725</v>
      </c>
      <c r="CO13">
        <v>7.2727272727272724E-2</v>
      </c>
      <c r="CP13">
        <v>0</v>
      </c>
    </row>
    <row r="14" spans="1:94" x14ac:dyDescent="0.15">
      <c r="A14" t="s">
        <v>444</v>
      </c>
      <c r="B14" t="s">
        <v>430</v>
      </c>
      <c r="C14" t="s">
        <v>445</v>
      </c>
      <c r="D14">
        <v>129.8919809428285</v>
      </c>
      <c r="E14">
        <v>102.60030090270813</v>
      </c>
      <c r="F14">
        <v>23.803269809428283</v>
      </c>
      <c r="G14">
        <v>22.161664994984953</v>
      </c>
      <c r="H14">
        <v>0.78988941548183256</v>
      </c>
      <c r="I14">
        <v>0.18325434439178512</v>
      </c>
      <c r="J14">
        <v>0.17061611374407581</v>
      </c>
      <c r="K14">
        <v>374.69629889669005</v>
      </c>
      <c r="L14">
        <v>107.31991474423269</v>
      </c>
      <c r="M14">
        <v>56.224964894684049</v>
      </c>
      <c r="N14">
        <v>209.50981444332999</v>
      </c>
      <c r="O14">
        <v>0.28641840087623222</v>
      </c>
      <c r="P14">
        <v>0.15005476451259583</v>
      </c>
      <c r="Q14">
        <v>0.55914567360350498</v>
      </c>
      <c r="R14">
        <v>374.69629889669005</v>
      </c>
      <c r="S14">
        <v>17.236850551654964</v>
      </c>
      <c r="T14">
        <v>8.2080240722166504</v>
      </c>
      <c r="U14">
        <v>7.5924222668004013</v>
      </c>
      <c r="V14">
        <v>0.41040120361083249</v>
      </c>
      <c r="W14">
        <v>33.447698094282842</v>
      </c>
      <c r="X14">
        <v>187.14294884653961</v>
      </c>
      <c r="Y14">
        <v>8.618425275827482</v>
      </c>
      <c r="Z14">
        <v>3.0780090270812437</v>
      </c>
      <c r="AA14">
        <v>4.309212637913741</v>
      </c>
      <c r="AB14">
        <v>0.20520060180541624</v>
      </c>
      <c r="AC14">
        <v>16.210847542627882</v>
      </c>
      <c r="AD14">
        <v>187.55335005015044</v>
      </c>
      <c r="AE14">
        <v>8.618425275827482</v>
      </c>
      <c r="AF14">
        <v>5.1300150451354058</v>
      </c>
      <c r="AG14">
        <v>3.2832096288866599</v>
      </c>
      <c r="AH14">
        <v>0.20520060180541624</v>
      </c>
      <c r="AI14">
        <v>17.236850551654964</v>
      </c>
      <c r="AJ14">
        <v>8.9266155531215752E-2</v>
      </c>
      <c r="AK14">
        <v>0.24539877300613502</v>
      </c>
      <c r="AL14">
        <v>0.2269938650306749</v>
      </c>
      <c r="AM14">
        <v>1.226993865030675E-2</v>
      </c>
      <c r="AN14">
        <v>0.4846625766871166</v>
      </c>
      <c r="AO14">
        <v>0.51533742331288346</v>
      </c>
      <c r="AP14">
        <v>208.48381143430291</v>
      </c>
      <c r="AQ14">
        <v>74.077417251755264</v>
      </c>
      <c r="AR14">
        <v>0</v>
      </c>
      <c r="AS14">
        <v>0</v>
      </c>
      <c r="AT14">
        <v>22.366865596790369</v>
      </c>
      <c r="AU14">
        <v>10.670431293881645</v>
      </c>
      <c r="AV14">
        <v>0.82080240722166498</v>
      </c>
      <c r="AW14">
        <v>0</v>
      </c>
      <c r="AX14">
        <v>4.9248144433299901</v>
      </c>
      <c r="AY14">
        <v>19.69925777331996</v>
      </c>
      <c r="AZ14">
        <v>1.0260030090270813</v>
      </c>
      <c r="BA14">
        <v>1.4364042126379137</v>
      </c>
      <c r="BB14">
        <v>2.6676078234704113</v>
      </c>
      <c r="BC14">
        <v>9.8496288866599802</v>
      </c>
      <c r="BD14">
        <v>4.5144132397191576</v>
      </c>
      <c r="BE14">
        <v>4.5144132397191576</v>
      </c>
      <c r="BF14">
        <v>27.291680040120362</v>
      </c>
      <c r="BG14">
        <v>9.2340270812437311</v>
      </c>
      <c r="BH14">
        <v>9.2340270812437311</v>
      </c>
      <c r="BI14">
        <v>5.9508174523570707</v>
      </c>
      <c r="BJ14">
        <v>0.35531496062992124</v>
      </c>
      <c r="BK14">
        <v>0</v>
      </c>
      <c r="BL14">
        <v>0</v>
      </c>
      <c r="BM14">
        <v>0.10728346456692912</v>
      </c>
      <c r="BN14">
        <v>5.1181102362204724E-2</v>
      </c>
      <c r="BO14">
        <v>3.937007874015748E-3</v>
      </c>
      <c r="BP14">
        <v>0</v>
      </c>
      <c r="BQ14">
        <v>2.3622047244094488E-2</v>
      </c>
      <c r="BR14">
        <v>9.4488188976377951E-2</v>
      </c>
      <c r="BS14">
        <v>4.921259842519685E-3</v>
      </c>
      <c r="BT14">
        <v>6.889763779527559E-3</v>
      </c>
      <c r="BU14">
        <v>1.2795275590551181E-2</v>
      </c>
      <c r="BV14">
        <v>4.7244094488188976E-2</v>
      </c>
      <c r="BW14">
        <v>2.1653543307086614E-2</v>
      </c>
      <c r="BX14">
        <v>2.1653543307086614E-2</v>
      </c>
      <c r="BY14">
        <v>0.13090551181102361</v>
      </c>
      <c r="BZ14">
        <v>4.4291338582677163E-2</v>
      </c>
      <c r="CA14">
        <v>4.4291338582677163E-2</v>
      </c>
      <c r="CB14">
        <v>2.8543307086614171E-2</v>
      </c>
      <c r="CC14">
        <v>208.48381143430291</v>
      </c>
      <c r="CD14">
        <v>187.55335005015044</v>
      </c>
      <c r="CE14">
        <v>16.826449348044132</v>
      </c>
      <c r="CF14">
        <v>2.6676078234704113</v>
      </c>
      <c r="CG14">
        <v>11.286033099297894</v>
      </c>
      <c r="CH14">
        <v>10.465230692076229</v>
      </c>
      <c r="CI14">
        <v>0.82080240722166498</v>
      </c>
      <c r="CJ14">
        <v>0</v>
      </c>
      <c r="CK14">
        <v>0.89960629921259838</v>
      </c>
      <c r="CL14">
        <v>8.070866141732283E-2</v>
      </c>
      <c r="CM14">
        <v>1.2795275590551181E-2</v>
      </c>
      <c r="CN14">
        <v>0.92727272727272725</v>
      </c>
      <c r="CO14">
        <v>7.2727272727272724E-2</v>
      </c>
      <c r="CP14">
        <v>0</v>
      </c>
    </row>
    <row r="15" spans="1:94" x14ac:dyDescent="0.15">
      <c r="A15" t="s">
        <v>446</v>
      </c>
      <c r="B15" t="s">
        <v>430</v>
      </c>
      <c r="C15" t="s">
        <v>447</v>
      </c>
      <c r="D15">
        <v>110.15596790371113</v>
      </c>
      <c r="E15">
        <v>87.01103309929789</v>
      </c>
      <c r="F15">
        <v>20.18655967903711</v>
      </c>
      <c r="G15">
        <v>18.794383149448343</v>
      </c>
      <c r="H15">
        <v>0.78988941548183256</v>
      </c>
      <c r="I15">
        <v>0.18325434439178515</v>
      </c>
      <c r="J15">
        <v>0.17061611374407581</v>
      </c>
      <c r="K15">
        <v>317.7642928786359</v>
      </c>
      <c r="L15">
        <v>91.013540621865587</v>
      </c>
      <c r="M15">
        <v>47.682046138415245</v>
      </c>
      <c r="N15">
        <v>177.6765295887663</v>
      </c>
      <c r="O15">
        <v>0.28641840087623216</v>
      </c>
      <c r="P15">
        <v>0.15005476451259583</v>
      </c>
      <c r="Q15">
        <v>0.55914567360350498</v>
      </c>
      <c r="R15">
        <v>317.7642928786359</v>
      </c>
      <c r="S15">
        <v>14.617853560682045</v>
      </c>
      <c r="T15">
        <v>6.9608826479438317</v>
      </c>
      <c r="U15">
        <v>6.4388164493480442</v>
      </c>
      <c r="V15">
        <v>0.34804413239719156</v>
      </c>
      <c r="W15">
        <v>28.365596790371114</v>
      </c>
      <c r="X15">
        <v>158.70812437311935</v>
      </c>
      <c r="Y15">
        <v>7.3089267803410225</v>
      </c>
      <c r="Z15">
        <v>2.6103309929789367</v>
      </c>
      <c r="AA15">
        <v>3.6544633901705112</v>
      </c>
      <c r="AB15">
        <v>0.17402206619859578</v>
      </c>
      <c r="AC15">
        <v>13.747743229689066</v>
      </c>
      <c r="AD15">
        <v>159.05616850551655</v>
      </c>
      <c r="AE15">
        <v>7.3089267803410225</v>
      </c>
      <c r="AF15">
        <v>4.3505516549648942</v>
      </c>
      <c r="AG15">
        <v>2.7843530591775325</v>
      </c>
      <c r="AH15">
        <v>0.17402206619859578</v>
      </c>
      <c r="AI15">
        <v>14.617853560682047</v>
      </c>
      <c r="AJ15">
        <v>8.926615553121578E-2</v>
      </c>
      <c r="AK15">
        <v>0.24539877300613497</v>
      </c>
      <c r="AL15">
        <v>0.22699386503067484</v>
      </c>
      <c r="AM15">
        <v>1.2269938650306747E-2</v>
      </c>
      <c r="AN15">
        <v>0.48466257668711649</v>
      </c>
      <c r="AO15">
        <v>0.51533742331288346</v>
      </c>
      <c r="AP15">
        <v>176.80641925777331</v>
      </c>
      <c r="AQ15">
        <v>62.821965897693076</v>
      </c>
      <c r="AR15">
        <v>0</v>
      </c>
      <c r="AS15">
        <v>0</v>
      </c>
      <c r="AT15">
        <v>18.968405215646939</v>
      </c>
      <c r="AU15">
        <v>9.04914744232698</v>
      </c>
      <c r="AV15">
        <v>0.69608826479438313</v>
      </c>
      <c r="AW15">
        <v>0</v>
      </c>
      <c r="AX15">
        <v>4.1765295887662983</v>
      </c>
      <c r="AY15">
        <v>16.706118355065193</v>
      </c>
      <c r="AZ15">
        <v>0.87011033099297896</v>
      </c>
      <c r="BA15">
        <v>1.2181544633901704</v>
      </c>
      <c r="BB15">
        <v>2.262286860581745</v>
      </c>
      <c r="BC15">
        <v>8.3530591775325966</v>
      </c>
      <c r="BD15">
        <v>3.8284854563691071</v>
      </c>
      <c r="BE15">
        <v>3.8284854563691071</v>
      </c>
      <c r="BF15">
        <v>23.144934804413239</v>
      </c>
      <c r="BG15">
        <v>7.83099297893681</v>
      </c>
      <c r="BH15">
        <v>7.83099297893681</v>
      </c>
      <c r="BI15">
        <v>5.0466399197592775</v>
      </c>
      <c r="BJ15">
        <v>0.35531496062992124</v>
      </c>
      <c r="BK15">
        <v>0</v>
      </c>
      <c r="BL15">
        <v>0</v>
      </c>
      <c r="BM15">
        <v>0.10728346456692912</v>
      </c>
      <c r="BN15">
        <v>5.1181102362204724E-2</v>
      </c>
      <c r="BO15">
        <v>3.937007874015748E-3</v>
      </c>
      <c r="BP15">
        <v>0</v>
      </c>
      <c r="BQ15">
        <v>2.3622047244094484E-2</v>
      </c>
      <c r="BR15">
        <v>9.4488188976377938E-2</v>
      </c>
      <c r="BS15">
        <v>4.921259842519685E-3</v>
      </c>
      <c r="BT15">
        <v>6.889763779527559E-3</v>
      </c>
      <c r="BU15">
        <v>1.2795275590551181E-2</v>
      </c>
      <c r="BV15">
        <v>4.7244094488188969E-2</v>
      </c>
      <c r="BW15">
        <v>2.1653543307086614E-2</v>
      </c>
      <c r="BX15">
        <v>2.1653543307086614E-2</v>
      </c>
      <c r="BY15">
        <v>0.13090551181102361</v>
      </c>
      <c r="BZ15">
        <v>4.4291338582677163E-2</v>
      </c>
      <c r="CA15">
        <v>4.4291338582677163E-2</v>
      </c>
      <c r="CB15">
        <v>2.8543307086614171E-2</v>
      </c>
      <c r="CC15">
        <v>176.80641925777331</v>
      </c>
      <c r="CD15">
        <v>159.05616850551655</v>
      </c>
      <c r="CE15">
        <v>14.269809428284853</v>
      </c>
      <c r="CF15">
        <v>2.262286860581745</v>
      </c>
      <c r="CG15">
        <v>9.5712136409227675</v>
      </c>
      <c r="CH15">
        <v>8.8751253761283841</v>
      </c>
      <c r="CI15">
        <v>0.69608826479438313</v>
      </c>
      <c r="CJ15">
        <v>0</v>
      </c>
      <c r="CK15">
        <v>0.89960629921259849</v>
      </c>
      <c r="CL15">
        <v>8.070866141732283E-2</v>
      </c>
      <c r="CM15">
        <v>1.2795275590551181E-2</v>
      </c>
      <c r="CN15">
        <v>0.92727272727272725</v>
      </c>
      <c r="CO15">
        <v>7.2727272727272738E-2</v>
      </c>
      <c r="CP15">
        <v>0</v>
      </c>
    </row>
    <row r="16" spans="1:94" x14ac:dyDescent="0.15">
      <c r="A16" t="s">
        <v>448</v>
      </c>
      <c r="B16" t="s">
        <v>430</v>
      </c>
      <c r="C16" t="s">
        <v>449</v>
      </c>
      <c r="D16">
        <v>172.19778836509531</v>
      </c>
      <c r="E16">
        <v>141.66649949849551</v>
      </c>
      <c r="F16">
        <v>35.162627883650956</v>
      </c>
      <c r="G16">
        <v>25.047963891675028</v>
      </c>
      <c r="H16">
        <v>0.82269639374306547</v>
      </c>
      <c r="I16">
        <v>0.20419906792936757</v>
      </c>
      <c r="J16">
        <v>0.14546042739276133</v>
      </c>
      <c r="K16">
        <v>474.42205616850561</v>
      </c>
      <c r="L16">
        <v>167.87115847542628</v>
      </c>
      <c r="M16">
        <v>50.177241725175534</v>
      </c>
      <c r="N16">
        <v>255.25899197592784</v>
      </c>
      <c r="O16">
        <v>0.35384349503304219</v>
      </c>
      <c r="P16">
        <v>0.10576498514932775</v>
      </c>
      <c r="Q16">
        <v>0.53804200006515879</v>
      </c>
      <c r="R16">
        <v>474.42205616850561</v>
      </c>
      <c r="S16">
        <v>13.703971915747244</v>
      </c>
      <c r="T16">
        <v>7.5733199598796404</v>
      </c>
      <c r="U16">
        <v>7.1553209628886671</v>
      </c>
      <c r="V16">
        <v>0.27866599799398201</v>
      </c>
      <c r="W16">
        <v>28.711278836509535</v>
      </c>
      <c r="X16">
        <v>240.07169508525578</v>
      </c>
      <c r="Y16">
        <v>5.8519859578736222</v>
      </c>
      <c r="Z16">
        <v>3.0899949849548651</v>
      </c>
      <c r="AA16">
        <v>3.9259929789368111</v>
      </c>
      <c r="AB16">
        <v>0.139332998996991</v>
      </c>
      <c r="AC16">
        <v>13.007306920762289</v>
      </c>
      <c r="AD16">
        <v>234.35036108324977</v>
      </c>
      <c r="AE16">
        <v>7.8519859578736222</v>
      </c>
      <c r="AF16">
        <v>4.4833249749247752</v>
      </c>
      <c r="AG16">
        <v>3.2293279839518561</v>
      </c>
      <c r="AH16">
        <v>0.139332998996991</v>
      </c>
      <c r="AI16">
        <v>15.703971915747244</v>
      </c>
      <c r="AJ16">
        <v>6.051843177019544E-2</v>
      </c>
      <c r="AK16">
        <v>0.26377508306071462</v>
      </c>
      <c r="AL16">
        <v>0.24921637951528278</v>
      </c>
      <c r="AM16">
        <v>9.7058023636212142E-3</v>
      </c>
      <c r="AN16">
        <v>0.4530382291513283</v>
      </c>
      <c r="AO16">
        <v>0.54696177084867159</v>
      </c>
      <c r="AP16">
        <v>284.56232698094288</v>
      </c>
      <c r="AQ16">
        <v>122.29921263791375</v>
      </c>
      <c r="AR16">
        <v>0</v>
      </c>
      <c r="AS16">
        <v>0</v>
      </c>
      <c r="AT16">
        <v>32.187296890672016</v>
      </c>
      <c r="AU16">
        <v>18.245315947843533</v>
      </c>
      <c r="AV16">
        <v>0.55733199598796401</v>
      </c>
      <c r="AW16">
        <v>0</v>
      </c>
      <c r="AX16">
        <v>9.3439919759277839</v>
      </c>
      <c r="AY16">
        <v>22.375967903711135</v>
      </c>
      <c r="AZ16">
        <v>0.69666499498495504</v>
      </c>
      <c r="BA16">
        <v>1.9753309929789369</v>
      </c>
      <c r="BB16">
        <v>2.8113289869608833</v>
      </c>
      <c r="BC16">
        <v>8.6879839518555677</v>
      </c>
      <c r="BD16">
        <v>4.065325977933802</v>
      </c>
      <c r="BE16">
        <v>4.065325977933802</v>
      </c>
      <c r="BF16">
        <v>29.531288866599802</v>
      </c>
      <c r="BG16">
        <v>10.269984954864595</v>
      </c>
      <c r="BH16">
        <v>11.269984954864595</v>
      </c>
      <c r="BI16">
        <v>6.0406569709127389</v>
      </c>
      <c r="BJ16">
        <v>0.4297800553412825</v>
      </c>
      <c r="BK16">
        <v>0</v>
      </c>
      <c r="BL16">
        <v>0</v>
      </c>
      <c r="BM16">
        <v>0.11311158870593435</v>
      </c>
      <c r="BN16">
        <v>6.4117116771628804E-2</v>
      </c>
      <c r="BO16">
        <v>1.958558611397947E-3</v>
      </c>
      <c r="BP16">
        <v>0</v>
      </c>
      <c r="BQ16">
        <v>3.2836363390272495E-2</v>
      </c>
      <c r="BR16">
        <v>7.863292425637794E-2</v>
      </c>
      <c r="BS16">
        <v>2.4481982642474338E-3</v>
      </c>
      <c r="BT16">
        <v>6.9416461902605427E-3</v>
      </c>
      <c r="BU16">
        <v>9.8794841073574641E-3</v>
      </c>
      <c r="BV16">
        <v>3.0531040577403631E-2</v>
      </c>
      <c r="BW16">
        <v>1.4286240983002843E-2</v>
      </c>
      <c r="BX16">
        <v>1.4286240983002843E-2</v>
      </c>
      <c r="BY16">
        <v>0.10377792865243722</v>
      </c>
      <c r="BZ16">
        <v>3.6090458859483449E-2</v>
      </c>
      <c r="CA16">
        <v>3.960462747979758E-2</v>
      </c>
      <c r="CB16">
        <v>2.1227887173263387E-2</v>
      </c>
      <c r="CC16">
        <v>284.56232698094288</v>
      </c>
      <c r="CD16">
        <v>259.35036108324977</v>
      </c>
      <c r="CE16">
        <v>19.425305917753263</v>
      </c>
      <c r="CF16">
        <v>3.8113289869608833</v>
      </c>
      <c r="CG16">
        <v>10.663314944834505</v>
      </c>
      <c r="CH16">
        <v>9.1059829488465418</v>
      </c>
      <c r="CI16">
        <v>0.55733199598796401</v>
      </c>
      <c r="CJ16">
        <v>1</v>
      </c>
      <c r="CK16">
        <v>0.91140090058589673</v>
      </c>
      <c r="CL16">
        <v>6.8263800496171007E-2</v>
      </c>
      <c r="CM16">
        <v>1.3393652727671599E-2</v>
      </c>
      <c r="CN16">
        <v>0.85395423430287387</v>
      </c>
      <c r="CO16">
        <v>5.2266297944988042E-2</v>
      </c>
      <c r="CP16">
        <v>9.3779467752138121E-2</v>
      </c>
    </row>
    <row r="17" spans="1:94" x14ac:dyDescent="0.15">
      <c r="A17" t="s">
        <v>450</v>
      </c>
      <c r="B17" t="s">
        <v>430</v>
      </c>
      <c r="C17" t="s">
        <v>451</v>
      </c>
      <c r="D17">
        <v>170.61572300057833</v>
      </c>
      <c r="E17">
        <v>134.58669514765964</v>
      </c>
      <c r="F17">
        <v>33.176433222021153</v>
      </c>
      <c r="G17">
        <v>25.668159804488553</v>
      </c>
      <c r="H17">
        <v>0.78882938090766375</v>
      </c>
      <c r="I17">
        <v>0.19445120671503818</v>
      </c>
      <c r="J17">
        <v>0.15044428117801045</v>
      </c>
      <c r="K17">
        <v>512.22173591030355</v>
      </c>
      <c r="L17">
        <v>137.99038038915734</v>
      </c>
      <c r="M17">
        <v>105.28640766375017</v>
      </c>
      <c r="N17">
        <v>268.8826453743261</v>
      </c>
      <c r="O17">
        <v>0.26939579232014704</v>
      </c>
      <c r="P17">
        <v>0.20554849644683398</v>
      </c>
      <c r="Q17">
        <v>0.5249340793718501</v>
      </c>
      <c r="R17">
        <v>512.22173591030355</v>
      </c>
      <c r="S17">
        <v>31.285087215267804</v>
      </c>
      <c r="T17">
        <v>20.856724810178537</v>
      </c>
      <c r="U17">
        <v>14.247397533720129</v>
      </c>
      <c r="V17">
        <v>3.7411570247933885</v>
      </c>
      <c r="W17">
        <v>70.130366583959869</v>
      </c>
      <c r="X17">
        <v>246.13976643098334</v>
      </c>
      <c r="Y17">
        <v>11.353267914109285</v>
      </c>
      <c r="Z17">
        <v>9.4774975281234273</v>
      </c>
      <c r="AA17">
        <v>4.7906674999533614</v>
      </c>
      <c r="AB17">
        <v>2.8058677685950415</v>
      </c>
      <c r="AC17">
        <v>28.427300710781115</v>
      </c>
      <c r="AD17">
        <v>266.08196947932021</v>
      </c>
      <c r="AE17">
        <v>19.931819301158516</v>
      </c>
      <c r="AF17">
        <v>11.37922728205511</v>
      </c>
      <c r="AG17">
        <v>9.4567300337667675</v>
      </c>
      <c r="AH17">
        <v>0.93528925619834713</v>
      </c>
      <c r="AI17">
        <v>41.703065873178737</v>
      </c>
      <c r="AJ17">
        <v>0.1369140777661973</v>
      </c>
      <c r="AK17">
        <v>0.29739934105732824</v>
      </c>
      <c r="AL17">
        <v>0.20315589704872264</v>
      </c>
      <c r="AM17">
        <v>5.334575030795663E-2</v>
      </c>
      <c r="AN17">
        <v>0.40534938138029031</v>
      </c>
      <c r="AO17">
        <v>0.59465061861970947</v>
      </c>
      <c r="AP17">
        <v>269.76082402104362</v>
      </c>
      <c r="AQ17">
        <v>122.74539111616888</v>
      </c>
      <c r="AR17">
        <v>0.93528925619834713</v>
      </c>
      <c r="AS17">
        <v>0</v>
      </c>
      <c r="AT17">
        <v>17.198637762811785</v>
      </c>
      <c r="AU17">
        <v>13.265381415219299</v>
      </c>
      <c r="AV17">
        <v>1.0383747178329572E-2</v>
      </c>
      <c r="AW17">
        <v>5.191873589164786E-3</v>
      </c>
      <c r="AX17">
        <v>5.6896136410275551</v>
      </c>
      <c r="AY17">
        <v>19.96816241628267</v>
      </c>
      <c r="AZ17">
        <v>1.8809622595750239</v>
      </c>
      <c r="BA17">
        <v>3.7826920135067068</v>
      </c>
      <c r="BB17">
        <v>0.99759173926832456</v>
      </c>
      <c r="BC17">
        <v>1.9588403634124956</v>
      </c>
      <c r="BD17">
        <v>1.9328809954666717</v>
      </c>
      <c r="BE17">
        <v>6.6768216331175498</v>
      </c>
      <c r="BF17">
        <v>22.841524541536856</v>
      </c>
      <c r="BG17">
        <v>13.187503311381827</v>
      </c>
      <c r="BH17">
        <v>23.512028244687798</v>
      </c>
      <c r="BI17">
        <v>13.171927690614332</v>
      </c>
      <c r="BJ17">
        <v>0.45501562935096052</v>
      </c>
      <c r="BK17">
        <v>3.4671055724732908E-3</v>
      </c>
      <c r="BL17">
        <v>0</v>
      </c>
      <c r="BM17">
        <v>6.3755135035731311E-2</v>
      </c>
      <c r="BN17">
        <v>4.9174602959340334E-2</v>
      </c>
      <c r="BO17">
        <v>3.8492420891773199E-5</v>
      </c>
      <c r="BP17">
        <v>1.92462104458866E-5</v>
      </c>
      <c r="BQ17">
        <v>2.1091326591528046E-2</v>
      </c>
      <c r="BR17">
        <v>7.4021728280029966E-2</v>
      </c>
      <c r="BS17">
        <v>6.9727035658383556E-3</v>
      </c>
      <c r="BT17">
        <v>1.4022391973460257E-2</v>
      </c>
      <c r="BU17">
        <v>3.6980600978239299E-3</v>
      </c>
      <c r="BV17">
        <v>7.2613967225266538E-3</v>
      </c>
      <c r="BW17">
        <v>7.1651656702972208E-3</v>
      </c>
      <c r="BX17">
        <v>2.4750894268460201E-2</v>
      </c>
      <c r="BY17">
        <v>8.4673245733246374E-2</v>
      </c>
      <c r="BZ17">
        <v>4.8885909802652033E-2</v>
      </c>
      <c r="CA17">
        <v>8.7158794572979439E-2</v>
      </c>
      <c r="CB17">
        <v>4.8828171171314376E-2</v>
      </c>
      <c r="CC17">
        <v>269.76082402104362</v>
      </c>
      <c r="CD17">
        <v>245.12140719735837</v>
      </c>
      <c r="CE17">
        <v>10.501048635337575</v>
      </c>
      <c r="CF17">
        <v>14.127984441169337</v>
      </c>
      <c r="CG17">
        <v>13.177119564203498</v>
      </c>
      <c r="CH17">
        <v>13.156352069846838</v>
      </c>
      <c r="CI17">
        <v>2.0767494356659144E-2</v>
      </c>
      <c r="CJ17">
        <v>0</v>
      </c>
      <c r="CK17">
        <v>0.90866199006804937</v>
      </c>
      <c r="CL17">
        <v>3.8927255925487556E-2</v>
      </c>
      <c r="CM17">
        <v>5.2372261585571206E-2</v>
      </c>
      <c r="CN17">
        <v>0.99842397314105913</v>
      </c>
      <c r="CO17">
        <v>1.5760268589408107E-3</v>
      </c>
      <c r="CP17">
        <v>0</v>
      </c>
    </row>
    <row r="18" spans="1:94" x14ac:dyDescent="0.15">
      <c r="A18" t="s">
        <v>452</v>
      </c>
      <c r="B18" t="s">
        <v>430</v>
      </c>
      <c r="C18" t="s">
        <v>453</v>
      </c>
      <c r="D18">
        <v>205.72561983471076</v>
      </c>
      <c r="E18">
        <v>170.4613223140496</v>
      </c>
      <c r="F18">
        <v>45.085537190082647</v>
      </c>
      <c r="G18">
        <v>45.608842975206613</v>
      </c>
      <c r="H18">
        <v>0.82858577580665893</v>
      </c>
      <c r="I18">
        <v>0.21915373119938295</v>
      </c>
      <c r="J18">
        <v>0.22169743861678878</v>
      </c>
      <c r="K18">
        <v>495.23644628099174</v>
      </c>
      <c r="L18">
        <v>136.69966942148761</v>
      </c>
      <c r="M18">
        <v>84.614132231404966</v>
      </c>
      <c r="N18">
        <v>272.92264462809914</v>
      </c>
      <c r="O18">
        <v>0.27602909771290485</v>
      </c>
      <c r="P18">
        <v>0.1708560281999032</v>
      </c>
      <c r="Q18">
        <v>0.55109563659465766</v>
      </c>
      <c r="R18">
        <v>495.23644628099174</v>
      </c>
      <c r="S18">
        <v>21.966363636363635</v>
      </c>
      <c r="T18">
        <v>11.310909090909091</v>
      </c>
      <c r="U18">
        <v>15.893801652892561</v>
      </c>
      <c r="V18">
        <v>0.23834710743801651</v>
      </c>
      <c r="W18">
        <v>49.409421487603304</v>
      </c>
      <c r="X18">
        <v>238.49256198347106</v>
      </c>
      <c r="Y18">
        <v>9.7150413223140504</v>
      </c>
      <c r="Z18">
        <v>6.5958677685950411</v>
      </c>
      <c r="AA18">
        <v>7.297933884297521</v>
      </c>
      <c r="AB18">
        <v>0.17876033057851237</v>
      </c>
      <c r="AC18">
        <v>23.787603305785126</v>
      </c>
      <c r="AD18">
        <v>256.74388429752065</v>
      </c>
      <c r="AE18">
        <v>12.251322314049586</v>
      </c>
      <c r="AF18">
        <v>4.7150413223140495</v>
      </c>
      <c r="AG18">
        <v>8.595867768595042</v>
      </c>
      <c r="AH18">
        <v>5.9586776859504129E-2</v>
      </c>
      <c r="AI18">
        <v>25.621818181818181</v>
      </c>
      <c r="AJ18">
        <v>9.9769356352195734E-2</v>
      </c>
      <c r="AK18">
        <v>0.22892211141850685</v>
      </c>
      <c r="AL18">
        <v>0.32167552613179806</v>
      </c>
      <c r="AM18">
        <v>4.823920221324939E-3</v>
      </c>
      <c r="AN18">
        <v>0.48143861210262046</v>
      </c>
      <c r="AO18">
        <v>0.5185613878973796</v>
      </c>
      <c r="AP18">
        <v>242.98223140495867</v>
      </c>
      <c r="AQ18">
        <v>88.746280991735532</v>
      </c>
      <c r="AR18">
        <v>5.9586776859504129E-2</v>
      </c>
      <c r="AS18">
        <v>0</v>
      </c>
      <c r="AT18">
        <v>28.072561983471076</v>
      </c>
      <c r="AU18">
        <v>11.834214876033057</v>
      </c>
      <c r="AV18">
        <v>0</v>
      </c>
      <c r="AW18">
        <v>0</v>
      </c>
      <c r="AX18">
        <v>3.3575206611570247</v>
      </c>
      <c r="AY18">
        <v>26.251322314049588</v>
      </c>
      <c r="AZ18">
        <v>2.1191735537190084</v>
      </c>
      <c r="BA18">
        <v>1.2383471074380166</v>
      </c>
      <c r="BB18">
        <v>3.0595867768595042</v>
      </c>
      <c r="BC18">
        <v>8.1191735537190084</v>
      </c>
      <c r="BD18">
        <v>7.1191735537190084</v>
      </c>
      <c r="BE18">
        <v>5.4171074380165285</v>
      </c>
      <c r="BF18">
        <v>24.430082644628101</v>
      </c>
      <c r="BG18">
        <v>10.834214876033057</v>
      </c>
      <c r="BH18">
        <v>11.489669421487603</v>
      </c>
      <c r="BI18">
        <v>10.834214876033057</v>
      </c>
      <c r="BJ18">
        <v>0.36523773972521201</v>
      </c>
      <c r="BK18">
        <v>2.4523100522603938E-4</v>
      </c>
      <c r="BL18">
        <v>0</v>
      </c>
      <c r="BM18">
        <v>0.11553339444267768</v>
      </c>
      <c r="BN18">
        <v>4.8704034067042275E-2</v>
      </c>
      <c r="BO18">
        <v>0</v>
      </c>
      <c r="BP18">
        <v>0</v>
      </c>
      <c r="BQ18">
        <v>1.3817967847868344E-2</v>
      </c>
      <c r="BR18">
        <v>0.1080380329140144</v>
      </c>
      <c r="BS18">
        <v>8.7215165547934841E-3</v>
      </c>
      <c r="BT18">
        <v>5.0964512930748605E-3</v>
      </c>
      <c r="BU18">
        <v>1.2591812821738147E-2</v>
      </c>
      <c r="BV18">
        <v>3.3414680187817701E-2</v>
      </c>
      <c r="BW18">
        <v>2.9299152915646998E-2</v>
      </c>
      <c r="BX18">
        <v>2.2294253397435789E-2</v>
      </c>
      <c r="BY18">
        <v>0.10054267138535111</v>
      </c>
      <c r="BZ18">
        <v>4.4588506794871578E-2</v>
      </c>
      <c r="CA18">
        <v>4.7286047852358008E-2</v>
      </c>
      <c r="CB18">
        <v>4.4588506794871578E-2</v>
      </c>
      <c r="CC18">
        <v>242.98223140495867</v>
      </c>
      <c r="CD18">
        <v>215.43297520661156</v>
      </c>
      <c r="CE18">
        <v>5.6554545454545453</v>
      </c>
      <c r="CF18">
        <v>20.893801652892563</v>
      </c>
      <c r="CG18">
        <v>4.8342148760330579</v>
      </c>
      <c r="CH18">
        <v>3.8342148760330579</v>
      </c>
      <c r="CI18">
        <v>1</v>
      </c>
      <c r="CJ18">
        <v>0</v>
      </c>
      <c r="CK18">
        <v>0.88662028478768473</v>
      </c>
      <c r="CL18">
        <v>2.3275177418339947E-2</v>
      </c>
      <c r="CM18">
        <v>8.5989010521804646E-2</v>
      </c>
      <c r="CN18">
        <v>0.79314117687284169</v>
      </c>
      <c r="CO18">
        <v>0.20685882312715834</v>
      </c>
      <c r="CP18">
        <v>0</v>
      </c>
    </row>
    <row r="19" spans="1:94" x14ac:dyDescent="0.15">
      <c r="A19" t="s">
        <v>454</v>
      </c>
      <c r="B19" t="s">
        <v>430</v>
      </c>
      <c r="C19" t="s">
        <v>455</v>
      </c>
      <c r="D19">
        <v>78</v>
      </c>
      <c r="E19">
        <v>62</v>
      </c>
      <c r="F19">
        <v>16</v>
      </c>
      <c r="G19">
        <v>11</v>
      </c>
      <c r="H19">
        <v>0.79487179487179482</v>
      </c>
      <c r="I19">
        <v>0.20512820512820512</v>
      </c>
      <c r="J19">
        <v>0.14102564102564102</v>
      </c>
      <c r="K19">
        <v>190</v>
      </c>
      <c r="L19">
        <v>57</v>
      </c>
      <c r="M19">
        <v>22</v>
      </c>
      <c r="N19">
        <v>111</v>
      </c>
      <c r="O19">
        <v>0.3</v>
      </c>
      <c r="P19">
        <v>0.11578947368421053</v>
      </c>
      <c r="Q19">
        <v>0.58421052631578951</v>
      </c>
      <c r="R19">
        <v>190</v>
      </c>
      <c r="S19">
        <v>0</v>
      </c>
      <c r="T19">
        <v>0</v>
      </c>
      <c r="U19">
        <v>10</v>
      </c>
      <c r="V19">
        <v>0</v>
      </c>
      <c r="W19">
        <v>10</v>
      </c>
      <c r="X19">
        <v>95</v>
      </c>
      <c r="Y19">
        <v>0</v>
      </c>
      <c r="Z19">
        <v>0</v>
      </c>
      <c r="AA19">
        <v>4</v>
      </c>
      <c r="AB19">
        <v>0</v>
      </c>
      <c r="AC19">
        <v>4</v>
      </c>
      <c r="AD19">
        <v>95</v>
      </c>
      <c r="AE19">
        <v>0</v>
      </c>
      <c r="AF19">
        <v>0</v>
      </c>
      <c r="AG19">
        <v>6</v>
      </c>
      <c r="AH19">
        <v>0</v>
      </c>
      <c r="AI19">
        <v>6</v>
      </c>
      <c r="AJ19">
        <v>5.2631578947368418E-2</v>
      </c>
      <c r="AK19">
        <v>0</v>
      </c>
      <c r="AL19">
        <v>1</v>
      </c>
      <c r="AM19">
        <v>0</v>
      </c>
      <c r="AN19">
        <v>0.4</v>
      </c>
      <c r="AO19">
        <v>0.6</v>
      </c>
      <c r="AP19">
        <v>127</v>
      </c>
      <c r="AQ19">
        <v>65</v>
      </c>
      <c r="AR19">
        <v>0</v>
      </c>
      <c r="AS19">
        <v>0</v>
      </c>
      <c r="AT19">
        <v>20</v>
      </c>
      <c r="AU19">
        <v>3</v>
      </c>
      <c r="AV19">
        <v>0</v>
      </c>
      <c r="AW19">
        <v>0</v>
      </c>
      <c r="AX19">
        <v>4</v>
      </c>
      <c r="AY19">
        <v>9</v>
      </c>
      <c r="AZ19">
        <v>0</v>
      </c>
      <c r="BA19">
        <v>2</v>
      </c>
      <c r="BB19">
        <v>3</v>
      </c>
      <c r="BC19">
        <v>2</v>
      </c>
      <c r="BD19">
        <v>2</v>
      </c>
      <c r="BE19">
        <v>2</v>
      </c>
      <c r="BF19">
        <v>10</v>
      </c>
      <c r="BG19">
        <v>2</v>
      </c>
      <c r="BH19">
        <v>1</v>
      </c>
      <c r="BI19">
        <v>2</v>
      </c>
      <c r="BJ19">
        <v>0.51181102362204722</v>
      </c>
      <c r="BK19">
        <v>0</v>
      </c>
      <c r="BL19">
        <v>0</v>
      </c>
      <c r="BM19">
        <v>0.15748031496062992</v>
      </c>
      <c r="BN19">
        <v>2.3622047244094488E-2</v>
      </c>
      <c r="BO19">
        <v>0</v>
      </c>
      <c r="BP19">
        <v>0</v>
      </c>
      <c r="BQ19">
        <v>3.1496062992125984E-2</v>
      </c>
      <c r="BR19">
        <v>7.0866141732283464E-2</v>
      </c>
      <c r="BS19">
        <v>0</v>
      </c>
      <c r="BT19">
        <v>1.5748031496062992E-2</v>
      </c>
      <c r="BU19">
        <v>2.3622047244094488E-2</v>
      </c>
      <c r="BV19">
        <v>1.5748031496062992E-2</v>
      </c>
      <c r="BW19">
        <v>1.5748031496062992E-2</v>
      </c>
      <c r="BX19">
        <v>1.5748031496062992E-2</v>
      </c>
      <c r="BY19">
        <v>7.874015748031496E-2</v>
      </c>
      <c r="BZ19">
        <v>1.5748031496062992E-2</v>
      </c>
      <c r="CA19">
        <v>7.874015748031496E-3</v>
      </c>
      <c r="CB19">
        <v>1.5748031496062992E-2</v>
      </c>
      <c r="CC19">
        <v>127</v>
      </c>
      <c r="CD19">
        <v>109</v>
      </c>
      <c r="CE19">
        <v>1</v>
      </c>
      <c r="CF19">
        <v>16</v>
      </c>
      <c r="CG19">
        <v>5</v>
      </c>
      <c r="CH19">
        <v>4</v>
      </c>
      <c r="CI19">
        <v>1</v>
      </c>
      <c r="CJ19">
        <v>0</v>
      </c>
      <c r="CK19">
        <v>0.8582677165354331</v>
      </c>
      <c r="CL19">
        <v>7.874015748031496E-3</v>
      </c>
      <c r="CM19">
        <v>0.12598425196850394</v>
      </c>
      <c r="CN19">
        <v>0.8</v>
      </c>
      <c r="CO19">
        <v>0.2</v>
      </c>
      <c r="CP19">
        <v>0</v>
      </c>
    </row>
    <row r="20" spans="1:94" x14ac:dyDescent="0.15">
      <c r="A20" t="s">
        <v>456</v>
      </c>
      <c r="B20" t="s">
        <v>430</v>
      </c>
      <c r="C20" t="s">
        <v>457</v>
      </c>
      <c r="D20">
        <v>266.67830566989772</v>
      </c>
      <c r="E20">
        <v>209.11817856308863</v>
      </c>
      <c r="F20">
        <v>51.971666445359176</v>
      </c>
      <c r="G20">
        <v>48.913411874596491</v>
      </c>
      <c r="H20">
        <v>0.78415894400477137</v>
      </c>
      <c r="I20">
        <v>0.19488524315769143</v>
      </c>
      <c r="J20">
        <v>0.18341728905066224</v>
      </c>
      <c r="K20">
        <v>733.85046817979924</v>
      </c>
      <c r="L20">
        <v>169.48403344337655</v>
      </c>
      <c r="M20">
        <v>172.93597543944796</v>
      </c>
      <c r="N20">
        <v>384.10109863140394</v>
      </c>
      <c r="O20">
        <v>0.23095172762341498</v>
      </c>
      <c r="P20">
        <v>0.23565560415650952</v>
      </c>
      <c r="Q20">
        <v>0.5234051285462914</v>
      </c>
      <c r="R20">
        <v>733.85046817979924</v>
      </c>
      <c r="S20">
        <v>49.478782869884931</v>
      </c>
      <c r="T20">
        <v>33.004516504196445</v>
      </c>
      <c r="U20">
        <v>25.693817096232124</v>
      </c>
      <c r="V20">
        <v>1.1196754563894525E-2</v>
      </c>
      <c r="W20">
        <v>108.1883132248774</v>
      </c>
      <c r="X20">
        <v>349.25491133201155</v>
      </c>
      <c r="Y20">
        <v>15.27634384772824</v>
      </c>
      <c r="Z20">
        <v>14.673650337226816</v>
      </c>
      <c r="AA20">
        <v>13.464531064702676</v>
      </c>
      <c r="AB20">
        <v>1.1196754563894525E-2</v>
      </c>
      <c r="AC20">
        <v>43.425722004221626</v>
      </c>
      <c r="AD20">
        <v>384.59555684778769</v>
      </c>
      <c r="AE20">
        <v>34.202439022156696</v>
      </c>
      <c r="AF20">
        <v>18.330866166969628</v>
      </c>
      <c r="AG20">
        <v>12.229286031529448</v>
      </c>
      <c r="AH20">
        <v>0</v>
      </c>
      <c r="AI20">
        <v>64.762591220655764</v>
      </c>
      <c r="AJ20">
        <v>0.14742555590816958</v>
      </c>
      <c r="AK20">
        <v>0.30506545042063943</v>
      </c>
      <c r="AL20">
        <v>0.23749161374598407</v>
      </c>
      <c r="AM20">
        <v>1.0349319838845479E-4</v>
      </c>
      <c r="AN20">
        <v>0.40139013826713477</v>
      </c>
      <c r="AO20">
        <v>0.59860986173286512</v>
      </c>
      <c r="AP20">
        <v>377.47520226740966</v>
      </c>
      <c r="AQ20">
        <v>136.43472992092453</v>
      </c>
      <c r="AR20">
        <v>0</v>
      </c>
      <c r="AS20">
        <v>0</v>
      </c>
      <c r="AT20">
        <v>42.834225248284099</v>
      </c>
      <c r="AU20">
        <v>20.18746596825077</v>
      </c>
      <c r="AV20">
        <v>1.2240482786093341</v>
      </c>
      <c r="AW20">
        <v>0.610158013544018</v>
      </c>
      <c r="AX20">
        <v>9.1710314607667609</v>
      </c>
      <c r="AY20">
        <v>38.510867632177799</v>
      </c>
      <c r="AZ20">
        <v>1.2277805301306324</v>
      </c>
      <c r="BA20">
        <v>4.8887286113947406</v>
      </c>
      <c r="BB20">
        <v>7.351754174698601</v>
      </c>
      <c r="BC20">
        <v>10.395079739376095</v>
      </c>
      <c r="BD20">
        <v>7.3368251686134078</v>
      </c>
      <c r="BE20">
        <v>15.272611596206941</v>
      </c>
      <c r="BF20">
        <v>46.525031341718595</v>
      </c>
      <c r="BG20">
        <v>11.012702255962708</v>
      </c>
      <c r="BH20">
        <v>15.291272853813432</v>
      </c>
      <c r="BI20">
        <v>9.2008894729371473</v>
      </c>
      <c r="BJ20">
        <v>0.36144024587944168</v>
      </c>
      <c r="BK20">
        <v>0</v>
      </c>
      <c r="BL20">
        <v>0</v>
      </c>
      <c r="BM20">
        <v>0.11347560049239905</v>
      </c>
      <c r="BN20">
        <v>5.3480244124618381E-2</v>
      </c>
      <c r="BO20">
        <v>3.2427250088396483E-3</v>
      </c>
      <c r="BP20">
        <v>1.6164188001726587E-3</v>
      </c>
      <c r="BQ20">
        <v>2.4295719045061538E-2</v>
      </c>
      <c r="BR20">
        <v>0.10202224517226979</v>
      </c>
      <c r="BS20">
        <v>3.2526124173339801E-3</v>
      </c>
      <c r="BT20">
        <v>1.2951125218369932E-2</v>
      </c>
      <c r="BU20">
        <v>1.9476124870026555E-2</v>
      </c>
      <c r="BV20">
        <v>2.7538444053901188E-2</v>
      </c>
      <c r="BW20">
        <v>1.9436575236049226E-2</v>
      </c>
      <c r="BX20">
        <v>4.0459907046788125E-2</v>
      </c>
      <c r="BY20">
        <v>0.12325321256138964</v>
      </c>
      <c r="BZ20">
        <v>2.9174637671062504E-2</v>
      </c>
      <c r="CA20">
        <v>4.0509344089259783E-2</v>
      </c>
      <c r="CB20">
        <v>2.4374818313016189E-2</v>
      </c>
      <c r="CC20">
        <v>377.47520226740966</v>
      </c>
      <c r="CD20">
        <v>339.55583139116936</v>
      </c>
      <c r="CE20">
        <v>25.098588088773297</v>
      </c>
      <c r="CF20">
        <v>11.600466760378939</v>
      </c>
      <c r="CG20">
        <v>9.8073152349598658</v>
      </c>
      <c r="CH20">
        <v>7.3666831807837934</v>
      </c>
      <c r="CI20">
        <v>2.440632054176072</v>
      </c>
      <c r="CJ20">
        <v>0</v>
      </c>
      <c r="CK20">
        <v>0.8995447365854311</v>
      </c>
      <c r="CL20">
        <v>6.6490693793954295E-2</v>
      </c>
      <c r="CM20">
        <v>3.073173202026918E-2</v>
      </c>
      <c r="CN20">
        <v>0.75114167377061369</v>
      </c>
      <c r="CO20">
        <v>0.24885832622938622</v>
      </c>
      <c r="CP20">
        <v>0</v>
      </c>
    </row>
    <row r="21" spans="1:94" x14ac:dyDescent="0.15">
      <c r="A21" t="s">
        <v>458</v>
      </c>
      <c r="B21" t="s">
        <v>430</v>
      </c>
      <c r="C21" t="s">
        <v>459</v>
      </c>
      <c r="D21">
        <v>139.77274028780218</v>
      </c>
      <c r="E21">
        <v>109.51186110916335</v>
      </c>
      <c r="F21">
        <v>27.21206225288093</v>
      </c>
      <c r="G21">
        <v>25.578714874689698</v>
      </c>
      <c r="H21">
        <v>0.78349942115802051</v>
      </c>
      <c r="I21">
        <v>0.1946879069327061</v>
      </c>
      <c r="J21">
        <v>0.18300217068093017</v>
      </c>
      <c r="K21">
        <v>384.6761627461816</v>
      </c>
      <c r="L21">
        <v>89.078062222835086</v>
      </c>
      <c r="M21">
        <v>90.373623173357103</v>
      </c>
      <c r="N21">
        <v>201.42372441613898</v>
      </c>
      <c r="O21">
        <v>0.23156636893461707</v>
      </c>
      <c r="P21">
        <v>0.23493429519569101</v>
      </c>
      <c r="Q21">
        <v>0.52361893957292882</v>
      </c>
      <c r="R21">
        <v>384.6761627461816</v>
      </c>
      <c r="S21">
        <v>25.835369967145205</v>
      </c>
      <c r="T21">
        <v>17.260902493309786</v>
      </c>
      <c r="U21">
        <v>13.461604306077296</v>
      </c>
      <c r="V21">
        <v>4.2889376896384092E-2</v>
      </c>
      <c r="W21">
        <v>56.600766143428672</v>
      </c>
      <c r="X21">
        <v>183.1837244978758</v>
      </c>
      <c r="Y21">
        <v>7.9934078044056074</v>
      </c>
      <c r="Z21">
        <v>7.6826035492927334</v>
      </c>
      <c r="AA21">
        <v>7.0484065690822391</v>
      </c>
      <c r="AB21">
        <v>3.7765409954235329E-2</v>
      </c>
      <c r="AC21">
        <v>22.762183332734818</v>
      </c>
      <c r="AD21">
        <v>201.49243824830583</v>
      </c>
      <c r="AE21">
        <v>17.841962162739598</v>
      </c>
      <c r="AF21">
        <v>9.5782989440170532</v>
      </c>
      <c r="AG21">
        <v>6.4131977369950572</v>
      </c>
      <c r="AH21">
        <v>5.1239669421487607E-3</v>
      </c>
      <c r="AI21">
        <v>33.838582810693858</v>
      </c>
      <c r="AJ21">
        <v>0.14713874064709123</v>
      </c>
      <c r="AK21">
        <v>0.30495881362400551</v>
      </c>
      <c r="AL21">
        <v>0.23783431255974585</v>
      </c>
      <c r="AM21">
        <v>7.5775258567526533E-4</v>
      </c>
      <c r="AN21">
        <v>0.40215327253794603</v>
      </c>
      <c r="AO21">
        <v>0.59784672746205403</v>
      </c>
      <c r="AP21">
        <v>198.13019335260935</v>
      </c>
      <c r="AQ21">
        <v>71.758329494667038</v>
      </c>
      <c r="AR21">
        <v>5.1239669421487607E-3</v>
      </c>
      <c r="AS21">
        <v>0</v>
      </c>
      <c r="AT21">
        <v>22.42253291732824</v>
      </c>
      <c r="AU21">
        <v>10.587254381140834</v>
      </c>
      <c r="AV21">
        <v>0.63843515767013592</v>
      </c>
      <c r="AW21">
        <v>0.31548532731376977</v>
      </c>
      <c r="AX21">
        <v>4.8003462265724215</v>
      </c>
      <c r="AY21">
        <v>20.125004484361948</v>
      </c>
      <c r="AZ21">
        <v>0.65614759459702976</v>
      </c>
      <c r="BA21">
        <v>2.5593074923639461</v>
      </c>
      <c r="BB21">
        <v>3.8506639190481566</v>
      </c>
      <c r="BC21">
        <v>5.4182855164739614</v>
      </c>
      <c r="BD21">
        <v>3.8259298738199203</v>
      </c>
      <c r="BE21">
        <v>7.9603234666522678</v>
      </c>
      <c r="BF21">
        <v>24.405904707204524</v>
      </c>
      <c r="BG21">
        <v>5.8101874531787097</v>
      </c>
      <c r="BH21">
        <v>8.0898773868239271</v>
      </c>
      <c r="BI21">
        <v>4.9010539864503819</v>
      </c>
      <c r="BJ21">
        <v>0.36217765843977051</v>
      </c>
      <c r="BK21">
        <v>2.586161581657427E-5</v>
      </c>
      <c r="BL21">
        <v>0</v>
      </c>
      <c r="BM21">
        <v>0.11317070123392649</v>
      </c>
      <c r="BN21">
        <v>5.3435845400397176E-2</v>
      </c>
      <c r="BO21">
        <v>3.2223011892686258E-3</v>
      </c>
      <c r="BP21">
        <v>1.5923132258408754E-3</v>
      </c>
      <c r="BQ21">
        <v>2.4228241770446954E-2</v>
      </c>
      <c r="BR21">
        <v>0.10157464717427382</v>
      </c>
      <c r="BS21">
        <v>3.3116991584886493E-3</v>
      </c>
      <c r="BT21">
        <v>1.291730174516705E-2</v>
      </c>
      <c r="BU21">
        <v>1.9435018226602079E-2</v>
      </c>
      <c r="BV21">
        <v>2.7347096496449279E-2</v>
      </c>
      <c r="BW21">
        <v>1.9310180892071153E-2</v>
      </c>
      <c r="BX21">
        <v>4.0177235644672279E-2</v>
      </c>
      <c r="BY21">
        <v>0.12318114818456619</v>
      </c>
      <c r="BZ21">
        <v>2.9325098587262798E-2</v>
      </c>
      <c r="CA21">
        <v>4.0831118417304996E-2</v>
      </c>
      <c r="CB21">
        <v>2.4736532597674547E-2</v>
      </c>
      <c r="CC21">
        <v>198.13019335260935</v>
      </c>
      <c r="CD21">
        <v>178.25773184563747</v>
      </c>
      <c r="CE21">
        <v>13.155481123165318</v>
      </c>
      <c r="CF21">
        <v>6.0860097291790494</v>
      </c>
      <c r="CG21">
        <v>5.2090748107215559</v>
      </c>
      <c r="CH21">
        <v>3.9471335014664759</v>
      </c>
      <c r="CI21">
        <v>1.2619413092550791</v>
      </c>
      <c r="CJ21">
        <v>0</v>
      </c>
      <c r="CK21">
        <v>0.89969998428454989</v>
      </c>
      <c r="CL21">
        <v>6.6398164260369458E-2</v>
      </c>
      <c r="CM21">
        <v>3.0717225003398994E-2</v>
      </c>
      <c r="CN21">
        <v>0.7577417573927534</v>
      </c>
      <c r="CO21">
        <v>0.24225824260724646</v>
      </c>
      <c r="CP21">
        <v>0</v>
      </c>
    </row>
    <row r="22" spans="1:94" x14ac:dyDescent="0.15">
      <c r="A22" t="s">
        <v>460</v>
      </c>
      <c r="B22" t="s">
        <v>430</v>
      </c>
      <c r="C22" t="s">
        <v>461</v>
      </c>
      <c r="D22">
        <v>199.60996414818749</v>
      </c>
      <c r="E22">
        <v>139.54539114190084</v>
      </c>
      <c r="F22">
        <v>34.121359713185498</v>
      </c>
      <c r="G22">
        <v>31.827787306718438</v>
      </c>
      <c r="H22">
        <v>0.6990903071266743</v>
      </c>
      <c r="I22">
        <v>0.17094016252542535</v>
      </c>
      <c r="J22">
        <v>0.15944989240662336</v>
      </c>
      <c r="K22">
        <v>516.37177917481313</v>
      </c>
      <c r="L22">
        <v>141.86679975640914</v>
      </c>
      <c r="M22">
        <v>87.744831066076301</v>
      </c>
      <c r="N22">
        <v>283.98242244698923</v>
      </c>
      <c r="O22">
        <v>0.27473770929759</v>
      </c>
      <c r="P22">
        <v>0.16992569037428179</v>
      </c>
      <c r="Q22">
        <v>0.54995728639703501</v>
      </c>
      <c r="R22">
        <v>516.37177917481313</v>
      </c>
      <c r="S22">
        <v>20.21046122006053</v>
      </c>
      <c r="T22">
        <v>18.343012010128252</v>
      </c>
      <c r="U22">
        <v>20.434657301544419</v>
      </c>
      <c r="V22">
        <v>2.9216227180527383</v>
      </c>
      <c r="W22">
        <v>61.909753249785943</v>
      </c>
      <c r="X22">
        <v>262.51029336214913</v>
      </c>
      <c r="Y22">
        <v>7.5723650749316622</v>
      </c>
      <c r="Z22">
        <v>9.4509487680804405</v>
      </c>
      <c r="AA22">
        <v>12.234241915027084</v>
      </c>
      <c r="AB22">
        <v>2.9216227180527383</v>
      </c>
      <c r="AC22">
        <v>32.179178476091927</v>
      </c>
      <c r="AD22">
        <v>253.86148581266397</v>
      </c>
      <c r="AE22">
        <v>12.63809614512887</v>
      </c>
      <c r="AF22">
        <v>8.8920632420478114</v>
      </c>
      <c r="AG22">
        <v>8.2004153865173368</v>
      </c>
      <c r="AH22">
        <v>0</v>
      </c>
      <c r="AI22">
        <v>29.730574773694016</v>
      </c>
      <c r="AJ22">
        <v>0.11989375823117347</v>
      </c>
      <c r="AK22">
        <v>0.29628630461698174</v>
      </c>
      <c r="AL22">
        <v>0.3300716967663746</v>
      </c>
      <c r="AM22">
        <v>4.7191638872552608E-2</v>
      </c>
      <c r="AN22">
        <v>0.51977558925585265</v>
      </c>
      <c r="AO22">
        <v>0.48022441074414735</v>
      </c>
      <c r="AP22">
        <v>305.62071731097672</v>
      </c>
      <c r="AQ22">
        <v>111.83729687406993</v>
      </c>
      <c r="AR22">
        <v>0</v>
      </c>
      <c r="AS22">
        <v>0</v>
      </c>
      <c r="AT22">
        <v>36.979384887293442</v>
      </c>
      <c r="AU22">
        <v>15.916677274163343</v>
      </c>
      <c r="AV22">
        <v>1.1122038104570076</v>
      </c>
      <c r="AW22">
        <v>6.9164785553047406E-2</v>
      </c>
      <c r="AX22">
        <v>5.9068429800502749</v>
      </c>
      <c r="AY22">
        <v>22.86099203750933</v>
      </c>
      <c r="AZ22">
        <v>2.0860780498079206</v>
      </c>
      <c r="BA22">
        <v>2.5010667631262047</v>
      </c>
      <c r="BB22">
        <v>8.6209713414438713</v>
      </c>
      <c r="BC22">
        <v>7.0190467905072822</v>
      </c>
      <c r="BD22">
        <v>4.7254743840402202</v>
      </c>
      <c r="BE22">
        <v>6.5984908355807494</v>
      </c>
      <c r="BF22">
        <v>45.185367515419024</v>
      </c>
      <c r="BG22">
        <v>9.035960054762155</v>
      </c>
      <c r="BH22">
        <v>11.467862032335313</v>
      </c>
      <c r="BI22">
        <v>13.697836894857577</v>
      </c>
      <c r="BJ22">
        <v>0.36593493352832063</v>
      </c>
      <c r="BK22">
        <v>0</v>
      </c>
      <c r="BL22">
        <v>0</v>
      </c>
      <c r="BM22">
        <v>0.12099763789791119</v>
      </c>
      <c r="BN22">
        <v>5.2079837434475119E-2</v>
      </c>
      <c r="BO22">
        <v>3.6391636674463807E-3</v>
      </c>
      <c r="BP22">
        <v>2.2630921804515794E-4</v>
      </c>
      <c r="BQ22">
        <v>1.9327364427457694E-2</v>
      </c>
      <c r="BR22">
        <v>7.4801840132610181E-2</v>
      </c>
      <c r="BS22">
        <v>6.8257088988024463E-3</v>
      </c>
      <c r="BT22">
        <v>8.1835642070733922E-3</v>
      </c>
      <c r="BU22">
        <v>2.8208072467390415E-2</v>
      </c>
      <c r="BV22">
        <v>2.2966528094904074E-2</v>
      </c>
      <c r="BW22">
        <v>1.5461891541966156E-2</v>
      </c>
      <c r="BX22">
        <v>2.1590456607909272E-2</v>
      </c>
      <c r="BY22">
        <v>0.14784785505703066</v>
      </c>
      <c r="BZ22">
        <v>2.956592777566136E-2</v>
      </c>
      <c r="CA22">
        <v>3.7523182764689599E-2</v>
      </c>
      <c r="CB22">
        <v>4.4819726278306209E-2</v>
      </c>
      <c r="CC22">
        <v>305.62071731097672</v>
      </c>
      <c r="CD22">
        <v>277.9595188622659</v>
      </c>
      <c r="CE22">
        <v>24.260989473395025</v>
      </c>
      <c r="CF22">
        <v>3.2618794042097266</v>
      </c>
      <c r="CG22">
        <v>12.793127441059712</v>
      </c>
      <c r="CH22">
        <v>12.516468298847522</v>
      </c>
      <c r="CI22">
        <v>0.27665914221218962</v>
      </c>
      <c r="CJ22">
        <v>0</v>
      </c>
      <c r="CK22">
        <v>0.90949174292865476</v>
      </c>
      <c r="CL22">
        <v>7.9382673029684908E-2</v>
      </c>
      <c r="CM22">
        <v>1.0672965605570132E-2</v>
      </c>
      <c r="CN22">
        <v>0.978374393322758</v>
      </c>
      <c r="CO22">
        <v>2.1625606677242067E-2</v>
      </c>
      <c r="CP22">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5" t="str">
        <f>管理者入力シート!B4</f>
        <v>大字岩戸・上岩戸</v>
      </c>
      <c r="C2" s="255"/>
      <c r="D2" s="255"/>
      <c r="E2" s="254" t="s">
        <v>225</v>
      </c>
      <c r="F2" s="254"/>
      <c r="G2" s="254"/>
      <c r="H2" s="254"/>
      <c r="I2" s="254"/>
    </row>
    <row r="3" spans="1:10" ht="22.5" customHeight="1" x14ac:dyDescent="0.15">
      <c r="B3" s="255"/>
      <c r="C3" s="255"/>
      <c r="D3" s="255"/>
      <c r="E3" s="254"/>
      <c r="F3" s="254"/>
      <c r="G3" s="254"/>
      <c r="H3" s="254"/>
      <c r="I3" s="254"/>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50">
        <f>管理者入力シート!B5</f>
        <v>2020</v>
      </c>
      <c r="B6" s="250"/>
      <c r="C6" s="20" t="s">
        <v>248</v>
      </c>
      <c r="E6" s="258">
        <f>管理者用グラフシート!E6</f>
        <v>474</v>
      </c>
      <c r="F6" s="258"/>
      <c r="G6" s="20" t="s">
        <v>54</v>
      </c>
    </row>
    <row r="7" spans="1:10" ht="22.5" customHeight="1" x14ac:dyDescent="0.15">
      <c r="A7" s="250">
        <f>管理者用グラフシート!B4</f>
        <v>2010</v>
      </c>
      <c r="B7" s="250"/>
      <c r="C7" s="82" t="s">
        <v>226</v>
      </c>
      <c r="D7" s="252">
        <f>E6-管理者用グラフシート!E4</f>
        <v>-143</v>
      </c>
      <c r="E7" s="252"/>
      <c r="F7" s="20" t="s">
        <v>356</v>
      </c>
    </row>
    <row r="8" spans="1:10" ht="22.5" customHeight="1" x14ac:dyDescent="0.15">
      <c r="A8" s="249" t="s">
        <v>380</v>
      </c>
      <c r="B8" s="249"/>
      <c r="C8" s="203">
        <f>管理者用グラフシート!C6-管理者用グラフシート!C4</f>
        <v>-67</v>
      </c>
      <c r="D8" s="206" t="s">
        <v>381</v>
      </c>
      <c r="F8" s="203">
        <f>管理者用グラフシート!D6-管理者用グラフシート!D4</f>
        <v>-76</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1">
        <f>管理者用グラフシート!C12</f>
        <v>15</v>
      </c>
      <c r="G36" s="251"/>
      <c r="H36" s="20" t="s">
        <v>54</v>
      </c>
    </row>
    <row r="37" spans="1:9" ht="22.5" customHeight="1" x14ac:dyDescent="0.15">
      <c r="A37" s="20" t="s">
        <v>66</v>
      </c>
      <c r="F37" s="251">
        <f>管理者用グラフシート!C16</f>
        <v>8</v>
      </c>
      <c r="G37" s="251"/>
      <c r="H37" s="20" t="s">
        <v>54</v>
      </c>
    </row>
    <row r="38" spans="1:9" ht="22.5" customHeight="1" x14ac:dyDescent="0.15">
      <c r="D38" s="253"/>
      <c r="E38" s="253"/>
      <c r="F38" s="35"/>
      <c r="G38" s="34"/>
    </row>
    <row r="39" spans="1:9" ht="22.5" customHeight="1" x14ac:dyDescent="0.15">
      <c r="A39" s="250">
        <f>管理者用グラフシート!B4</f>
        <v>2010</v>
      </c>
      <c r="B39" s="250"/>
      <c r="C39" s="20" t="s">
        <v>228</v>
      </c>
      <c r="E39" s="34"/>
      <c r="F39" s="35"/>
    </row>
    <row r="40" spans="1:9" ht="22.5" customHeight="1" x14ac:dyDescent="0.15">
      <c r="B40" s="20" t="s">
        <v>67</v>
      </c>
      <c r="D40" s="252">
        <f>F36-管理者用グラフシート!C10</f>
        <v>-10</v>
      </c>
      <c r="E40" s="252"/>
      <c r="F40" s="20" t="s">
        <v>60</v>
      </c>
    </row>
    <row r="41" spans="1:9" ht="22.5" customHeight="1" x14ac:dyDescent="0.15">
      <c r="B41" s="20" t="s">
        <v>69</v>
      </c>
      <c r="D41" s="252">
        <f>F37-管理者用グラフシート!C14</f>
        <v>-7</v>
      </c>
      <c r="E41" s="252"/>
      <c r="F41" s="20" t="s">
        <v>70</v>
      </c>
    </row>
    <row r="53" spans="1:13" ht="22.5" customHeight="1" x14ac:dyDescent="0.15">
      <c r="M53" s="72"/>
    </row>
    <row r="62" spans="1:13" ht="22.5" customHeight="1" thickBot="1" x14ac:dyDescent="0.2"/>
    <row r="63" spans="1:13" ht="22.5" customHeight="1" x14ac:dyDescent="0.15">
      <c r="A63" s="242" t="s">
        <v>427</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1">
        <f>管理者用グラフシート!C22</f>
        <v>226</v>
      </c>
      <c r="D70" s="251"/>
      <c r="E70" s="20" t="s">
        <v>76</v>
      </c>
      <c r="F70" s="37"/>
      <c r="G70" s="256">
        <f>管理者用グラフシート!C32</f>
        <v>0.48</v>
      </c>
      <c r="H70" s="256"/>
      <c r="I70" s="20" t="s">
        <v>77</v>
      </c>
    </row>
    <row r="71" spans="1:9" ht="22.5" customHeight="1" x14ac:dyDescent="0.15">
      <c r="A71" s="20" t="s">
        <v>78</v>
      </c>
      <c r="C71" s="251">
        <f>管理者用グラフシート!C26</f>
        <v>120</v>
      </c>
      <c r="D71" s="251"/>
      <c r="E71" s="20" t="s">
        <v>76</v>
      </c>
      <c r="F71" s="37"/>
      <c r="G71" s="256">
        <f>管理者用グラフシート!C36</f>
        <v>0.25</v>
      </c>
      <c r="H71" s="256"/>
      <c r="I71" s="20" t="s">
        <v>77</v>
      </c>
    </row>
    <row r="72" spans="1:9" ht="22.5" customHeight="1" x14ac:dyDescent="0.15">
      <c r="D72" s="253"/>
      <c r="E72" s="253"/>
      <c r="F72" s="35"/>
      <c r="G72" s="34"/>
    </row>
    <row r="73" spans="1:9" ht="22.5" customHeight="1" x14ac:dyDescent="0.15">
      <c r="A73" s="250">
        <f>管理者用グラフシート!B4</f>
        <v>2010</v>
      </c>
      <c r="B73" s="250"/>
      <c r="C73" s="20" t="s">
        <v>228</v>
      </c>
      <c r="E73" s="34"/>
      <c r="F73" s="35"/>
    </row>
    <row r="74" spans="1:9" ht="22.5" customHeight="1" x14ac:dyDescent="0.15">
      <c r="B74" s="20" t="s">
        <v>81</v>
      </c>
      <c r="D74" s="37"/>
      <c r="E74" s="251"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12ポイント上昇</v>
      </c>
      <c r="F74" s="251"/>
      <c r="G74" s="251"/>
      <c r="H74" s="20" t="s">
        <v>82</v>
      </c>
    </row>
    <row r="75" spans="1:9" ht="22.5" customHeight="1" x14ac:dyDescent="0.15">
      <c r="B75" s="20" t="s">
        <v>83</v>
      </c>
      <c r="D75" s="37"/>
      <c r="E75" s="257"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3ポイント上昇</v>
      </c>
      <c r="F75" s="257"/>
      <c r="G75" s="257"/>
      <c r="H75" s="20" t="s">
        <v>77</v>
      </c>
    </row>
    <row r="95" spans="1:9" ht="22.5" customHeight="1" thickBot="1" x14ac:dyDescent="0.2"/>
    <row r="96" spans="1:9" ht="22.5" customHeight="1" x14ac:dyDescent="0.15">
      <c r="A96" s="97" t="s">
        <v>426</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50">
        <f>管理者用グラフシート!B39</f>
        <v>2010</v>
      </c>
      <c r="B104" s="250"/>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50">
        <f>管理者用グラフシート!B87</f>
        <v>2020</v>
      </c>
      <c r="B134" s="250"/>
      <c r="C134" s="37" t="s">
        <v>326</v>
      </c>
      <c r="D134" s="36"/>
      <c r="F134" s="37"/>
      <c r="G134" s="111"/>
      <c r="H134" s="111"/>
    </row>
    <row r="135" spans="1:8" ht="22.5" customHeight="1" x14ac:dyDescent="0.15">
      <c r="A135" s="250">
        <f>管理者用グラフシート!B4</f>
        <v>2010</v>
      </c>
      <c r="B135" s="250"/>
      <c r="C135" s="20" t="s">
        <v>385</v>
      </c>
      <c r="D135" s="36"/>
      <c r="F135" s="205">
        <f>SUM(管理者用グラフシート!B93:C94)-SUM(管理者用グラフシート!B45:C46)</f>
        <v>-19</v>
      </c>
      <c r="G135" s="207" t="s">
        <v>386</v>
      </c>
      <c r="H135" s="111"/>
    </row>
    <row r="136" spans="1:8" ht="22.5" customHeight="1" x14ac:dyDescent="0.15">
      <c r="A136" s="35" t="s">
        <v>387</v>
      </c>
      <c r="C136" s="205">
        <f>SUM(管理者用グラフシート!B95:C96)-SUM(管理者用グラフシート!B47:C48)</f>
        <v>-12</v>
      </c>
      <c r="D136" s="20" t="s">
        <v>388</v>
      </c>
      <c r="E136" s="34"/>
      <c r="F136" s="205">
        <f>SUM(管理者用グラフシート!B97:C98)-SUM(管理者用グラフシート!B49:C50)</f>
        <v>-24</v>
      </c>
      <c r="G136" s="20" t="s">
        <v>386</v>
      </c>
    </row>
    <row r="137" spans="1:8" ht="18.75" x14ac:dyDescent="0.15">
      <c r="A137" s="20" t="s">
        <v>389</v>
      </c>
      <c r="C137" s="205">
        <f>SUM(管理者用グラフシート!B99:C100)-SUM(管理者用グラフシート!B51:C52)</f>
        <v>-52</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5" t="str">
        <f>管理者入力シート!B4</f>
        <v>大字岩戸・上岩戸</v>
      </c>
      <c r="B2" s="255"/>
      <c r="C2" s="255"/>
      <c r="D2" s="254" t="s">
        <v>230</v>
      </c>
      <c r="E2" s="254"/>
      <c r="F2" s="254"/>
      <c r="G2" s="254"/>
      <c r="H2" s="254"/>
      <c r="I2" s="254"/>
    </row>
    <row r="3" spans="1:9" ht="27.75" customHeight="1" x14ac:dyDescent="0.15">
      <c r="A3" s="255"/>
      <c r="B3" s="255"/>
      <c r="C3" s="255"/>
      <c r="D3" s="254"/>
      <c r="E3" s="254"/>
      <c r="F3" s="254"/>
      <c r="G3" s="254"/>
      <c r="H3" s="254"/>
      <c r="I3" s="254"/>
    </row>
    <row r="4" spans="1:9" ht="27.75" customHeight="1" x14ac:dyDescent="0.15"/>
    <row r="5" spans="1:9" s="39" customFormat="1" ht="40.5" customHeight="1" x14ac:dyDescent="0.15">
      <c r="A5" s="108" t="s">
        <v>64</v>
      </c>
    </row>
    <row r="6" spans="1:9" ht="22.5" customHeight="1" x14ac:dyDescent="0.15">
      <c r="A6" s="250">
        <f>管理者入力シート!B9</f>
        <v>2030</v>
      </c>
      <c r="B6" s="250"/>
      <c r="C6" s="20" t="s">
        <v>361</v>
      </c>
      <c r="D6" s="251">
        <f>管理者用グラフシート!K8</f>
        <v>336</v>
      </c>
      <c r="E6" s="251"/>
      <c r="F6" s="20" t="s">
        <v>231</v>
      </c>
      <c r="H6" s="34"/>
      <c r="I6" s="34"/>
    </row>
    <row r="7" spans="1:9" ht="22.5" customHeight="1" x14ac:dyDescent="0.15">
      <c r="A7" s="250">
        <f>管理者入力シート!B5</f>
        <v>2020</v>
      </c>
      <c r="B7" s="250"/>
      <c r="C7" s="195" t="s">
        <v>362</v>
      </c>
      <c r="D7" s="252">
        <f>D6-現況シート!E6</f>
        <v>-138</v>
      </c>
      <c r="E7" s="252"/>
      <c r="F7" s="20" t="s">
        <v>232</v>
      </c>
      <c r="I7" s="34"/>
    </row>
    <row r="8" spans="1:9" ht="22.5" customHeight="1" x14ac:dyDescent="0.15">
      <c r="A8" s="249" t="s">
        <v>397</v>
      </c>
      <c r="B8" s="249"/>
      <c r="C8" s="205">
        <f>管理者用グラフシート!I8-管理者用グラフシート!C6</f>
        <v>-73</v>
      </c>
      <c r="D8" s="206" t="s">
        <v>398</v>
      </c>
      <c r="F8" s="262">
        <f>管理者用グラフシート!J8-管理者用グラフシート!D6</f>
        <v>-65</v>
      </c>
      <c r="G8" s="262"/>
      <c r="H8" s="20" t="s">
        <v>399</v>
      </c>
    </row>
    <row r="10" spans="1:9" ht="22.5" customHeight="1" x14ac:dyDescent="0.15">
      <c r="A10" s="250">
        <f>管理者入力シート!B11</f>
        <v>2040</v>
      </c>
      <c r="B10" s="250"/>
      <c r="C10" s="20" t="s">
        <v>361</v>
      </c>
      <c r="D10" s="251">
        <f>管理者用グラフシート!K10</f>
        <v>230</v>
      </c>
      <c r="E10" s="251"/>
      <c r="F10" s="20" t="s">
        <v>231</v>
      </c>
      <c r="H10" s="34"/>
    </row>
    <row r="11" spans="1:9" ht="22.5" customHeight="1" x14ac:dyDescent="0.15">
      <c r="A11" s="250">
        <f>管理者入力シート!B5</f>
        <v>2020</v>
      </c>
      <c r="B11" s="250"/>
      <c r="C11" s="195" t="s">
        <v>362</v>
      </c>
      <c r="D11" s="252">
        <f>D10-現況シート!E6</f>
        <v>-244</v>
      </c>
      <c r="E11" s="252"/>
      <c r="F11" s="20" t="s">
        <v>232</v>
      </c>
      <c r="H11" s="34"/>
    </row>
    <row r="12" spans="1:9" ht="22.5" customHeight="1" x14ac:dyDescent="0.15">
      <c r="A12" s="249" t="s">
        <v>397</v>
      </c>
      <c r="B12" s="249"/>
      <c r="C12" s="205">
        <f>管理者用グラフシート!I10-管理者用グラフシート!C6</f>
        <v>-129</v>
      </c>
      <c r="D12" s="206" t="s">
        <v>398</v>
      </c>
      <c r="F12" s="262">
        <f>管理者用グラフシート!J10-管理者用グラフシート!D6</f>
        <v>-115</v>
      </c>
      <c r="G12" s="262"/>
      <c r="H12" s="20" t="s">
        <v>399</v>
      </c>
    </row>
    <row r="22" spans="7:7" ht="22.5" customHeight="1" x14ac:dyDescent="0.15">
      <c r="G22" s="20">
        <v>15</v>
      </c>
    </row>
    <row r="34" spans="1:9" s="39" customFormat="1" ht="40.5" customHeight="1" x14ac:dyDescent="0.15">
      <c r="A34" s="108" t="s">
        <v>68</v>
      </c>
    </row>
    <row r="35" spans="1:9" ht="22.5" customHeight="1" x14ac:dyDescent="0.15">
      <c r="A35" s="250">
        <f>管理者用グラフシート!H20</f>
        <v>2040</v>
      </c>
      <c r="B35" s="250"/>
      <c r="C35" s="259" t="s">
        <v>363</v>
      </c>
      <c r="D35" s="259"/>
      <c r="F35" s="36"/>
      <c r="G35" s="36"/>
      <c r="H35" s="258"/>
      <c r="I35" s="253"/>
    </row>
    <row r="36" spans="1:9" ht="22.5" customHeight="1" x14ac:dyDescent="0.15">
      <c r="A36" s="20" t="s">
        <v>237</v>
      </c>
      <c r="F36" s="251">
        <f>管理者用グラフシート!I20</f>
        <v>5</v>
      </c>
      <c r="G36" s="251"/>
      <c r="H36" s="82" t="s">
        <v>233</v>
      </c>
      <c r="I36" s="34"/>
    </row>
    <row r="37" spans="1:9" ht="22.5" customHeight="1" x14ac:dyDescent="0.15">
      <c r="A37" s="20" t="s">
        <v>234</v>
      </c>
      <c r="F37" s="251">
        <f>管理者用グラフシート!I28</f>
        <v>3</v>
      </c>
      <c r="G37" s="251"/>
      <c r="H37" s="109" t="s">
        <v>235</v>
      </c>
      <c r="I37" s="86"/>
    </row>
    <row r="38" spans="1:9" ht="22.5" customHeight="1" x14ac:dyDescent="0.15">
      <c r="D38" s="253"/>
      <c r="E38" s="253"/>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2">
        <f>F36-現況シート!F36</f>
        <v>-10</v>
      </c>
      <c r="G40" s="252"/>
      <c r="H40" s="35" t="s">
        <v>60</v>
      </c>
    </row>
    <row r="41" spans="1:9" ht="22.5" customHeight="1" x14ac:dyDescent="0.15">
      <c r="A41" s="20" t="s">
        <v>69</v>
      </c>
      <c r="C41" s="199">
        <f>管理者入力シート!B5</f>
        <v>2020</v>
      </c>
      <c r="D41" s="20" t="s">
        <v>374</v>
      </c>
      <c r="F41" s="252">
        <f>F37-現況シート!F37</f>
        <v>-5</v>
      </c>
      <c r="G41" s="252"/>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50">
        <f>管理者用グラフシート!H38</f>
        <v>2040</v>
      </c>
      <c r="B69" s="250"/>
      <c r="C69" s="259" t="s">
        <v>363</v>
      </c>
      <c r="D69" s="259"/>
      <c r="F69" s="34"/>
      <c r="G69" s="37"/>
      <c r="H69" s="67"/>
      <c r="I69" s="71"/>
    </row>
    <row r="70" spans="1:9" ht="22.5" customHeight="1" x14ac:dyDescent="0.15">
      <c r="A70" s="20" t="s">
        <v>238</v>
      </c>
      <c r="C70" s="251">
        <f>管理者用グラフシート!I38</f>
        <v>144</v>
      </c>
      <c r="D70" s="251"/>
      <c r="E70" s="82" t="s">
        <v>239</v>
      </c>
      <c r="F70" s="34"/>
      <c r="G70" s="256">
        <f>管理者用グラフシート!I56</f>
        <v>0.63</v>
      </c>
      <c r="H70" s="256"/>
      <c r="I70" s="110" t="s">
        <v>240</v>
      </c>
    </row>
    <row r="71" spans="1:9" ht="22.5" customHeight="1" x14ac:dyDescent="0.15">
      <c r="A71" s="20" t="s">
        <v>241</v>
      </c>
      <c r="C71" s="251">
        <f>管理者用グラフシート!I46</f>
        <v>102</v>
      </c>
      <c r="D71" s="251"/>
      <c r="E71" s="20" t="s">
        <v>239</v>
      </c>
      <c r="G71" s="260">
        <f>管理者用グラフシート!I64</f>
        <v>0.44</v>
      </c>
      <c r="H71" s="253"/>
      <c r="I71" s="20" t="s">
        <v>242</v>
      </c>
    </row>
    <row r="72" spans="1:9" ht="27.75" customHeight="1" x14ac:dyDescent="0.15">
      <c r="C72" s="81"/>
      <c r="D72" s="81"/>
      <c r="G72" s="261" t="s">
        <v>236</v>
      </c>
      <c r="H72" s="261"/>
      <c r="I72" s="261"/>
    </row>
    <row r="73" spans="1:9" ht="22.5" customHeight="1" x14ac:dyDescent="0.15">
      <c r="A73" s="250">
        <f>管理者入力シート!B5</f>
        <v>2020</v>
      </c>
      <c r="B73" s="250"/>
      <c r="C73" s="20" t="s">
        <v>228</v>
      </c>
      <c r="D73" s="34"/>
      <c r="E73" s="34"/>
      <c r="F73" s="35"/>
    </row>
    <row r="74" spans="1:9" ht="22.5" customHeight="1" x14ac:dyDescent="0.15">
      <c r="B74" s="20" t="s">
        <v>81</v>
      </c>
      <c r="D74" s="37"/>
      <c r="E74" s="251"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15ポイント上昇</v>
      </c>
      <c r="F74" s="251"/>
      <c r="G74" s="251"/>
      <c r="H74" s="20" t="s">
        <v>82</v>
      </c>
    </row>
    <row r="75" spans="1:9" ht="22.5" customHeight="1" x14ac:dyDescent="0.15">
      <c r="B75" s="20" t="s">
        <v>83</v>
      </c>
      <c r="D75" s="37"/>
      <c r="E75" s="257"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19ポイント上昇</v>
      </c>
      <c r="F75" s="257"/>
      <c r="G75" s="257"/>
      <c r="H75" s="20" t="s">
        <v>77</v>
      </c>
    </row>
    <row r="101" spans="1:8" s="39" customFormat="1" ht="40.5" customHeight="1" x14ac:dyDescent="0.15">
      <c r="A101" s="108" t="s">
        <v>112</v>
      </c>
    </row>
    <row r="102" spans="1:8" ht="22.5" customHeight="1" x14ac:dyDescent="0.15">
      <c r="A102" s="250">
        <f>管理者用グラフシート!H91</f>
        <v>2030</v>
      </c>
      <c r="B102" s="250"/>
      <c r="C102" s="20" t="s">
        <v>364</v>
      </c>
      <c r="D102" s="196"/>
    </row>
    <row r="103" spans="1:8" ht="27.75" customHeight="1" x14ac:dyDescent="0.15">
      <c r="A103" s="250">
        <f>管理者入力シート!B5</f>
        <v>2020</v>
      </c>
      <c r="B103" s="250"/>
      <c r="C103" s="20" t="s">
        <v>385</v>
      </c>
      <c r="D103" s="36"/>
      <c r="G103" s="205">
        <f>SUM(管理者用グラフシート!H97:I98)-SUM(管理者用グラフシート!B93:C94)</f>
        <v>-12</v>
      </c>
      <c r="H103" s="207" t="s">
        <v>60</v>
      </c>
    </row>
    <row r="104" spans="1:8" ht="22.5" customHeight="1" x14ac:dyDescent="0.15">
      <c r="A104" s="35" t="s">
        <v>387</v>
      </c>
      <c r="C104" s="205">
        <f>SUM(管理者用グラフシート!H99:I100)-SUM(管理者用グラフシート!B95:C96)</f>
        <v>-13</v>
      </c>
      <c r="D104" s="20" t="s">
        <v>423</v>
      </c>
      <c r="E104" s="34"/>
      <c r="G104" s="205">
        <f>SUM(管理者用グラフシート!H101:I102)-SUM(管理者用グラフシート!B97:C98)</f>
        <v>-12</v>
      </c>
      <c r="H104" s="20" t="s">
        <v>60</v>
      </c>
    </row>
    <row r="105" spans="1:8" ht="22.5" customHeight="1" x14ac:dyDescent="0.15">
      <c r="A105" s="20" t="s">
        <v>389</v>
      </c>
      <c r="C105" s="205">
        <f>SUM(管理者用グラフシート!H103:I104)-SUM(管理者用グラフシート!B99:C100)</f>
        <v>-23</v>
      </c>
      <c r="D105" s="20" t="s">
        <v>70</v>
      </c>
      <c r="E105" s="34"/>
      <c r="F105" s="35"/>
    </row>
    <row r="136" spans="1:8" ht="22.5" customHeight="1" x14ac:dyDescent="0.15">
      <c r="A136" s="250">
        <f>管理者用グラフシート!H139</f>
        <v>2040</v>
      </c>
      <c r="B136" s="250"/>
      <c r="C136" s="20" t="s">
        <v>364</v>
      </c>
    </row>
    <row r="137" spans="1:8" ht="22.5" customHeight="1" x14ac:dyDescent="0.15">
      <c r="A137" s="250">
        <f>管理者入力シート!B5</f>
        <v>2020</v>
      </c>
      <c r="B137" s="250"/>
      <c r="C137" s="20" t="s">
        <v>385</v>
      </c>
      <c r="D137" s="36"/>
      <c r="G137" s="205">
        <f>SUM(管理者用グラフシート!H145:I146)-SUM(管理者用グラフシート!B93:C94)</f>
        <v>-15</v>
      </c>
      <c r="H137" s="207" t="s">
        <v>60</v>
      </c>
    </row>
    <row r="138" spans="1:8" ht="22.5" customHeight="1" x14ac:dyDescent="0.15">
      <c r="A138" s="35" t="s">
        <v>387</v>
      </c>
      <c r="C138" s="205">
        <f>SUM(管理者用グラフシート!H147:I148)-SUM(管理者用グラフシート!B95:C96)</f>
        <v>-21</v>
      </c>
      <c r="D138" s="20" t="s">
        <v>423</v>
      </c>
      <c r="E138" s="34"/>
      <c r="G138" s="205">
        <f>SUM(管理者用グラフシート!H149:I150)-SUM(管理者用グラフシート!B97:C98)</f>
        <v>-24</v>
      </c>
      <c r="H138" s="20" t="s">
        <v>60</v>
      </c>
    </row>
    <row r="139" spans="1:8" ht="22.5" customHeight="1" x14ac:dyDescent="0.15">
      <c r="A139" s="20" t="s">
        <v>389</v>
      </c>
      <c r="C139" s="205">
        <f>SUM(管理者用グラフシート!H151:I152)-SUM(管理者用グラフシート!B99:C100)</f>
        <v>-36</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4" t="str">
        <f>管理者入力シート!B4</f>
        <v>大字岩戸・上岩戸</v>
      </c>
      <c r="B2" s="274"/>
      <c r="C2" s="274"/>
      <c r="D2" s="254" t="s">
        <v>249</v>
      </c>
      <c r="E2" s="254"/>
      <c r="F2" s="254"/>
      <c r="G2" s="254"/>
      <c r="H2" s="254"/>
      <c r="I2" s="254"/>
    </row>
    <row r="3" spans="1:9" ht="31.5" customHeight="1" x14ac:dyDescent="0.15">
      <c r="A3" s="274"/>
      <c r="B3" s="274"/>
      <c r="C3" s="274"/>
      <c r="D3" s="254"/>
      <c r="E3" s="254"/>
      <c r="F3" s="254"/>
      <c r="G3" s="254"/>
      <c r="H3" s="254"/>
      <c r="I3" s="254"/>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8" t="s">
        <v>254</v>
      </c>
      <c r="B15" s="278"/>
      <c r="C15" s="278"/>
      <c r="D15" s="279" t="s">
        <v>258</v>
      </c>
      <c r="E15" s="280"/>
      <c r="F15" s="275" t="s">
        <v>257</v>
      </c>
      <c r="G15" s="276"/>
      <c r="H15" s="277"/>
    </row>
    <row r="16" spans="1:9" ht="17.25" customHeight="1" x14ac:dyDescent="0.15">
      <c r="A16" s="124" t="s">
        <v>254</v>
      </c>
      <c r="B16" s="124" t="s">
        <v>21</v>
      </c>
      <c r="C16" s="124" t="s">
        <v>22</v>
      </c>
      <c r="D16" s="279"/>
      <c r="E16" s="280"/>
      <c r="F16" s="126"/>
      <c r="G16" s="127" t="s">
        <v>21</v>
      </c>
      <c r="H16" s="128" t="s">
        <v>22</v>
      </c>
    </row>
    <row r="17" spans="1:9" ht="18.75" customHeight="1" x14ac:dyDescent="0.15">
      <c r="A17" s="125" t="s">
        <v>0</v>
      </c>
      <c r="B17" s="116">
        <v>1</v>
      </c>
      <c r="C17" s="116">
        <v>1</v>
      </c>
      <c r="D17" s="279"/>
      <c r="E17" s="280"/>
      <c r="F17" s="119" t="s">
        <v>0</v>
      </c>
      <c r="G17" s="116">
        <v>1</v>
      </c>
      <c r="H17" s="118">
        <v>1</v>
      </c>
    </row>
    <row r="18" spans="1:9" ht="18.75" customHeight="1" x14ac:dyDescent="0.15">
      <c r="A18" s="125" t="s">
        <v>1</v>
      </c>
      <c r="B18" s="116"/>
      <c r="C18" s="116"/>
      <c r="D18" s="279"/>
      <c r="E18" s="280"/>
      <c r="F18" s="119" t="s">
        <v>1</v>
      </c>
      <c r="G18" s="116"/>
      <c r="H18" s="118"/>
    </row>
    <row r="19" spans="1:9" ht="18.75" customHeight="1" x14ac:dyDescent="0.15">
      <c r="A19" s="125" t="s">
        <v>2</v>
      </c>
      <c r="B19" s="73">
        <v>1</v>
      </c>
      <c r="C19" s="73">
        <v>1</v>
      </c>
      <c r="D19" s="279"/>
      <c r="E19" s="280"/>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64">
        <f>管理者入力シート!B5</f>
        <v>2020</v>
      </c>
      <c r="C31" s="264"/>
      <c r="D31" s="83" t="s">
        <v>412</v>
      </c>
      <c r="E31" s="131"/>
      <c r="F31" s="131"/>
      <c r="G31" s="131"/>
      <c r="H31" s="131"/>
      <c r="I31" s="236"/>
    </row>
    <row r="32" spans="1:9" s="131" customFormat="1" ht="17.25" customHeight="1" x14ac:dyDescent="0.15">
      <c r="A32" s="159" t="s">
        <v>409</v>
      </c>
      <c r="B32" s="263">
        <f>管理者入力シート!B5</f>
        <v>2020</v>
      </c>
      <c r="C32" s="263"/>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71" t="s">
        <v>257</v>
      </c>
      <c r="C35" s="272"/>
      <c r="D35" s="273"/>
      <c r="F35" s="162"/>
      <c r="G35" s="239"/>
      <c r="H35" s="265" t="s">
        <v>410</v>
      </c>
      <c r="I35" s="266"/>
    </row>
    <row r="36" spans="1:9" s="132" customFormat="1" ht="17.25" customHeight="1" x14ac:dyDescent="0.15">
      <c r="A36" s="160"/>
      <c r="B36" s="214"/>
      <c r="C36" s="127" t="s">
        <v>21</v>
      </c>
      <c r="D36" s="215" t="s">
        <v>22</v>
      </c>
      <c r="F36" s="162"/>
      <c r="G36" s="237">
        <f>管理者入力シート!B8</f>
        <v>2025</v>
      </c>
      <c r="H36" s="267">
        <f>管理者用人口入力シート!EU22</f>
        <v>438</v>
      </c>
      <c r="I36" s="268"/>
    </row>
    <row r="37" spans="1:9" s="130" customFormat="1" ht="17.25" customHeight="1" x14ac:dyDescent="0.15">
      <c r="A37" s="165"/>
      <c r="B37" s="225" t="s">
        <v>5</v>
      </c>
      <c r="C37" s="226">
        <f>管理者用人口入力シート!DX1</f>
        <v>7</v>
      </c>
      <c r="D37" s="227">
        <f>C37</f>
        <v>7</v>
      </c>
      <c r="F37" s="162"/>
      <c r="G37" s="237">
        <f>管理者入力シート!B9</f>
        <v>2030</v>
      </c>
      <c r="H37" s="267">
        <f>管理者用人口入力シート!EU25</f>
        <v>426</v>
      </c>
      <c r="I37" s="268"/>
    </row>
    <row r="38" spans="1:9" s="132" customFormat="1" ht="17.25" customHeight="1" x14ac:dyDescent="0.15">
      <c r="A38" s="160"/>
      <c r="B38" s="225" t="s">
        <v>6</v>
      </c>
      <c r="C38" s="226">
        <f>C37</f>
        <v>7</v>
      </c>
      <c r="D38" s="227">
        <f>C37</f>
        <v>7</v>
      </c>
      <c r="F38" s="162"/>
      <c r="G38" s="237">
        <f>管理者入力シート!B10</f>
        <v>2035</v>
      </c>
      <c r="H38" s="267">
        <f>管理者用人口入力シート!EU28</f>
        <v>426</v>
      </c>
      <c r="I38" s="268"/>
    </row>
    <row r="39" spans="1:9" ht="17.25" customHeight="1" thickBot="1" x14ac:dyDescent="0.2">
      <c r="A39" s="166"/>
      <c r="B39" s="228" t="s">
        <v>7</v>
      </c>
      <c r="C39" s="229">
        <f>C37</f>
        <v>7</v>
      </c>
      <c r="D39" s="230">
        <f>C37</f>
        <v>7</v>
      </c>
      <c r="F39" s="162"/>
      <c r="G39" s="238">
        <f>管理者入力シート!B11</f>
        <v>2040</v>
      </c>
      <c r="H39" s="269">
        <f>管理者用人口入力シート!EU31</f>
        <v>426</v>
      </c>
      <c r="I39" s="270"/>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50">
        <f>管理者入力シート!B9</f>
        <v>2030</v>
      </c>
      <c r="B43" s="250"/>
      <c r="C43" s="20" t="s">
        <v>417</v>
      </c>
      <c r="D43" s="251">
        <f>管理者用グラフシート!U8</f>
        <v>354</v>
      </c>
      <c r="E43" s="251"/>
      <c r="F43" s="20" t="s">
        <v>231</v>
      </c>
      <c r="H43" s="34"/>
      <c r="I43" s="34"/>
    </row>
    <row r="44" spans="1:9" ht="22.5" customHeight="1" x14ac:dyDescent="0.15">
      <c r="A44" s="250">
        <f>管理者入力シート!B11</f>
        <v>2040</v>
      </c>
      <c r="B44" s="250"/>
      <c r="C44" s="20" t="s">
        <v>417</v>
      </c>
      <c r="D44" s="251">
        <f>管理者用グラフシート!U10</f>
        <v>263</v>
      </c>
      <c r="E44" s="251"/>
      <c r="F44" s="20" t="s">
        <v>231</v>
      </c>
      <c r="H44" s="34"/>
      <c r="I44" s="34"/>
    </row>
    <row r="45" spans="1:9" ht="22.5" customHeight="1" x14ac:dyDescent="0.15">
      <c r="A45" s="20" t="s">
        <v>121</v>
      </c>
    </row>
    <row r="46" spans="1:9" ht="22.5" customHeight="1" x14ac:dyDescent="0.15">
      <c r="A46" s="250">
        <f>管理者入力シート!B9</f>
        <v>2030</v>
      </c>
      <c r="B46" s="250"/>
      <c r="C46" s="20" t="s">
        <v>418</v>
      </c>
      <c r="D46" s="258">
        <f>D43-将来予測シート①!D6</f>
        <v>18</v>
      </c>
      <c r="E46" s="258"/>
      <c r="F46" s="20" t="s">
        <v>122</v>
      </c>
    </row>
    <row r="47" spans="1:9" ht="22.5" customHeight="1" x14ac:dyDescent="0.15">
      <c r="A47" s="250">
        <f>管理者入力シート!B11</f>
        <v>2040</v>
      </c>
      <c r="B47" s="250"/>
      <c r="C47" s="20" t="s">
        <v>418</v>
      </c>
      <c r="D47" s="258">
        <f>D44-将来予測シート①!D10</f>
        <v>33</v>
      </c>
      <c r="E47" s="258"/>
      <c r="F47" s="20" t="s">
        <v>123</v>
      </c>
    </row>
    <row r="76" spans="1:9" s="39" customFormat="1" ht="40.5" customHeight="1" x14ac:dyDescent="0.15">
      <c r="A76" s="108" t="s">
        <v>68</v>
      </c>
      <c r="I76" s="115"/>
    </row>
    <row r="77" spans="1:9" ht="22.5" customHeight="1" x14ac:dyDescent="0.15">
      <c r="A77" s="250">
        <f>管理者用グラフシート!O20</f>
        <v>2040</v>
      </c>
      <c r="B77" s="250"/>
      <c r="C77" s="20" t="s">
        <v>263</v>
      </c>
      <c r="F77" s="36"/>
      <c r="G77" s="36"/>
      <c r="H77" s="67"/>
      <c r="I77" s="34"/>
    </row>
    <row r="78" spans="1:9" ht="22.5" customHeight="1" x14ac:dyDescent="0.15">
      <c r="A78" s="20" t="s">
        <v>237</v>
      </c>
      <c r="E78" s="34"/>
      <c r="F78" s="251">
        <f>管理者用グラフシート!Q20</f>
        <v>12</v>
      </c>
      <c r="G78" s="251"/>
      <c r="H78" s="82" t="s">
        <v>264</v>
      </c>
      <c r="I78" s="34"/>
    </row>
    <row r="79" spans="1:9" ht="22.5" customHeight="1" x14ac:dyDescent="0.15">
      <c r="A79" s="20" t="s">
        <v>234</v>
      </c>
      <c r="F79" s="251">
        <f>管理者用グラフシート!Q28</f>
        <v>6</v>
      </c>
      <c r="G79" s="251"/>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2">
        <f>F78-将来予測シート①!F36</f>
        <v>7</v>
      </c>
      <c r="D82" s="252"/>
      <c r="E82" s="20" t="s">
        <v>60</v>
      </c>
    </row>
    <row r="83" spans="1:13" ht="22.5" customHeight="1" x14ac:dyDescent="0.15">
      <c r="A83" s="20" t="s">
        <v>69</v>
      </c>
      <c r="C83" s="252">
        <f>F79-将来予測シート①!F37</f>
        <v>3</v>
      </c>
      <c r="D83" s="252"/>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50">
        <f>管理者用グラフシート!O38</f>
        <v>2040</v>
      </c>
      <c r="B111" s="250"/>
      <c r="C111" s="20" t="s">
        <v>371</v>
      </c>
      <c r="F111" s="36"/>
      <c r="G111" s="36"/>
      <c r="H111" s="67"/>
      <c r="I111" s="34"/>
    </row>
    <row r="112" spans="1:9" ht="22.5" customHeight="1" x14ac:dyDescent="0.15">
      <c r="A112" s="20" t="s">
        <v>269</v>
      </c>
      <c r="C112" s="251">
        <f>管理者用グラフシート!Q38</f>
        <v>144</v>
      </c>
      <c r="D112" s="251"/>
      <c r="E112" s="20" t="s">
        <v>270</v>
      </c>
      <c r="F112" s="36"/>
      <c r="G112" s="111">
        <f>管理者用グラフシート!Q56</f>
        <v>0.55000000000000004</v>
      </c>
      <c r="H112" s="82" t="s">
        <v>271</v>
      </c>
      <c r="I112" s="34"/>
    </row>
    <row r="113" spans="1:9" ht="22.5" customHeight="1" x14ac:dyDescent="0.15">
      <c r="A113" s="20" t="s">
        <v>268</v>
      </c>
      <c r="C113" s="251">
        <f>管理者用グラフシート!Q46</f>
        <v>102</v>
      </c>
      <c r="D113" s="251"/>
      <c r="E113" s="82" t="s">
        <v>270</v>
      </c>
      <c r="F113" s="34"/>
      <c r="G113" s="111">
        <f>管理者用グラフシート!Q64</f>
        <v>0.39</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1"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8ポイント低下</v>
      </c>
      <c r="F116" s="251"/>
      <c r="G116" s="251"/>
      <c r="H116" s="20" t="s">
        <v>82</v>
      </c>
    </row>
    <row r="117" spans="1:9" ht="22.5" customHeight="1" x14ac:dyDescent="0.15">
      <c r="B117" s="20" t="s">
        <v>83</v>
      </c>
      <c r="D117" s="37"/>
      <c r="E117" s="257"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5ポイント低下</v>
      </c>
      <c r="F117" s="257"/>
      <c r="G117" s="257"/>
      <c r="H117" s="20" t="s">
        <v>77</v>
      </c>
    </row>
    <row r="143" spans="1:9" s="113" customFormat="1" ht="46.5" customHeight="1" x14ac:dyDescent="0.15">
      <c r="A143" s="108" t="s">
        <v>112</v>
      </c>
      <c r="I143" s="114"/>
    </row>
    <row r="144" spans="1:9" ht="22.5" customHeight="1" x14ac:dyDescent="0.15">
      <c r="A144" s="250">
        <f>管理者用グラフシート!O91</f>
        <v>2030</v>
      </c>
      <c r="B144" s="250"/>
      <c r="C144" s="20" t="s">
        <v>364</v>
      </c>
    </row>
    <row r="177" spans="1:9" ht="22.5" customHeight="1" x14ac:dyDescent="0.15">
      <c r="A177" s="250">
        <f>管理者用グラフシート!O139</f>
        <v>2040</v>
      </c>
      <c r="B177" s="250"/>
      <c r="C177" s="20" t="s">
        <v>364</v>
      </c>
    </row>
    <row r="178" spans="1:9" ht="22.5" customHeight="1" x14ac:dyDescent="0.15">
      <c r="E178" s="261"/>
      <c r="F178" s="261"/>
      <c r="G178" s="261"/>
      <c r="H178" s="261"/>
      <c r="I178" s="261"/>
    </row>
    <row r="210" spans="1:9" ht="22.5" customHeight="1" x14ac:dyDescent="0.15">
      <c r="A210" s="20" t="s">
        <v>274</v>
      </c>
      <c r="B210" s="250">
        <f>管理者用グラフシート!O212</f>
        <v>2030</v>
      </c>
      <c r="C210" s="250"/>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50">
        <f>管理者用グラフシート!O236</f>
        <v>2040</v>
      </c>
      <c r="C245" s="250"/>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5" t="str">
        <f>管理者入力シート!B4</f>
        <v>大字岩戸・上岩戸</v>
      </c>
      <c r="B1" s="255"/>
      <c r="C1" s="255"/>
      <c r="D1" s="254" t="s">
        <v>278</v>
      </c>
      <c r="E1" s="254"/>
      <c r="F1" s="254"/>
      <c r="G1" s="254"/>
      <c r="H1" s="254"/>
    </row>
    <row r="2" spans="1:8" ht="22.5" customHeight="1" x14ac:dyDescent="0.15">
      <c r="A2" s="255"/>
      <c r="B2" s="255"/>
      <c r="C2" s="255"/>
      <c r="D2" s="254"/>
      <c r="E2" s="254"/>
      <c r="F2" s="254"/>
      <c r="G2" s="254"/>
      <c r="H2" s="254"/>
    </row>
    <row r="3" spans="1:8" ht="22.5" customHeight="1" x14ac:dyDescent="0.15">
      <c r="A3" s="20" t="s">
        <v>279</v>
      </c>
    </row>
    <row r="5" spans="1:8" s="113" customFormat="1" ht="40.5" customHeight="1" x14ac:dyDescent="0.15">
      <c r="A5" s="108" t="s">
        <v>280</v>
      </c>
    </row>
    <row r="6" spans="1:8" ht="22.5" customHeight="1" x14ac:dyDescent="0.15">
      <c r="A6" s="250">
        <f>管理者用グラフシート!B6</f>
        <v>2020</v>
      </c>
      <c r="B6" s="250"/>
      <c r="C6" s="20" t="s">
        <v>419</v>
      </c>
    </row>
    <row r="7" spans="1:8" ht="22.5" customHeight="1" x14ac:dyDescent="0.15">
      <c r="A7" s="20" t="s">
        <v>281</v>
      </c>
      <c r="F7" s="281">
        <f>管理者用地域特徴シート!H5</f>
        <v>0.82269639374306547</v>
      </c>
      <c r="G7" s="281"/>
      <c r="H7" s="20" t="s">
        <v>282</v>
      </c>
    </row>
    <row r="8" spans="1:8" ht="22.5" customHeight="1" x14ac:dyDescent="0.15">
      <c r="A8" s="243" t="str">
        <f>管理者入力シート!B3</f>
        <v>高千穂町</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84" t="str">
        <f>地域特徴シート!A1</f>
        <v>大字岩戸・上岩戸</v>
      </c>
      <c r="B11" s="284"/>
      <c r="C11" s="258">
        <f>管理者用地域特徴シート!D5</f>
        <v>172.19778836509531</v>
      </c>
      <c r="D11" s="253"/>
      <c r="E11" s="20" t="s">
        <v>413</v>
      </c>
    </row>
    <row r="12" spans="1:8" ht="22.5" customHeight="1" x14ac:dyDescent="0.15">
      <c r="A12" s="253" t="str">
        <f>A8</f>
        <v>高千穂町</v>
      </c>
      <c r="B12" s="253"/>
      <c r="C12" s="258">
        <f>管理者用地域特徴シート!D4</f>
        <v>4506.9999999999991</v>
      </c>
      <c r="D12" s="253"/>
      <c r="E12" s="20" t="s">
        <v>413</v>
      </c>
    </row>
    <row r="13" spans="1:8" ht="22.5" customHeight="1" x14ac:dyDescent="0.15">
      <c r="A13" s="253" t="s">
        <v>414</v>
      </c>
      <c r="B13" s="253"/>
      <c r="C13" s="258">
        <f>管理者用地域特徴シート!D3</f>
        <v>468575.00000000006</v>
      </c>
      <c r="D13" s="253"/>
      <c r="E13" s="20" t="s">
        <v>416</v>
      </c>
    </row>
    <row r="23" spans="1:8" ht="22.5" customHeight="1" x14ac:dyDescent="0.15">
      <c r="A23" s="20" t="s">
        <v>285</v>
      </c>
      <c r="G23" s="240">
        <f>管理者用地域特徴シート!J5</f>
        <v>0.14546042739276133</v>
      </c>
      <c r="H23" s="35" t="s">
        <v>286</v>
      </c>
    </row>
    <row r="24" spans="1:8" ht="22.5" customHeight="1" x14ac:dyDescent="0.15">
      <c r="A24" s="243" t="str">
        <f>管理者入力シート!B3</f>
        <v>高千穂町</v>
      </c>
      <c r="B24" s="20" t="s">
        <v>293</v>
      </c>
      <c r="D24" s="152" t="str">
        <f>IF(管理者用地域特徴シート!J5-管理者用地域特徴シート!J4&gt;0.01,"高く、",IF(管理者用地域特徴シート!J5-管理者用地域特徴シート!J4&lt;-0.01,"低く、","同程度で、"))</f>
        <v>低く、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同程度です。</v>
      </c>
    </row>
    <row r="35" spans="1:8" s="113" customFormat="1" ht="40.5" customHeight="1" x14ac:dyDescent="0.15">
      <c r="A35" s="108" t="s">
        <v>206</v>
      </c>
    </row>
    <row r="36" spans="1:8" ht="22.5" customHeight="1" x14ac:dyDescent="0.15">
      <c r="A36" s="250">
        <f>管理者用グラフシート!B36</f>
        <v>2020</v>
      </c>
      <c r="B36" s="250"/>
      <c r="C36" s="20" t="s">
        <v>420</v>
      </c>
    </row>
    <row r="37" spans="1:8" ht="22.5" customHeight="1" x14ac:dyDescent="0.15">
      <c r="A37" s="20" t="s">
        <v>287</v>
      </c>
      <c r="F37" s="281">
        <f>管理者用地域特徴シート!P5</f>
        <v>0.10576498514932775</v>
      </c>
      <c r="G37" s="281"/>
      <c r="H37" s="20" t="s">
        <v>286</v>
      </c>
    </row>
    <row r="38" spans="1:8" ht="22.5" customHeight="1" x14ac:dyDescent="0.15">
      <c r="A38" s="243" t="str">
        <f>管理者入力シート!B3</f>
        <v>高千穂町</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243" t="str">
        <f>管理者入力シート!B3</f>
        <v>高千穂町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3">
        <f>管理者用地域特徴シート!W5</f>
        <v>28.711278836509535</v>
      </c>
      <c r="F70" s="283"/>
      <c r="G70" s="20" t="s">
        <v>290</v>
      </c>
    </row>
    <row r="71" spans="1:8" ht="22.5" customHeight="1" x14ac:dyDescent="0.15">
      <c r="A71" s="20" t="s">
        <v>295</v>
      </c>
      <c r="F71" s="281">
        <f>管理者用地域特徴シート!AK5</f>
        <v>0.26377508306071462</v>
      </c>
      <c r="G71" s="281"/>
      <c r="H71" s="20" t="s">
        <v>271</v>
      </c>
    </row>
    <row r="72" spans="1:8" ht="22.5" customHeight="1" x14ac:dyDescent="0.15">
      <c r="A72" s="20" t="s">
        <v>296</v>
      </c>
      <c r="F72" s="281">
        <f>管理者用地域特徴シート!AL5</f>
        <v>0.24921637951528278</v>
      </c>
      <c r="G72" s="281"/>
      <c r="H72" s="20" t="s">
        <v>297</v>
      </c>
    </row>
    <row r="73" spans="1:8" ht="22.5" customHeight="1" x14ac:dyDescent="0.15">
      <c r="A73" s="20" t="s">
        <v>298</v>
      </c>
      <c r="E73" s="281"/>
      <c r="F73" s="281"/>
    </row>
    <row r="74" spans="1:8" ht="22.5" customHeight="1" x14ac:dyDescent="0.15">
      <c r="A74" s="20" t="s">
        <v>339</v>
      </c>
      <c r="C74" s="177">
        <f>管理者用地域特徴シート!AN5</f>
        <v>0.4530382291513283</v>
      </c>
      <c r="D74" s="156" t="s">
        <v>299</v>
      </c>
      <c r="E74" s="177">
        <f>管理者用地域特徴シート!AO5</f>
        <v>0.54696177084867159</v>
      </c>
      <c r="F74" s="20" t="s">
        <v>291</v>
      </c>
    </row>
    <row r="76" spans="1:8" ht="22.5" customHeight="1" x14ac:dyDescent="0.15">
      <c r="A76" s="243" t="str">
        <f>管理者入力シート!B3</f>
        <v>高千穂町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50">
        <f>管理者入力シート!B5</f>
        <v>2020</v>
      </c>
      <c r="B104" s="250"/>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50">
        <f>管理者入力シート!B5</f>
        <v>2020</v>
      </c>
      <c r="B138" s="250"/>
      <c r="C138" s="20" t="s">
        <v>422</v>
      </c>
    </row>
    <row r="139" spans="1:8" ht="22.5" customHeight="1" x14ac:dyDescent="0.15">
      <c r="A139" s="20" t="s">
        <v>315</v>
      </c>
      <c r="C139" s="281">
        <f>管理者用地域特徴シート!CK5</f>
        <v>0.91140090058589673</v>
      </c>
      <c r="D139" s="281"/>
      <c r="E139" s="20" t="s">
        <v>316</v>
      </c>
      <c r="F139" s="244" t="str">
        <f>管理者入力シート!B3</f>
        <v>高千穂町</v>
      </c>
      <c r="G139" s="158" t="s">
        <v>317</v>
      </c>
    </row>
    <row r="140" spans="1:8" ht="22.5" customHeight="1" x14ac:dyDescent="0.15">
      <c r="A140" s="20" t="s">
        <v>318</v>
      </c>
    </row>
    <row r="141" spans="1:8" ht="22.5" customHeight="1" x14ac:dyDescent="0.15">
      <c r="C141" s="281">
        <f>管理者用地域特徴シート!CN5</f>
        <v>0.85395423430287387</v>
      </c>
      <c r="D141" s="281"/>
      <c r="E141" s="20" t="s">
        <v>316</v>
      </c>
      <c r="F141" s="244" t="str">
        <f>管理者入力シート!B3</f>
        <v>高千穂町</v>
      </c>
      <c r="G141" s="158" t="s">
        <v>317</v>
      </c>
    </row>
    <row r="142" spans="1:8" ht="22.5" customHeight="1" x14ac:dyDescent="0.15">
      <c r="A142" s="282" t="s">
        <v>319</v>
      </c>
      <c r="B142" s="282"/>
      <c r="C142" s="282"/>
      <c r="D142" s="282"/>
      <c r="E142" s="282"/>
      <c r="F142" s="282"/>
      <c r="G142" s="282"/>
      <c r="H142" s="282"/>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462</v>
      </c>
    </row>
    <row r="3" spans="1:3" x14ac:dyDescent="0.15">
      <c r="A3" s="202" t="s">
        <v>292</v>
      </c>
      <c r="B3" s="32" t="str">
        <f>管理者用地域特徴シート!B5</f>
        <v>高千穂町</v>
      </c>
    </row>
    <row r="4" spans="1:3" x14ac:dyDescent="0.15">
      <c r="A4" s="153" t="s">
        <v>24</v>
      </c>
      <c r="B4" s="154" t="str">
        <f>管理者用地域特徴シート!C5</f>
        <v>大字岩戸・上岩戸</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45441_10</v>
      </c>
      <c r="B1" s="24" t="s">
        <v>44</v>
      </c>
      <c r="C1" s="25"/>
      <c r="D1" s="295" t="s">
        <v>0</v>
      </c>
      <c r="E1" s="295" t="s">
        <v>1</v>
      </c>
      <c r="F1" s="295" t="s">
        <v>2</v>
      </c>
      <c r="G1" s="295" t="s">
        <v>3</v>
      </c>
      <c r="H1" s="295" t="s">
        <v>4</v>
      </c>
      <c r="I1" s="295" t="s">
        <v>5</v>
      </c>
      <c r="J1" s="295" t="s">
        <v>6</v>
      </c>
      <c r="K1" s="295" t="s">
        <v>7</v>
      </c>
      <c r="L1" s="295" t="s">
        <v>8</v>
      </c>
      <c r="M1" s="295" t="s">
        <v>9</v>
      </c>
      <c r="N1" s="295" t="s">
        <v>10</v>
      </c>
      <c r="O1" s="295" t="s">
        <v>11</v>
      </c>
      <c r="P1" s="295" t="s">
        <v>12</v>
      </c>
      <c r="Q1" s="295" t="s">
        <v>13</v>
      </c>
      <c r="R1" s="295" t="s">
        <v>14</v>
      </c>
      <c r="S1" s="295" t="s">
        <v>15</v>
      </c>
      <c r="T1" s="295" t="s">
        <v>16</v>
      </c>
      <c r="U1" s="295" t="s">
        <v>17</v>
      </c>
      <c r="V1" s="295" t="s">
        <v>18</v>
      </c>
      <c r="W1" s="295" t="s">
        <v>19</v>
      </c>
      <c r="X1" s="295" t="s">
        <v>20</v>
      </c>
      <c r="Y1" s="295" t="s">
        <v>23</v>
      </c>
      <c r="Z1" s="296" t="s">
        <v>50</v>
      </c>
      <c r="AA1" s="296" t="s">
        <v>51</v>
      </c>
      <c r="AB1" s="299" t="s">
        <v>79</v>
      </c>
      <c r="AC1" s="299" t="s">
        <v>80</v>
      </c>
      <c r="AD1" s="296" t="s">
        <v>48</v>
      </c>
      <c r="AE1" s="296" t="s">
        <v>49</v>
      </c>
      <c r="AF1" s="296" t="s">
        <v>97</v>
      </c>
      <c r="AH1" s="7"/>
      <c r="AI1" s="42" t="s">
        <v>25</v>
      </c>
      <c r="AJ1" s="40" t="s">
        <v>90</v>
      </c>
      <c r="AK1" s="41"/>
      <c r="AL1" s="298" t="s">
        <v>89</v>
      </c>
      <c r="AM1" s="297" t="s">
        <v>27</v>
      </c>
      <c r="AN1" s="297" t="s">
        <v>28</v>
      </c>
      <c r="AO1" s="297" t="s">
        <v>26</v>
      </c>
      <c r="AP1" s="297" t="s">
        <v>29</v>
      </c>
      <c r="AQ1" s="297" t="s">
        <v>30</v>
      </c>
      <c r="AR1" s="297" t="s">
        <v>31</v>
      </c>
      <c r="AS1" s="297" t="s">
        <v>32</v>
      </c>
      <c r="AT1" s="297" t="s">
        <v>33</v>
      </c>
      <c r="AU1" s="297" t="s">
        <v>34</v>
      </c>
      <c r="AV1" s="297" t="s">
        <v>35</v>
      </c>
      <c r="AW1" s="297" t="s">
        <v>36</v>
      </c>
      <c r="AX1" s="297" t="s">
        <v>37</v>
      </c>
      <c r="AY1" s="297" t="s">
        <v>38</v>
      </c>
      <c r="AZ1" s="297" t="s">
        <v>39</v>
      </c>
      <c r="BA1" s="297" t="s">
        <v>40</v>
      </c>
      <c r="BB1" s="297" t="s">
        <v>45</v>
      </c>
      <c r="BC1" s="297" t="s">
        <v>41</v>
      </c>
      <c r="BD1" s="297" t="s">
        <v>42</v>
      </c>
      <c r="BE1" s="297" t="s">
        <v>46</v>
      </c>
      <c r="BF1" s="297" t="s">
        <v>43</v>
      </c>
      <c r="BI1" s="56" t="s">
        <v>44</v>
      </c>
      <c r="BJ1" s="57"/>
      <c r="BK1" s="301" t="s">
        <v>0</v>
      </c>
      <c r="BL1" s="301" t="s">
        <v>1</v>
      </c>
      <c r="BM1" s="301" t="s">
        <v>2</v>
      </c>
      <c r="BN1" s="301" t="s">
        <v>3</v>
      </c>
      <c r="BO1" s="301" t="s">
        <v>4</v>
      </c>
      <c r="BP1" s="301" t="s">
        <v>5</v>
      </c>
      <c r="BQ1" s="301" t="s">
        <v>6</v>
      </c>
      <c r="BR1" s="301" t="s">
        <v>7</v>
      </c>
      <c r="BS1" s="301" t="s">
        <v>8</v>
      </c>
      <c r="BT1" s="301" t="s">
        <v>9</v>
      </c>
      <c r="BU1" s="301" t="s">
        <v>10</v>
      </c>
      <c r="BV1" s="301" t="s">
        <v>11</v>
      </c>
      <c r="BW1" s="301" t="s">
        <v>12</v>
      </c>
      <c r="BX1" s="301" t="s">
        <v>13</v>
      </c>
      <c r="BY1" s="301" t="s">
        <v>14</v>
      </c>
      <c r="BZ1" s="301" t="s">
        <v>15</v>
      </c>
      <c r="CA1" s="301" t="s">
        <v>16</v>
      </c>
      <c r="CB1" s="301" t="s">
        <v>17</v>
      </c>
      <c r="CC1" s="301" t="s">
        <v>18</v>
      </c>
      <c r="CD1" s="301" t="s">
        <v>19</v>
      </c>
      <c r="CE1" s="301" t="s">
        <v>20</v>
      </c>
      <c r="CF1" s="301" t="s">
        <v>23</v>
      </c>
      <c r="CG1" s="302" t="s">
        <v>50</v>
      </c>
      <c r="CH1" s="302" t="s">
        <v>51</v>
      </c>
      <c r="CI1" s="304" t="s">
        <v>79</v>
      </c>
      <c r="CJ1" s="304" t="s">
        <v>80</v>
      </c>
      <c r="CK1" s="302" t="s">
        <v>48</v>
      </c>
      <c r="CL1" s="302" t="s">
        <v>49</v>
      </c>
      <c r="CM1" s="302" t="s">
        <v>97</v>
      </c>
      <c r="CP1" s="74" t="s">
        <v>44</v>
      </c>
      <c r="CQ1" s="75"/>
      <c r="CR1" s="303" t="s">
        <v>0</v>
      </c>
      <c r="CS1" s="303" t="s">
        <v>1</v>
      </c>
      <c r="CT1" s="303" t="s">
        <v>2</v>
      </c>
      <c r="CU1" s="303" t="s">
        <v>3</v>
      </c>
      <c r="CV1" s="303" t="s">
        <v>4</v>
      </c>
      <c r="CW1" s="303" t="s">
        <v>5</v>
      </c>
      <c r="CX1" s="303" t="s">
        <v>6</v>
      </c>
      <c r="CY1" s="303" t="s">
        <v>7</v>
      </c>
      <c r="CZ1" s="303" t="s">
        <v>8</v>
      </c>
      <c r="DA1" s="303" t="s">
        <v>9</v>
      </c>
      <c r="DB1" s="303" t="s">
        <v>10</v>
      </c>
      <c r="DC1" s="303" t="s">
        <v>11</v>
      </c>
      <c r="DD1" s="303" t="s">
        <v>12</v>
      </c>
      <c r="DE1" s="303" t="s">
        <v>13</v>
      </c>
      <c r="DF1" s="303" t="s">
        <v>14</v>
      </c>
      <c r="DG1" s="303" t="s">
        <v>15</v>
      </c>
      <c r="DH1" s="303" t="s">
        <v>16</v>
      </c>
      <c r="DI1" s="303" t="s">
        <v>17</v>
      </c>
      <c r="DJ1" s="303" t="s">
        <v>18</v>
      </c>
      <c r="DK1" s="303" t="s">
        <v>19</v>
      </c>
      <c r="DL1" s="303" t="s">
        <v>20</v>
      </c>
      <c r="DM1" s="303" t="s">
        <v>23</v>
      </c>
      <c r="DN1" s="306" t="s">
        <v>50</v>
      </c>
      <c r="DO1" s="306" t="s">
        <v>51</v>
      </c>
      <c r="DP1" s="307" t="s">
        <v>79</v>
      </c>
      <c r="DQ1" s="307" t="s">
        <v>80</v>
      </c>
      <c r="DR1" s="306" t="s">
        <v>48</v>
      </c>
      <c r="DS1" s="306" t="s">
        <v>49</v>
      </c>
      <c r="DT1" s="306" t="s">
        <v>97</v>
      </c>
      <c r="DV1" s="290" t="s">
        <v>463</v>
      </c>
      <c r="DW1" s="291"/>
      <c r="DX1" s="286">
        <f>DW17</f>
        <v>7</v>
      </c>
      <c r="DY1" s="287"/>
      <c r="DZ1" s="292" t="s">
        <v>0</v>
      </c>
      <c r="EA1" s="292" t="s">
        <v>1</v>
      </c>
      <c r="EB1" s="292" t="s">
        <v>2</v>
      </c>
      <c r="EC1" s="292" t="s">
        <v>3</v>
      </c>
      <c r="ED1" s="292" t="s">
        <v>4</v>
      </c>
      <c r="EE1" s="292" t="s">
        <v>5</v>
      </c>
      <c r="EF1" s="292" t="s">
        <v>6</v>
      </c>
      <c r="EG1" s="292" t="s">
        <v>7</v>
      </c>
      <c r="EH1" s="292" t="s">
        <v>8</v>
      </c>
      <c r="EI1" s="292" t="s">
        <v>9</v>
      </c>
      <c r="EJ1" s="292" t="s">
        <v>10</v>
      </c>
      <c r="EK1" s="292" t="s">
        <v>11</v>
      </c>
      <c r="EL1" s="292" t="s">
        <v>12</v>
      </c>
      <c r="EM1" s="292" t="s">
        <v>13</v>
      </c>
      <c r="EN1" s="292" t="s">
        <v>14</v>
      </c>
      <c r="EO1" s="292" t="s">
        <v>15</v>
      </c>
      <c r="EP1" s="292" t="s">
        <v>16</v>
      </c>
      <c r="EQ1" s="292" t="s">
        <v>17</v>
      </c>
      <c r="ER1" s="292" t="s">
        <v>18</v>
      </c>
      <c r="ES1" s="292" t="s">
        <v>19</v>
      </c>
      <c r="ET1" s="292" t="s">
        <v>20</v>
      </c>
      <c r="EU1" s="292" t="s">
        <v>23</v>
      </c>
      <c r="EV1" s="285" t="s">
        <v>50</v>
      </c>
      <c r="EW1" s="285" t="s">
        <v>51</v>
      </c>
      <c r="EX1" s="293" t="s">
        <v>79</v>
      </c>
      <c r="EY1" s="293" t="s">
        <v>80</v>
      </c>
      <c r="EZ1" s="285" t="s">
        <v>48</v>
      </c>
      <c r="FA1" s="285" t="s">
        <v>49</v>
      </c>
      <c r="FB1" s="285" t="s">
        <v>97</v>
      </c>
    </row>
    <row r="2" spans="1:158" x14ac:dyDescent="0.15">
      <c r="A2" s="7" t="s">
        <v>56</v>
      </c>
      <c r="B2" s="26"/>
      <c r="C2" s="27"/>
      <c r="D2" s="295"/>
      <c r="E2" s="295"/>
      <c r="F2" s="295"/>
      <c r="G2" s="295"/>
      <c r="H2" s="295"/>
      <c r="I2" s="295"/>
      <c r="J2" s="295"/>
      <c r="K2" s="295"/>
      <c r="L2" s="295"/>
      <c r="M2" s="295"/>
      <c r="N2" s="295"/>
      <c r="O2" s="295"/>
      <c r="P2" s="295"/>
      <c r="Q2" s="295"/>
      <c r="R2" s="295"/>
      <c r="S2" s="295"/>
      <c r="T2" s="295"/>
      <c r="U2" s="295"/>
      <c r="V2" s="295"/>
      <c r="W2" s="295"/>
      <c r="X2" s="295"/>
      <c r="Y2" s="295"/>
      <c r="Z2" s="296"/>
      <c r="AA2" s="296"/>
      <c r="AB2" s="300"/>
      <c r="AC2" s="300"/>
      <c r="AD2" s="296"/>
      <c r="AE2" s="296"/>
      <c r="AF2" s="296"/>
      <c r="AI2" s="43"/>
      <c r="AJ2" s="44"/>
      <c r="AK2" s="45"/>
      <c r="AL2" s="298"/>
      <c r="AM2" s="297"/>
      <c r="AN2" s="297"/>
      <c r="AO2" s="297"/>
      <c r="AP2" s="297"/>
      <c r="AQ2" s="297"/>
      <c r="AR2" s="297"/>
      <c r="AS2" s="297"/>
      <c r="AT2" s="297"/>
      <c r="AU2" s="297"/>
      <c r="AV2" s="297"/>
      <c r="AW2" s="297"/>
      <c r="AX2" s="297"/>
      <c r="AY2" s="297"/>
      <c r="AZ2" s="297"/>
      <c r="BA2" s="297"/>
      <c r="BB2" s="297"/>
      <c r="BC2" s="297"/>
      <c r="BD2" s="297"/>
      <c r="BE2" s="297"/>
      <c r="BF2" s="297"/>
      <c r="BH2" s="7" t="s">
        <v>56</v>
      </c>
      <c r="BI2" s="58" t="s">
        <v>116</v>
      </c>
      <c r="BJ2" s="59"/>
      <c r="BK2" s="301"/>
      <c r="BL2" s="301"/>
      <c r="BM2" s="301"/>
      <c r="BN2" s="301"/>
      <c r="BO2" s="301"/>
      <c r="BP2" s="301"/>
      <c r="BQ2" s="301"/>
      <c r="BR2" s="301"/>
      <c r="BS2" s="301"/>
      <c r="BT2" s="301"/>
      <c r="BU2" s="301"/>
      <c r="BV2" s="301"/>
      <c r="BW2" s="301"/>
      <c r="BX2" s="301"/>
      <c r="BY2" s="301"/>
      <c r="BZ2" s="301"/>
      <c r="CA2" s="301"/>
      <c r="CB2" s="301"/>
      <c r="CC2" s="301"/>
      <c r="CD2" s="301"/>
      <c r="CE2" s="301"/>
      <c r="CF2" s="301"/>
      <c r="CG2" s="302"/>
      <c r="CH2" s="302"/>
      <c r="CI2" s="305"/>
      <c r="CJ2" s="305"/>
      <c r="CK2" s="302"/>
      <c r="CL2" s="302"/>
      <c r="CM2" s="302"/>
      <c r="CO2" s="7" t="s">
        <v>56</v>
      </c>
      <c r="CP2" s="76" t="s">
        <v>117</v>
      </c>
      <c r="CQ2" s="77"/>
      <c r="CR2" s="303"/>
      <c r="CS2" s="303"/>
      <c r="CT2" s="303"/>
      <c r="CU2" s="303"/>
      <c r="CV2" s="303"/>
      <c r="CW2" s="303"/>
      <c r="CX2" s="303"/>
      <c r="CY2" s="303"/>
      <c r="CZ2" s="303"/>
      <c r="DA2" s="303"/>
      <c r="DB2" s="303"/>
      <c r="DC2" s="303"/>
      <c r="DD2" s="303"/>
      <c r="DE2" s="303"/>
      <c r="DF2" s="303"/>
      <c r="DG2" s="303"/>
      <c r="DH2" s="303"/>
      <c r="DI2" s="303"/>
      <c r="DJ2" s="303"/>
      <c r="DK2" s="303"/>
      <c r="DL2" s="303"/>
      <c r="DM2" s="303"/>
      <c r="DN2" s="306"/>
      <c r="DO2" s="306"/>
      <c r="DP2" s="308"/>
      <c r="DQ2" s="308"/>
      <c r="DR2" s="306"/>
      <c r="DS2" s="306"/>
      <c r="DT2" s="306"/>
      <c r="DV2" s="290"/>
      <c r="DW2" s="291"/>
      <c r="DX2" s="288"/>
      <c r="DY2" s="289"/>
      <c r="DZ2" s="292"/>
      <c r="EA2" s="292"/>
      <c r="EB2" s="292"/>
      <c r="EC2" s="292"/>
      <c r="ED2" s="292"/>
      <c r="EE2" s="292"/>
      <c r="EF2" s="292"/>
      <c r="EG2" s="292"/>
      <c r="EH2" s="292"/>
      <c r="EI2" s="292"/>
      <c r="EJ2" s="292"/>
      <c r="EK2" s="292"/>
      <c r="EL2" s="292"/>
      <c r="EM2" s="292"/>
      <c r="EN2" s="292"/>
      <c r="EO2" s="292"/>
      <c r="EP2" s="292"/>
      <c r="EQ2" s="292"/>
      <c r="ER2" s="292"/>
      <c r="ES2" s="292"/>
      <c r="ET2" s="292"/>
      <c r="EU2" s="292"/>
      <c r="EV2" s="285"/>
      <c r="EW2" s="285"/>
      <c r="EX2" s="294"/>
      <c r="EY2" s="294"/>
      <c r="EZ2" s="285"/>
      <c r="FA2" s="285"/>
      <c r="FB2" s="285"/>
    </row>
    <row r="3" spans="1:158" x14ac:dyDescent="0.15">
      <c r="A3" s="7" t="str">
        <f>B3&amp;"_"&amp;IF(C3="男性",1,IF(C3="女性",2,IF(C3="合計",3)))</f>
        <v>2005_1</v>
      </c>
      <c r="B3" s="28">
        <v>2005</v>
      </c>
      <c r="C3" s="3" t="s">
        <v>21</v>
      </c>
      <c r="D3" s="184">
        <v>9.1059829488465418</v>
      </c>
      <c r="E3" s="9">
        <v>17.245315947843533</v>
      </c>
      <c r="F3" s="9">
        <v>24.245315947843533</v>
      </c>
      <c r="G3" s="9">
        <v>24.523981945837512</v>
      </c>
      <c r="H3" s="9">
        <v>7.9913189568706136</v>
      </c>
      <c r="I3" s="9">
        <v>9.2453159478435332</v>
      </c>
      <c r="J3" s="9">
        <v>10.827316950852559</v>
      </c>
      <c r="K3" s="9">
        <v>9.5733199598796404</v>
      </c>
      <c r="L3" s="9">
        <v>18.03197592778335</v>
      </c>
      <c r="M3" s="9">
        <v>29.261303911735208</v>
      </c>
      <c r="N3" s="9">
        <v>33.60529588766299</v>
      </c>
      <c r="O3" s="9">
        <v>30.629964894684058</v>
      </c>
      <c r="P3" s="9">
        <v>19.777978936810435</v>
      </c>
      <c r="Q3" s="9">
        <v>25.400636910732199</v>
      </c>
      <c r="R3" s="9">
        <v>26.769297893681046</v>
      </c>
      <c r="S3" s="9">
        <v>32.703971915747246</v>
      </c>
      <c r="T3" s="9">
        <v>7.7126529588766308</v>
      </c>
      <c r="U3" s="9">
        <v>4.9259929789368115</v>
      </c>
      <c r="V3" s="9">
        <v>2.5573319959879641</v>
      </c>
      <c r="W3" s="9">
        <v>0.41799899699097298</v>
      </c>
      <c r="X3" s="9">
        <v>0</v>
      </c>
      <c r="Y3" s="9">
        <f>SUM(D3:X3)</f>
        <v>344.55227181544626</v>
      </c>
      <c r="Z3" s="9">
        <f>E3*3/5+F3*3/5</f>
        <v>24.894379137412237</v>
      </c>
      <c r="AA3" s="9">
        <f>F3*2/5+G3*1/5</f>
        <v>14.602922768304916</v>
      </c>
      <c r="AB3" s="9">
        <f t="shared" ref="AB3:AB20" si="0">SUM(Q3:X3)</f>
        <v>100.48788365095288</v>
      </c>
      <c r="AC3" s="9">
        <f>SUM(S3:X3)</f>
        <v>48.317948846539629</v>
      </c>
      <c r="AD3" s="13">
        <f>AB3/Y3</f>
        <v>0.29164771754799967</v>
      </c>
      <c r="AE3" s="13">
        <f>AC3/Y3</f>
        <v>0.14023401613912545</v>
      </c>
      <c r="AF3" s="9">
        <f>SUM(H3:K3)</f>
        <v>37.637271815446347</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1.1818181818181817</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0.95478802462251466</v>
      </c>
      <c r="AO3" s="6">
        <f t="shared" si="1"/>
        <v>0.64465468974464968</v>
      </c>
      <c r="AP3" s="6">
        <f t="shared" si="1"/>
        <v>0.31930744427734337</v>
      </c>
      <c r="AQ3" s="6">
        <f t="shared" si="1"/>
        <v>0.91234594083347953</v>
      </c>
      <c r="AR3" s="6">
        <f t="shared" si="1"/>
        <v>0.83794279185488529</v>
      </c>
      <c r="AS3" s="6">
        <f t="shared" si="1"/>
        <v>0.73033418160463104</v>
      </c>
      <c r="AT3" s="6">
        <f t="shared" si="1"/>
        <v>1.0776951257026204</v>
      </c>
      <c r="AU3" s="6">
        <f t="shared" si="1"/>
        <v>1.1251357886472848</v>
      </c>
      <c r="AV3" s="6">
        <f t="shared" si="1"/>
        <v>1.1323667444875083</v>
      </c>
      <c r="AW3" s="6">
        <f t="shared" si="1"/>
        <v>1.0368869172243096</v>
      </c>
      <c r="AX3" s="6">
        <f t="shared" si="1"/>
        <v>0.98881589372722978</v>
      </c>
      <c r="AY3" s="6">
        <f t="shared" si="1"/>
        <v>0.97328114019068157</v>
      </c>
      <c r="AZ3" s="6">
        <f t="shared" si="1"/>
        <v>0.88492154363142883</v>
      </c>
      <c r="BA3" s="6">
        <f t="shared" si="1"/>
        <v>0.86201771923387993</v>
      </c>
      <c r="BB3" s="6">
        <f t="shared" si="1"/>
        <v>0.84710127707153093</v>
      </c>
      <c r="BC3" s="6">
        <f t="shared" si="1"/>
        <v>0.63715366930335782</v>
      </c>
      <c r="BD3" s="6">
        <f t="shared" si="1"/>
        <v>0.66593700047522353</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2.4713808328783311</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4.6509534674436157</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5.3478683705807679</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4.9299068489699858</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2.6683818243781925</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1.7861799289505098</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6.3364753149034456</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6.6306192479494275</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5.9565925983590589</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9.993450222851509</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9.0915613907332649</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12.553138486012257</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16.601065966520746</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26.28631499777282</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28.263125222321996</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25.424658230533787</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12.092338559441863</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12.120981301396839</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4.6370144181340356</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1.2368660982948846E-2</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4.1799899699097301E-4</v>
      </c>
      <c r="CF3" s="9">
        <f t="shared" ref="CF3:CF14" si="2">SUM(BK3:CE3)</f>
        <v>197.8547938901124</v>
      </c>
      <c r="CG3" s="9">
        <f>BL3*3/5+BM3*3/5</f>
        <v>5.9992931028146295</v>
      </c>
      <c r="CH3" s="9">
        <f>BM3*2/5+BN3*1/5</f>
        <v>3.1251287180263043</v>
      </c>
      <c r="CI3" s="9">
        <f t="shared" ref="CI3:CI14" si="3">SUM(BX3:CE3)</f>
        <v>108.83721938958128</v>
      </c>
      <c r="CJ3" s="9">
        <f>SUM(BZ3:CE3)</f>
        <v>54.28777916948647</v>
      </c>
      <c r="CK3" s="13">
        <f>CI3/CF3</f>
        <v>0.55008633983379218</v>
      </c>
      <c r="CL3" s="13">
        <f>CJ3/CF3</f>
        <v>0.27438192475456341</v>
      </c>
      <c r="CM3" s="9">
        <f>SUM(BO3:BR3)</f>
        <v>17.421656316181576</v>
      </c>
      <c r="CO3" s="7" t="str">
        <f>CP3&amp;"_"&amp;IF(CQ3="男性",1,IF(CQ3="女性",2,IF(CQ3="合計",3)))</f>
        <v>2025_1</v>
      </c>
      <c r="CP3" s="28">
        <f>管理者入力シート!B8</f>
        <v>2025</v>
      </c>
      <c r="CQ3" s="3" t="s">
        <v>21</v>
      </c>
      <c r="CR3" s="9">
        <f>BK3+将来予測シート②!$G17</f>
        <v>3.4713808328783311</v>
      </c>
      <c r="CS3" s="9">
        <f>BL3+将来予測シート②!$G18</f>
        <v>4.6509534674436157</v>
      </c>
      <c r="CT3" s="9">
        <f>BM3+将来予測シート②!$G19</f>
        <v>6.3478683705807679</v>
      </c>
      <c r="CU3" s="9">
        <f>BN3+将来予測シート②!$G20</f>
        <v>4.9299068489699858</v>
      </c>
      <c r="CV3" s="9">
        <f>BO3+将来予測シート②!$G21</f>
        <v>2.6683818243781925</v>
      </c>
      <c r="CW3" s="9">
        <f>BP3+将来予測シート②!$G22</f>
        <v>3.78617992895051</v>
      </c>
      <c r="CX3" s="9">
        <f>BQ3+将来予測シート②!$G23</f>
        <v>6.3364753149034456</v>
      </c>
      <c r="CY3" s="9">
        <f>BR3+将来予測シート②!$G24</f>
        <v>6.6306192479494275</v>
      </c>
      <c r="CZ3" s="9">
        <f>BS3+将来予測シート②!$G25</f>
        <v>5.9565925983590589</v>
      </c>
      <c r="DA3" s="9">
        <f>BT3+将来予測シート②!$G26</f>
        <v>9.993450222851509</v>
      </c>
      <c r="DB3" s="9">
        <f>BU3+将来予測シート②!$G27</f>
        <v>9.0915613907332649</v>
      </c>
      <c r="DC3" s="9">
        <f>BV3+将来予測シート②!$G28</f>
        <v>12.553138486012257</v>
      </c>
      <c r="DD3" s="9">
        <f>BW3+将来予測シート②!$G29</f>
        <v>16.601065966520746</v>
      </c>
      <c r="DE3" s="9">
        <f>BX3</f>
        <v>26.28631499777282</v>
      </c>
      <c r="DF3" s="9">
        <f t="shared" ref="DF3:DL3" si="4">BY3</f>
        <v>28.263125222321996</v>
      </c>
      <c r="DG3" s="9">
        <f t="shared" si="4"/>
        <v>25.424658230533787</v>
      </c>
      <c r="DH3" s="9">
        <f t="shared" si="4"/>
        <v>12.092338559441863</v>
      </c>
      <c r="DI3" s="9">
        <f t="shared" si="4"/>
        <v>12.120981301396839</v>
      </c>
      <c r="DJ3" s="9">
        <f t="shared" si="4"/>
        <v>4.6370144181340356</v>
      </c>
      <c r="DK3" s="9">
        <f t="shared" si="4"/>
        <v>1.2368660982948846E-2</v>
      </c>
      <c r="DL3" s="9">
        <f t="shared" si="4"/>
        <v>4.1799899699097301E-4</v>
      </c>
      <c r="DM3" s="9">
        <f t="shared" ref="DM3:DM4" si="5">SUM(CR3:DL3)</f>
        <v>201.8547938901124</v>
      </c>
      <c r="DN3" s="9">
        <f>CS3*3/5+CT3*3/5</f>
        <v>6.5992931028146291</v>
      </c>
      <c r="DO3" s="9">
        <f>CT3*2/5+CU3*1/5</f>
        <v>3.5251287180263047</v>
      </c>
      <c r="DP3" s="9">
        <f t="shared" ref="DP3:DP14" si="6">SUM(DE3:DL3)</f>
        <v>108.83721938958128</v>
      </c>
      <c r="DQ3" s="9">
        <f>SUM(DG3:DL3)</f>
        <v>54.28777916948647</v>
      </c>
      <c r="DR3" s="13">
        <f>DP3/DM3</f>
        <v>0.53918570518979647</v>
      </c>
      <c r="DS3" s="13">
        <f>DQ3/DM3</f>
        <v>0.26894471081543975</v>
      </c>
      <c r="DT3" s="9">
        <f>SUM(CV3:CY3)</f>
        <v>19.421656316181576</v>
      </c>
      <c r="DV3" s="290"/>
      <c r="DW3" s="291"/>
      <c r="DX3" s="28">
        <f>管理者入力シート!B8</f>
        <v>2025</v>
      </c>
      <c r="DY3" s="3" t="s">
        <v>21</v>
      </c>
      <c r="DZ3" s="9">
        <f>BK$3</f>
        <v>2.4713808328783311</v>
      </c>
      <c r="EA3" s="9">
        <f>BL$3</f>
        <v>4.6509534674436157</v>
      </c>
      <c r="EB3" s="9">
        <f t="shared" ref="EB3:ED3" si="7">BM$3</f>
        <v>5.3478683705807679</v>
      </c>
      <c r="EC3" s="9">
        <f t="shared" si="7"/>
        <v>4.9299068489699858</v>
      </c>
      <c r="ED3" s="9">
        <f t="shared" si="7"/>
        <v>2.6683818243781925</v>
      </c>
      <c r="EE3" s="9">
        <f>BP$3+DX1</f>
        <v>8.78617992895051</v>
      </c>
      <c r="EF3" s="9">
        <f>BQ$3+DX1</f>
        <v>13.336475314903446</v>
      </c>
      <c r="EG3" s="9">
        <f>BR$3+DX1</f>
        <v>13.630619247949427</v>
      </c>
      <c r="EH3" s="9">
        <f t="shared" ref="EH3:ET3" si="8">BS$3</f>
        <v>5.9565925983590589</v>
      </c>
      <c r="EI3" s="9">
        <f t="shared" si="8"/>
        <v>9.993450222851509</v>
      </c>
      <c r="EJ3" s="9">
        <f t="shared" si="8"/>
        <v>9.0915613907332649</v>
      </c>
      <c r="EK3" s="9">
        <f t="shared" si="8"/>
        <v>12.553138486012257</v>
      </c>
      <c r="EL3" s="9">
        <f t="shared" si="8"/>
        <v>16.601065966520746</v>
      </c>
      <c r="EM3" s="9">
        <f t="shared" si="8"/>
        <v>26.28631499777282</v>
      </c>
      <c r="EN3" s="9">
        <f t="shared" si="8"/>
        <v>28.263125222321996</v>
      </c>
      <c r="EO3" s="9">
        <f t="shared" si="8"/>
        <v>25.424658230533787</v>
      </c>
      <c r="EP3" s="9">
        <f t="shared" si="8"/>
        <v>12.092338559441863</v>
      </c>
      <c r="EQ3" s="9">
        <f t="shared" si="8"/>
        <v>12.120981301396839</v>
      </c>
      <c r="ER3" s="9">
        <f t="shared" si="8"/>
        <v>4.6370144181340356</v>
      </c>
      <c r="ES3" s="9">
        <f t="shared" si="8"/>
        <v>1.2368660982948846E-2</v>
      </c>
      <c r="ET3" s="9">
        <f t="shared" si="8"/>
        <v>4.1799899699097301E-4</v>
      </c>
      <c r="EU3" s="9">
        <f t="shared" ref="EU3:EU4" si="9">SUM(DZ3:ET3)</f>
        <v>218.8547938901124</v>
      </c>
      <c r="EV3" s="9">
        <f>EA3*3/5+EB3*3/5</f>
        <v>5.9992931028146295</v>
      </c>
      <c r="EW3" s="9">
        <f>EB3*2/5+EC3*1/5</f>
        <v>3.1251287180263043</v>
      </c>
      <c r="EX3" s="9">
        <f t="shared" ref="EX3:EX14" si="10">SUM(EM3:ET3)</f>
        <v>108.83721938958128</v>
      </c>
      <c r="EY3" s="9">
        <f>SUM(EO3:ET3)</f>
        <v>54.28777916948647</v>
      </c>
      <c r="EZ3" s="13">
        <f>EX3/EU3</f>
        <v>0.49730333731793303</v>
      </c>
      <c r="FA3" s="13">
        <f>EY3/EU3</f>
        <v>0.24805387263641351</v>
      </c>
      <c r="FB3" s="9">
        <f>SUM(ED3:EG3)</f>
        <v>38.421656316181576</v>
      </c>
    </row>
    <row r="4" spans="1:158" x14ac:dyDescent="0.15">
      <c r="A4" s="7" t="str">
        <f t="shared" ref="A4:A14" si="11">B4&amp;"_"&amp;IF(C4="男性",1,IF(C4="女性",2,IF(C4="合計",3)))</f>
        <v>2005_2</v>
      </c>
      <c r="B4" s="29">
        <v>2005</v>
      </c>
      <c r="C4" s="4" t="s">
        <v>22</v>
      </c>
      <c r="D4" s="10">
        <v>6.8519859578736222</v>
      </c>
      <c r="E4" s="10">
        <v>11.991318956870614</v>
      </c>
      <c r="F4" s="10">
        <v>19.523981945837512</v>
      </c>
      <c r="G4" s="10">
        <v>12.991318956870614</v>
      </c>
      <c r="H4" s="10">
        <v>15.57331995987964</v>
      </c>
      <c r="I4" s="10">
        <v>11.57331995987964</v>
      </c>
      <c r="J4" s="10">
        <v>14.548650952858576</v>
      </c>
      <c r="K4" s="10">
        <v>11.57331995987964</v>
      </c>
      <c r="L4" s="10">
        <v>22.802647943831495</v>
      </c>
      <c r="M4" s="10">
        <v>30.81863590772317</v>
      </c>
      <c r="N4" s="10">
        <v>25.654633901705118</v>
      </c>
      <c r="O4" s="10">
        <v>24.400636910732199</v>
      </c>
      <c r="P4" s="10">
        <v>18.03197592778335</v>
      </c>
      <c r="Q4" s="10">
        <v>28.236634904714144</v>
      </c>
      <c r="R4" s="10">
        <v>33.416624874623878</v>
      </c>
      <c r="S4" s="10">
        <v>36.326629889669007</v>
      </c>
      <c r="T4" s="10">
        <v>26.195977933801409</v>
      </c>
      <c r="U4" s="10">
        <v>8.1799899699097303</v>
      </c>
      <c r="V4" s="10">
        <v>3.065325977933802</v>
      </c>
      <c r="W4" s="10">
        <v>0.55733199598796401</v>
      </c>
      <c r="X4" s="10">
        <v>0</v>
      </c>
      <c r="Y4" s="10">
        <f>SUM(D4:X4)</f>
        <v>362.31426278836517</v>
      </c>
      <c r="Z4" s="10">
        <f t="shared" ref="Z4:Z11" si="12">E4*3/5+F4*3/5</f>
        <v>18.909180541624877</v>
      </c>
      <c r="AA4" s="10">
        <f t="shared" ref="AA4:AA11" si="13">F4*2/5+G4*1/5</f>
        <v>10.407856569709129</v>
      </c>
      <c r="AB4" s="10">
        <f t="shared" si="0"/>
        <v>135.97851554663995</v>
      </c>
      <c r="AC4" s="10">
        <f t="shared" ref="AC4:AC11" si="14">SUM(S4:X4)</f>
        <v>74.325255767301911</v>
      </c>
      <c r="AD4" s="14">
        <f t="shared" ref="AD4:AD11" si="15">AB4/Y4</f>
        <v>0.37530544478197275</v>
      </c>
      <c r="AE4" s="14">
        <f t="shared" ref="AE4:AE11" si="16">AC4/Y4</f>
        <v>0.20514029780471751</v>
      </c>
      <c r="AF4" s="10">
        <f t="shared" ref="AF4:AF20" si="17">SUM(H4:K4)</f>
        <v>53.268610832497501</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1.2207745079861205</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0.97619047619047616</v>
      </c>
      <c r="AO4" s="193">
        <f t="shared" si="18"/>
        <v>0.59941329351187789</v>
      </c>
      <c r="AP4" s="193">
        <f t="shared" si="18"/>
        <v>0.47307398330857681</v>
      </c>
      <c r="AQ4" s="193">
        <f t="shared" si="18"/>
        <v>0.96218227454909144</v>
      </c>
      <c r="AR4" s="193">
        <f t="shared" si="18"/>
        <v>0.91989378327550131</v>
      </c>
      <c r="AS4" s="193">
        <f t="shared" si="18"/>
        <v>0.93177790847689168</v>
      </c>
      <c r="AT4" s="193">
        <f t="shared" si="18"/>
        <v>1.0191007002833858</v>
      </c>
      <c r="AU4" s="193">
        <f t="shared" si="18"/>
        <v>1.0520255811634551</v>
      </c>
      <c r="AV4" s="193">
        <f t="shared" si="18"/>
        <v>1.0996444199993245</v>
      </c>
      <c r="AW4" s="193">
        <f t="shared" si="18"/>
        <v>0.97949442258824093</v>
      </c>
      <c r="AX4" s="193">
        <f t="shared" si="18"/>
        <v>1.004858311913662</v>
      </c>
      <c r="AY4" s="193">
        <f t="shared" si="18"/>
        <v>0.94472737352542269</v>
      </c>
      <c r="AZ4" s="193">
        <f t="shared" si="18"/>
        <v>0.99390706848478705</v>
      </c>
      <c r="BA4" s="193">
        <f t="shared" si="18"/>
        <v>0.95009953272007208</v>
      </c>
      <c r="BB4" s="193">
        <f t="shared" si="18"/>
        <v>0.80524938842466676</v>
      </c>
      <c r="BC4" s="193">
        <f t="shared" si="18"/>
        <v>0.73839263439479774</v>
      </c>
      <c r="BD4" s="193">
        <f t="shared" si="18"/>
        <v>0.41637284364833282</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v>
      </c>
      <c r="BH4" s="7" t="str">
        <f t="shared" ref="BH4:BH20" si="19">BI4&amp;"_"&amp;IF(BJ4="男性",1,IF(BJ4="女性",2,IF(BJ4="合計",3)))</f>
        <v>2025_2</v>
      </c>
      <c r="BI4" s="29">
        <f>BI3</f>
        <v>2025</v>
      </c>
      <c r="BJ4" s="4" t="s">
        <v>22</v>
      </c>
      <c r="BK4" s="10">
        <f>CM4*AK$14</f>
        <v>3.1774896422721395</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5.7513070373766846</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4.4578461008715733</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3.8983082930874349</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2.8003318442777854</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3.3102357061515377</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6.1020717829060285</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3.052334937598626</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9.7570953849127857</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7.5788761742158046</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11.659829825978221</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12.261122241513645</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19.960961653845487</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27.352185848296841</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23.200770918398778</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19.839945243511988</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13.975006812945759</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12.27546201866841</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7.9757042827932354</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7.8766549648946853E-3</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9.7533099297893698E-4</v>
      </c>
      <c r="CF4" s="10">
        <f t="shared" si="2"/>
        <v>198.39573773558064</v>
      </c>
      <c r="CG4" s="10">
        <f t="shared" ref="CG4:CG14" si="20">BL4*3/5+BM4*3/5</f>
        <v>6.1254918829489551</v>
      </c>
      <c r="CH4" s="10">
        <f t="shared" ref="CH4:CH14" si="21">BM4*2/5+BN4*1/5</f>
        <v>2.5628000989661164</v>
      </c>
      <c r="CI4" s="10">
        <f t="shared" si="3"/>
        <v>104.62792711057287</v>
      </c>
      <c r="CJ4" s="10">
        <f t="shared" ref="CJ4:CJ14" si="22">SUM(BZ4:CE4)</f>
        <v>54.074970343877276</v>
      </c>
      <c r="CK4" s="14">
        <f t="shared" ref="CK4:CK14" si="23">CI4/CF4</f>
        <v>0.52736983316657571</v>
      </c>
      <c r="CL4" s="14">
        <f t="shared" ref="CL4:CL14" si="24">CJ4/CF4</f>
        <v>0.27256114955426974</v>
      </c>
      <c r="CM4" s="10">
        <f t="shared" ref="CM4:CM14" si="25">SUM(BO4:BR4)</f>
        <v>15.264974270933978</v>
      </c>
      <c r="CO4" s="7" t="str">
        <f t="shared" ref="CO4:CO20" si="26">CP4&amp;"_"&amp;IF(CQ4="男性",1,IF(CQ4="女性",2,IF(CQ4="合計",3)))</f>
        <v>2025_2</v>
      </c>
      <c r="CP4" s="29">
        <f>CP3</f>
        <v>2025</v>
      </c>
      <c r="CQ4" s="4" t="s">
        <v>22</v>
      </c>
      <c r="CR4" s="10">
        <f>BK4+将来予測シート②!$H17</f>
        <v>4.177489642272139</v>
      </c>
      <c r="CS4" s="10">
        <f>BL4+将来予測シート②!$H18</f>
        <v>5.7513070373766846</v>
      </c>
      <c r="CT4" s="10">
        <f>BM4+将来予測シート②!$H19</f>
        <v>5.4578461008715733</v>
      </c>
      <c r="CU4" s="10">
        <f>BN4+将来予測シート②!$H20</f>
        <v>3.8983082930874349</v>
      </c>
      <c r="CV4" s="10">
        <f>BO4+将来予測シート②!$H21</f>
        <v>2.8003318442777854</v>
      </c>
      <c r="CW4" s="10">
        <f>BP4+将来予測シート②!$H22</f>
        <v>5.3102357061515377</v>
      </c>
      <c r="CX4" s="10">
        <f>BQ4+将来予測シート②!$H23</f>
        <v>6.1020717829060285</v>
      </c>
      <c r="CY4" s="10">
        <f>BR4+将来予測シート②!$H24</f>
        <v>3.052334937598626</v>
      </c>
      <c r="CZ4" s="10">
        <f>BS4+将来予測シート②!$H25</f>
        <v>10.757095384912786</v>
      </c>
      <c r="DA4" s="10">
        <f>BT4+将来予測シート②!$H26</f>
        <v>7.5788761742158046</v>
      </c>
      <c r="DB4" s="10">
        <f>BU4+将来予測シート②!$H27</f>
        <v>11.659829825978221</v>
      </c>
      <c r="DC4" s="10">
        <f>BV4+将来予測シート②!$H28</f>
        <v>12.261122241513645</v>
      </c>
      <c r="DD4" s="10">
        <f>BW4+将来予測シート②!$H29</f>
        <v>19.960961653845487</v>
      </c>
      <c r="DE4" s="10">
        <f>BX4</f>
        <v>27.352185848296841</v>
      </c>
      <c r="DF4" s="10">
        <f t="shared" ref="DF4" si="27">BY4</f>
        <v>23.200770918398778</v>
      </c>
      <c r="DG4" s="10">
        <f t="shared" ref="DG4" si="28">BZ4</f>
        <v>19.839945243511988</v>
      </c>
      <c r="DH4" s="10">
        <f t="shared" ref="DH4" si="29">CA4</f>
        <v>13.975006812945759</v>
      </c>
      <c r="DI4" s="10">
        <f t="shared" ref="DI4" si="30">CB4</f>
        <v>12.27546201866841</v>
      </c>
      <c r="DJ4" s="10">
        <f t="shared" ref="DJ4" si="31">CC4</f>
        <v>7.9757042827932354</v>
      </c>
      <c r="DK4" s="10">
        <f t="shared" ref="DK4" si="32">CD4</f>
        <v>7.8766549648946853E-3</v>
      </c>
      <c r="DL4" s="10">
        <f t="shared" ref="DL4" si="33">CE4</f>
        <v>9.7533099297893698E-4</v>
      </c>
      <c r="DM4" s="10">
        <f t="shared" si="5"/>
        <v>203.39573773558064</v>
      </c>
      <c r="DN4" s="10">
        <f t="shared" ref="DN4:DN14" si="34">CS4*3/5+CT4*3/5</f>
        <v>6.7254918829489547</v>
      </c>
      <c r="DO4" s="10">
        <f t="shared" ref="DO4:DO14" si="35">CT4*2/5+CU4*1/5</f>
        <v>2.9628000989661158</v>
      </c>
      <c r="DP4" s="10">
        <f t="shared" si="6"/>
        <v>104.62792711057287</v>
      </c>
      <c r="DQ4" s="10">
        <f t="shared" ref="DQ4:DQ14" si="36">SUM(DG4:DL4)</f>
        <v>54.074970343877276</v>
      </c>
      <c r="DR4" s="14">
        <f t="shared" ref="DR4:DR14" si="37">DP4/DM4</f>
        <v>0.51440570129641405</v>
      </c>
      <c r="DS4" s="14">
        <f t="shared" ref="DS4:DS14" si="38">DQ4/DM4</f>
        <v>0.26586088256272133</v>
      </c>
      <c r="DT4" s="10">
        <f>SUM(CV4:CY4)</f>
        <v>17.264974270933976</v>
      </c>
      <c r="DV4" s="290"/>
      <c r="DW4" s="291"/>
      <c r="DX4" s="29">
        <f>DX3</f>
        <v>2025</v>
      </c>
      <c r="DY4" s="4" t="s">
        <v>22</v>
      </c>
      <c r="DZ4" s="10">
        <f>BK$4</f>
        <v>3.1774896422721395</v>
      </c>
      <c r="EA4" s="10">
        <f>BL$4</f>
        <v>5.7513070373766846</v>
      </c>
      <c r="EB4" s="10">
        <f t="shared" ref="EB4:ED4" si="39">BM$4</f>
        <v>4.4578461008715733</v>
      </c>
      <c r="EC4" s="10">
        <f t="shared" si="39"/>
        <v>3.8983082930874349</v>
      </c>
      <c r="ED4" s="10">
        <f t="shared" si="39"/>
        <v>2.8003318442777854</v>
      </c>
      <c r="EE4" s="10">
        <f>BP$4+DX1</f>
        <v>10.310235706151538</v>
      </c>
      <c r="EF4" s="10">
        <f>BQ$4+DX1</f>
        <v>13.102071782906028</v>
      </c>
      <c r="EG4" s="10">
        <f>BR$4+DX1</f>
        <v>10.052334937598626</v>
      </c>
      <c r="EH4" s="10">
        <f t="shared" ref="EH4:ET4" si="40">BS$4</f>
        <v>9.7570953849127857</v>
      </c>
      <c r="EI4" s="10">
        <f t="shared" si="40"/>
        <v>7.5788761742158046</v>
      </c>
      <c r="EJ4" s="10">
        <f t="shared" si="40"/>
        <v>11.659829825978221</v>
      </c>
      <c r="EK4" s="10">
        <f t="shared" si="40"/>
        <v>12.261122241513645</v>
      </c>
      <c r="EL4" s="10">
        <f t="shared" si="40"/>
        <v>19.960961653845487</v>
      </c>
      <c r="EM4" s="10">
        <f t="shared" si="40"/>
        <v>27.352185848296841</v>
      </c>
      <c r="EN4" s="10">
        <f t="shared" si="40"/>
        <v>23.200770918398778</v>
      </c>
      <c r="EO4" s="10">
        <f t="shared" si="40"/>
        <v>19.839945243511988</v>
      </c>
      <c r="EP4" s="10">
        <f t="shared" si="40"/>
        <v>13.975006812945759</v>
      </c>
      <c r="EQ4" s="10">
        <f t="shared" si="40"/>
        <v>12.27546201866841</v>
      </c>
      <c r="ER4" s="10">
        <f t="shared" si="40"/>
        <v>7.9757042827932354</v>
      </c>
      <c r="ES4" s="10">
        <f t="shared" si="40"/>
        <v>7.8766549648946853E-3</v>
      </c>
      <c r="ET4" s="10">
        <f t="shared" si="40"/>
        <v>9.7533099297893698E-4</v>
      </c>
      <c r="EU4" s="10">
        <f t="shared" si="9"/>
        <v>219.39573773558061</v>
      </c>
      <c r="EV4" s="10">
        <f t="shared" ref="EV4:EV14" si="41">EA4*3/5+EB4*3/5</f>
        <v>6.1254918829489551</v>
      </c>
      <c r="EW4" s="10">
        <f t="shared" ref="EW4:EW14" si="42">EB4*2/5+EC4*1/5</f>
        <v>2.5628000989661164</v>
      </c>
      <c r="EX4" s="10">
        <f t="shared" si="10"/>
        <v>104.62792711057287</v>
      </c>
      <c r="EY4" s="10">
        <f t="shared" ref="EY4:EY14" si="43">SUM(EO4:ET4)</f>
        <v>54.074970343877276</v>
      </c>
      <c r="EZ4" s="14">
        <f t="shared" ref="EZ4:EZ14" si="44">EX4/EU4</f>
        <v>0.47689133886763191</v>
      </c>
      <c r="FA4" s="14">
        <f t="shared" ref="FA4:FA14" si="45">EY4/EU4</f>
        <v>0.24647229204174115</v>
      </c>
      <c r="FB4" s="10">
        <f>SUM(ED4:EG4)</f>
        <v>36.264974270933976</v>
      </c>
    </row>
    <row r="5" spans="1:158" x14ac:dyDescent="0.15">
      <c r="A5" s="7" t="str">
        <f t="shared" si="11"/>
        <v>2005_3</v>
      </c>
      <c r="B5" s="30">
        <v>2005</v>
      </c>
      <c r="C5" s="5" t="s">
        <v>23</v>
      </c>
      <c r="D5" s="11">
        <v>15.957968906720165</v>
      </c>
      <c r="E5" s="11">
        <v>29.236634904714148</v>
      </c>
      <c r="F5" s="11">
        <v>43.769297893681042</v>
      </c>
      <c r="G5" s="11">
        <v>37.515300902708127</v>
      </c>
      <c r="H5" s="11">
        <v>23.564638916750255</v>
      </c>
      <c r="I5" s="11">
        <v>20.818635907723174</v>
      </c>
      <c r="J5" s="11">
        <v>25.375967903711135</v>
      </c>
      <c r="K5" s="11">
        <v>21.146639919759281</v>
      </c>
      <c r="L5" s="11">
        <v>40.834623871614845</v>
      </c>
      <c r="M5" s="11">
        <v>60.079939819458374</v>
      </c>
      <c r="N5" s="11">
        <v>59.259929789368108</v>
      </c>
      <c r="O5" s="11">
        <v>55.030601805416254</v>
      </c>
      <c r="P5" s="11">
        <v>37.809954864593784</v>
      </c>
      <c r="Q5" s="11">
        <v>53.63727181544634</v>
      </c>
      <c r="R5" s="11">
        <v>60.18592276830492</v>
      </c>
      <c r="S5" s="11">
        <v>69.030601805416254</v>
      </c>
      <c r="T5" s="11">
        <v>33.90863089267804</v>
      </c>
      <c r="U5" s="11">
        <v>13.105982948846542</v>
      </c>
      <c r="V5" s="11">
        <v>5.6226579739217666</v>
      </c>
      <c r="W5" s="11">
        <v>0.97533099297893699</v>
      </c>
      <c r="X5" s="11">
        <v>0</v>
      </c>
      <c r="Y5" s="11">
        <f>SUM(D5:X5)</f>
        <v>706.8665346038116</v>
      </c>
      <c r="Z5" s="11">
        <f t="shared" si="12"/>
        <v>43.803559679037114</v>
      </c>
      <c r="AA5" s="11">
        <f t="shared" si="13"/>
        <v>25.010779338014039</v>
      </c>
      <c r="AB5" s="11">
        <f t="shared" si="0"/>
        <v>236.46639919759281</v>
      </c>
      <c r="AC5" s="11">
        <f t="shared" si="14"/>
        <v>122.64320461384153</v>
      </c>
      <c r="AD5" s="15">
        <f t="shared" si="15"/>
        <v>0.33452764789625922</v>
      </c>
      <c r="AE5" s="15">
        <f t="shared" si="16"/>
        <v>0.17350263254799758</v>
      </c>
      <c r="AF5" s="11">
        <f t="shared" si="17"/>
        <v>90.905882647943855</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1.2025670196166434</v>
      </c>
      <c r="AN5" s="6">
        <f t="shared" si="1"/>
        <v>1.0144187579306281</v>
      </c>
      <c r="AO5" s="6">
        <f t="shared" si="1"/>
        <v>0.48383005102982951</v>
      </c>
      <c r="AP5" s="6">
        <f t="shared" si="1"/>
        <v>0.5584005020040006</v>
      </c>
      <c r="AQ5" s="6">
        <f t="shared" si="1"/>
        <v>0.78200247069812279</v>
      </c>
      <c r="AR5" s="6">
        <f t="shared" si="1"/>
        <v>0.85002812112383719</v>
      </c>
      <c r="AS5" s="6">
        <f t="shared" si="1"/>
        <v>0.89966538355095982</v>
      </c>
      <c r="AT5" s="6">
        <f t="shared" si="1"/>
        <v>0.7677082199132983</v>
      </c>
      <c r="AU5" s="6">
        <f t="shared" si="1"/>
        <v>0.95054722803801117</v>
      </c>
      <c r="AV5" s="6">
        <f t="shared" si="1"/>
        <v>0.9029070348095708</v>
      </c>
      <c r="AW5" s="6">
        <f t="shared" si="1"/>
        <v>1.0327732013572415</v>
      </c>
      <c r="AX5" s="6">
        <f t="shared" si="1"/>
        <v>1.0413362299573612</v>
      </c>
      <c r="AY5" s="6">
        <f t="shared" si="1"/>
        <v>0.98706951518244856</v>
      </c>
      <c r="AZ5" s="6">
        <f t="shared" si="1"/>
        <v>0.91838444665100571</v>
      </c>
      <c r="BA5" s="6">
        <f t="shared" si="1"/>
        <v>0.94052030761681726</v>
      </c>
      <c r="BB5" s="6">
        <f t="shared" si="1"/>
        <v>0.75646228319936659</v>
      </c>
      <c r="BC5" s="6">
        <f t="shared" si="1"/>
        <v>0.6619936205144521</v>
      </c>
      <c r="BD5" s="6">
        <f t="shared" si="1"/>
        <v>0.27417338923133822</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5.6488704751504706</v>
      </c>
      <c r="BL5" s="16">
        <f t="shared" ref="BL5:CE5" si="46">BL3+BL4</f>
        <v>10.402260504820301</v>
      </c>
      <c r="BM5" s="16">
        <f t="shared" si="46"/>
        <v>9.8057144714523403</v>
      </c>
      <c r="BN5" s="16">
        <f t="shared" si="46"/>
        <v>8.8282151420574202</v>
      </c>
      <c r="BO5" s="16">
        <f t="shared" si="46"/>
        <v>5.4687136686559779</v>
      </c>
      <c r="BP5" s="16">
        <f t="shared" si="46"/>
        <v>5.0964156351020478</v>
      </c>
      <c r="BQ5" s="16">
        <f t="shared" si="46"/>
        <v>12.438547097809474</v>
      </c>
      <c r="BR5" s="16">
        <f t="shared" si="46"/>
        <v>9.6829541855480539</v>
      </c>
      <c r="BS5" s="16">
        <f t="shared" si="46"/>
        <v>15.713687983271845</v>
      </c>
      <c r="BT5" s="16">
        <f t="shared" si="46"/>
        <v>17.572326397067314</v>
      </c>
      <c r="BU5" s="16">
        <f t="shared" si="46"/>
        <v>20.751391216711486</v>
      </c>
      <c r="BV5" s="16">
        <f t="shared" si="46"/>
        <v>24.814260727525902</v>
      </c>
      <c r="BW5" s="16">
        <f t="shared" si="46"/>
        <v>36.562027620366237</v>
      </c>
      <c r="BX5" s="16">
        <f t="shared" si="46"/>
        <v>53.638500846069661</v>
      </c>
      <c r="BY5" s="16">
        <f t="shared" si="46"/>
        <v>51.463896140720777</v>
      </c>
      <c r="BZ5" s="16">
        <f t="shared" si="46"/>
        <v>45.264603474045771</v>
      </c>
      <c r="CA5" s="16">
        <f t="shared" si="46"/>
        <v>26.067345372387621</v>
      </c>
      <c r="CB5" s="16">
        <f t="shared" si="46"/>
        <v>24.396443320065249</v>
      </c>
      <c r="CC5" s="16">
        <f t="shared" si="46"/>
        <v>12.612718700927271</v>
      </c>
      <c r="CD5" s="16">
        <f t="shared" si="46"/>
        <v>2.0245315947843533E-2</v>
      </c>
      <c r="CE5" s="16">
        <f t="shared" si="46"/>
        <v>1.3933299899699099E-3</v>
      </c>
      <c r="CF5" s="11">
        <f>SUM(BK5:CE5)</f>
        <v>396.25053162569304</v>
      </c>
      <c r="CG5" s="11">
        <f t="shared" si="20"/>
        <v>12.124784985763585</v>
      </c>
      <c r="CH5" s="11">
        <f t="shared" si="21"/>
        <v>5.6879288169924198</v>
      </c>
      <c r="CI5" s="11">
        <f t="shared" si="3"/>
        <v>213.46514650015419</v>
      </c>
      <c r="CJ5" s="11">
        <f t="shared" si="22"/>
        <v>108.36274951336372</v>
      </c>
      <c r="CK5" s="15">
        <f t="shared" si="23"/>
        <v>0.53871258071092776</v>
      </c>
      <c r="CL5" s="15">
        <f t="shared" si="24"/>
        <v>0.27347029433319614</v>
      </c>
      <c r="CM5" s="11">
        <f t="shared" si="25"/>
        <v>32.686630587115552</v>
      </c>
      <c r="CO5" s="7" t="str">
        <f t="shared" si="26"/>
        <v>2025_3</v>
      </c>
      <c r="CP5" s="30">
        <f>CP4</f>
        <v>2025</v>
      </c>
      <c r="CQ5" s="5" t="s">
        <v>23</v>
      </c>
      <c r="CR5" s="16">
        <f>CR3+CR4</f>
        <v>7.6488704751504706</v>
      </c>
      <c r="CS5" s="16">
        <f t="shared" ref="CS5" si="47">CS3+CS4</f>
        <v>10.402260504820301</v>
      </c>
      <c r="CT5" s="16">
        <f t="shared" ref="CT5" si="48">CT3+CT4</f>
        <v>11.80571447145234</v>
      </c>
      <c r="CU5" s="16">
        <f t="shared" ref="CU5" si="49">CU3+CU4</f>
        <v>8.8282151420574202</v>
      </c>
      <c r="CV5" s="16">
        <f t="shared" ref="CV5" si="50">CV3+CV4</f>
        <v>5.4687136686559779</v>
      </c>
      <c r="CW5" s="16">
        <f t="shared" ref="CW5" si="51">CW3+CW4</f>
        <v>9.0964156351020478</v>
      </c>
      <c r="CX5" s="16">
        <f t="shared" ref="CX5" si="52">CX3+CX4</f>
        <v>12.438547097809474</v>
      </c>
      <c r="CY5" s="16">
        <f t="shared" ref="CY5" si="53">CY3+CY4</f>
        <v>9.6829541855480539</v>
      </c>
      <c r="CZ5" s="16">
        <f t="shared" ref="CZ5" si="54">CZ3+CZ4</f>
        <v>16.713687983271846</v>
      </c>
      <c r="DA5" s="16">
        <f t="shared" ref="DA5" si="55">DA3+DA4</f>
        <v>17.572326397067314</v>
      </c>
      <c r="DB5" s="16">
        <f t="shared" ref="DB5" si="56">DB3+DB4</f>
        <v>20.751391216711486</v>
      </c>
      <c r="DC5" s="16">
        <f t="shared" ref="DC5" si="57">DC3+DC4</f>
        <v>24.814260727525902</v>
      </c>
      <c r="DD5" s="16">
        <f t="shared" ref="DD5" si="58">DD3+DD4</f>
        <v>36.562027620366237</v>
      </c>
      <c r="DE5" s="16">
        <f t="shared" ref="DE5" si="59">DE3+DE4</f>
        <v>53.638500846069661</v>
      </c>
      <c r="DF5" s="16">
        <f t="shared" ref="DF5" si="60">DF3+DF4</f>
        <v>51.463896140720777</v>
      </c>
      <c r="DG5" s="16">
        <f t="shared" ref="DG5" si="61">DG3+DG4</f>
        <v>45.264603474045771</v>
      </c>
      <c r="DH5" s="16">
        <f t="shared" ref="DH5" si="62">DH3+DH4</f>
        <v>26.067345372387621</v>
      </c>
      <c r="DI5" s="16">
        <f t="shared" ref="DI5" si="63">DI3+DI4</f>
        <v>24.396443320065249</v>
      </c>
      <c r="DJ5" s="16">
        <f t="shared" ref="DJ5" si="64">DJ3+DJ4</f>
        <v>12.612718700927271</v>
      </c>
      <c r="DK5" s="16">
        <f t="shared" ref="DK5" si="65">DK3+DK4</f>
        <v>2.0245315947843533E-2</v>
      </c>
      <c r="DL5" s="16">
        <f t="shared" ref="DL5" si="66">DL3+DL4</f>
        <v>1.3933299899699099E-3</v>
      </c>
      <c r="DM5" s="11">
        <f>SUM(CR5:DL5)</f>
        <v>405.25053162569304</v>
      </c>
      <c r="DN5" s="11">
        <f t="shared" si="34"/>
        <v>13.324784985763586</v>
      </c>
      <c r="DO5" s="11">
        <f t="shared" si="35"/>
        <v>6.4879288169924205</v>
      </c>
      <c r="DP5" s="11">
        <f t="shared" si="6"/>
        <v>213.46514650015419</v>
      </c>
      <c r="DQ5" s="11">
        <f t="shared" si="36"/>
        <v>108.36274951336372</v>
      </c>
      <c r="DR5" s="15">
        <f t="shared" si="37"/>
        <v>0.52674859091195436</v>
      </c>
      <c r="DS5" s="15">
        <f t="shared" si="38"/>
        <v>0.26739693364166206</v>
      </c>
      <c r="DT5" s="11">
        <f>SUM(CV5:CY5)</f>
        <v>36.686630587115552</v>
      </c>
      <c r="DV5" s="290"/>
      <c r="DW5" s="291"/>
      <c r="DX5" s="30">
        <f>DX4</f>
        <v>2025</v>
      </c>
      <c r="DY5" s="5" t="s">
        <v>23</v>
      </c>
      <c r="DZ5" s="16">
        <f>DZ3+DZ4</f>
        <v>5.6488704751504706</v>
      </c>
      <c r="EA5" s="16">
        <f t="shared" ref="EA5:ET5" si="67">EA3+EA4</f>
        <v>10.402260504820301</v>
      </c>
      <c r="EB5" s="16">
        <f t="shared" si="67"/>
        <v>9.8057144714523403</v>
      </c>
      <c r="EC5" s="16">
        <f t="shared" si="67"/>
        <v>8.8282151420574202</v>
      </c>
      <c r="ED5" s="16">
        <f t="shared" si="67"/>
        <v>5.4687136686559779</v>
      </c>
      <c r="EE5" s="16">
        <f t="shared" si="67"/>
        <v>19.096415635102048</v>
      </c>
      <c r="EF5" s="16">
        <f t="shared" si="67"/>
        <v>26.438547097809476</v>
      </c>
      <c r="EG5" s="16">
        <f t="shared" si="67"/>
        <v>23.682954185548056</v>
      </c>
      <c r="EH5" s="16">
        <f t="shared" si="67"/>
        <v>15.713687983271845</v>
      </c>
      <c r="EI5" s="16">
        <f t="shared" si="67"/>
        <v>17.572326397067314</v>
      </c>
      <c r="EJ5" s="16">
        <f t="shared" si="67"/>
        <v>20.751391216711486</v>
      </c>
      <c r="EK5" s="16">
        <f t="shared" si="67"/>
        <v>24.814260727525902</v>
      </c>
      <c r="EL5" s="16">
        <f t="shared" si="67"/>
        <v>36.562027620366237</v>
      </c>
      <c r="EM5" s="16">
        <f t="shared" si="67"/>
        <v>53.638500846069661</v>
      </c>
      <c r="EN5" s="16">
        <f t="shared" si="67"/>
        <v>51.463896140720777</v>
      </c>
      <c r="EO5" s="16">
        <f t="shared" si="67"/>
        <v>45.264603474045771</v>
      </c>
      <c r="EP5" s="16">
        <f t="shared" si="67"/>
        <v>26.067345372387621</v>
      </c>
      <c r="EQ5" s="16">
        <f t="shared" si="67"/>
        <v>24.396443320065249</v>
      </c>
      <c r="ER5" s="16">
        <f t="shared" si="67"/>
        <v>12.612718700927271</v>
      </c>
      <c r="ES5" s="16">
        <f t="shared" si="67"/>
        <v>2.0245315947843533E-2</v>
      </c>
      <c r="ET5" s="16">
        <f t="shared" si="67"/>
        <v>1.3933299899699099E-3</v>
      </c>
      <c r="EU5" s="11">
        <f>SUM(DZ5:ET5)</f>
        <v>438.25053162569304</v>
      </c>
      <c r="EV5" s="11">
        <f t="shared" si="41"/>
        <v>12.124784985763585</v>
      </c>
      <c r="EW5" s="11">
        <f t="shared" si="42"/>
        <v>5.6879288169924198</v>
      </c>
      <c r="EX5" s="11">
        <f t="shared" si="10"/>
        <v>213.46514650015419</v>
      </c>
      <c r="EY5" s="11">
        <f t="shared" si="43"/>
        <v>108.36274951336372</v>
      </c>
      <c r="EZ5" s="15">
        <f t="shared" si="44"/>
        <v>0.48708474056678019</v>
      </c>
      <c r="FA5" s="15">
        <f t="shared" si="45"/>
        <v>0.24726210624637793</v>
      </c>
      <c r="FB5" s="11">
        <f>SUM(ED5:EG5)</f>
        <v>74.686630587115559</v>
      </c>
    </row>
    <row r="6" spans="1:158" x14ac:dyDescent="0.15">
      <c r="A6" s="7" t="str">
        <f t="shared" si="11"/>
        <v>2010_1</v>
      </c>
      <c r="B6" s="28">
        <v>2010</v>
      </c>
      <c r="C6" s="3" t="s">
        <v>21</v>
      </c>
      <c r="D6" s="9">
        <v>7.6879839518555677</v>
      </c>
      <c r="E6" s="9">
        <v>9.6633149448345055</v>
      </c>
      <c r="F6" s="9">
        <v>13.687983951855568</v>
      </c>
      <c r="G6" s="9">
        <v>14.737321965897694</v>
      </c>
      <c r="H6" s="9">
        <v>12.483324974924775</v>
      </c>
      <c r="I6" s="9">
        <v>10.548650952858576</v>
      </c>
      <c r="J6" s="9">
        <v>9.9666499498495504</v>
      </c>
      <c r="K6" s="9">
        <v>10.409317953861585</v>
      </c>
      <c r="L6" s="9">
        <v>11.269984954864595</v>
      </c>
      <c r="M6" s="9">
        <v>17.474643931795388</v>
      </c>
      <c r="N6" s="9">
        <v>26.261303911735208</v>
      </c>
      <c r="O6" s="9">
        <v>30.933299899699101</v>
      </c>
      <c r="P6" s="9">
        <v>32.326629889669007</v>
      </c>
      <c r="Q6" s="9">
        <v>19.081313941825478</v>
      </c>
      <c r="R6" s="9">
        <v>23.425305917753263</v>
      </c>
      <c r="S6" s="9">
        <v>22.515300902708127</v>
      </c>
      <c r="T6" s="9">
        <v>28.056644934804417</v>
      </c>
      <c r="U6" s="9">
        <v>3.6473269809428293</v>
      </c>
      <c r="V6" s="9">
        <v>2.3933299899699101</v>
      </c>
      <c r="W6" s="9">
        <v>0.27866599799398201</v>
      </c>
      <c r="X6" s="9">
        <v>0</v>
      </c>
      <c r="Y6" s="9">
        <f t="shared" ref="Y6:Y11" si="68">SUM(D6:X6)</f>
        <v>306.8482998996991</v>
      </c>
      <c r="Z6" s="9">
        <f t="shared" si="12"/>
        <v>14.010779338014043</v>
      </c>
      <c r="AA6" s="9">
        <f t="shared" si="13"/>
        <v>8.4226579739217655</v>
      </c>
      <c r="AB6" s="9">
        <f t="shared" si="0"/>
        <v>99.397888665998011</v>
      </c>
      <c r="AC6" s="9">
        <f t="shared" si="14"/>
        <v>56.891268806419262</v>
      </c>
      <c r="AD6" s="13">
        <f t="shared" si="15"/>
        <v>0.32393169099678459</v>
      </c>
      <c r="AE6" s="13">
        <f t="shared" si="16"/>
        <v>0.18540519476567272</v>
      </c>
      <c r="AF6" s="9">
        <f t="shared" si="17"/>
        <v>43.407943831494492</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1.0769230769230769</v>
      </c>
      <c r="AN6" s="193">
        <f t="shared" si="18"/>
        <v>0.95264710678020881</v>
      </c>
      <c r="AO6" s="193">
        <f t="shared" si="18"/>
        <v>0.7768735045317674</v>
      </c>
      <c r="AP6" s="193">
        <f t="shared" si="18"/>
        <v>0.65240254440859724</v>
      </c>
      <c r="AQ6" s="193">
        <f t="shared" si="18"/>
        <v>0.84460974859475935</v>
      </c>
      <c r="AR6" s="193">
        <f t="shared" si="18"/>
        <v>0.80523952621825556</v>
      </c>
      <c r="AS6" s="193">
        <f t="shared" si="18"/>
        <v>0.82406976203992321</v>
      </c>
      <c r="AT6" s="193">
        <f t="shared" si="18"/>
        <v>0.96244613535233026</v>
      </c>
      <c r="AU6" s="193">
        <f t="shared" si="18"/>
        <v>0.98796084446986632</v>
      </c>
      <c r="AV6" s="193">
        <f t="shared" si="18"/>
        <v>0.97338685401779901</v>
      </c>
      <c r="AW6" s="193">
        <f t="shared" si="18"/>
        <v>0.97086432370672315</v>
      </c>
      <c r="AX6" s="193">
        <f t="shared" si="18"/>
        <v>0.99459823300799854</v>
      </c>
      <c r="AY6" s="193">
        <f t="shared" si="18"/>
        <v>0.95352204390588469</v>
      </c>
      <c r="AZ6" s="193">
        <f t="shared" si="18"/>
        <v>0.92196495020228486</v>
      </c>
      <c r="BA6" s="193">
        <f t="shared" si="18"/>
        <v>0.80198251330099435</v>
      </c>
      <c r="BB6" s="193">
        <f t="shared" si="18"/>
        <v>0.95726944785045076</v>
      </c>
      <c r="BC6" s="193">
        <f t="shared" si="18"/>
        <v>0.65961547238484308</v>
      </c>
      <c r="BD6" s="193">
        <f t="shared" si="18"/>
        <v>0.36944862555766306</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v>
      </c>
      <c r="BH6" s="7" t="str">
        <f t="shared" si="19"/>
        <v>2030_1</v>
      </c>
      <c r="BI6" s="28">
        <f>管理者入力シート!B9</f>
        <v>2030</v>
      </c>
      <c r="BJ6" s="3" t="s">
        <v>21</v>
      </c>
      <c r="BK6" s="9">
        <f>CM7*$AK$13</f>
        <v>2.0862600697288065</v>
      </c>
      <c r="BL6" s="9">
        <f>IF(管理者入力シート!$B$14=1,BK3*管理者用人口入力シート!AM$3,IF(管理者入力シート!$B$14=2,BK3*管理者用人口入力シート!AM$7))</f>
        <v>2.9462503849442916</v>
      </c>
      <c r="BM6" s="9">
        <f>IF(管理者入力シート!$B$14=1,BL3*管理者用人口入力シート!AN$3,IF(管理者入力シート!$B$14=2,BL3*管理者用人口入力シート!AN$7))</f>
        <v>4.5772445021738806</v>
      </c>
      <c r="BN6" s="9">
        <f>IF(管理者入力シート!$B$14=1,BM3*管理者用人口入力シート!AO$3,IF(管理者入力シート!$B$14=2,BM3*管理者用人口入力シート!AO$7))</f>
        <v>2.9866938113023971</v>
      </c>
      <c r="BO6" s="9">
        <f>IF(管理者入力シート!$B$14=1,BN3*管理者用人口入力シート!AP$3,IF(管理者入力シート!$B$14=2,BN3*管理者用人口入力シート!AP$7))</f>
        <v>2.0816903798707012</v>
      </c>
      <c r="BP6" s="9">
        <f>IF(管理者入力シート!$B$14=1,BO3*管理者用人口入力シート!AQ$3,IF(管理者入力シート!$B$14=2,BO3*管理者用人口入力シート!AQ$7))</f>
        <v>2.2538852865353594</v>
      </c>
      <c r="BQ6" s="9">
        <f>IF(管理者入力シート!$B$14=1,BP3*管理者用人口入力シート!AR$3,IF(管理者入力シート!$B$14=2,BP3*管理者用人口入力シート!AR$7))</f>
        <v>1.5074712439816849</v>
      </c>
      <c r="BR6" s="9">
        <f>IF(管理者入力シート!$B$14=1,BQ3*管理者用人口入力シート!AS$3,IF(管理者入力シート!$B$14=2,BQ3*管理者用人口入力シート!AS$7))</f>
        <v>5.1362844382092625</v>
      </c>
      <c r="BS6" s="9">
        <f>IF(管理者入力シート!$B$14=1,BR3*管理者用人口入力シート!AT$3,IF(管理者入力シート!$B$14=2,BR3*管理者用人口入力シート!AT$7))</f>
        <v>6.031150204704705</v>
      </c>
      <c r="BT6" s="9">
        <f>IF(管理者入力シート!$B$14=1,BS3*管理者用人口入力シート!AU$3,IF(管理者入力シート!$B$14=2,BS3*管理者用人口入力シート!AU$7))</f>
        <v>6.1600922633000712</v>
      </c>
      <c r="BU6" s="9">
        <f>IF(管理者入力シート!$B$14=1,BT3*管理者用人口入力シート!AV$3,IF(管理者入力シート!$B$14=2,BT3*管理者用人口入力シート!AV$7))</f>
        <v>10.104865219675572</v>
      </c>
      <c r="BV6" s="9">
        <f>IF(管理者入力シート!$B$14=1,BU3*管理者用人口入力シート!AW$3,IF(管理者入力シート!$B$14=2,BU3*管理者用人口入力シート!AW$7))</f>
        <v>9.4082024286215926</v>
      </c>
      <c r="BW6" s="9">
        <f>IF(管理者入力シート!$B$14=1,BV3*管理者用人口入力シート!AX$3,IF(管理者入力シート!$B$14=2,BV3*管理者用人口入力シート!AX$7))</f>
        <v>12.738125649282402</v>
      </c>
      <c r="BX6" s="9">
        <f>IF(管理者入力シート!$B$14=1,BW3*管理者用人口入力シート!AY$3,IF(管理者入力シート!$B$14=2,BW3*管理者用人口入力シート!AY$7))</f>
        <v>16.271552766376988</v>
      </c>
      <c r="BY6" s="9">
        <f>IF(管理者入力シート!$B$14=1,BX3*管理者用人口入力シート!AZ$3,IF(管理者入力シート!$B$14=2,BX3*管理者用人口入力シート!AZ$7))</f>
        <v>23.697053664780995</v>
      </c>
      <c r="BZ6" s="9">
        <f>IF(管理者入力シート!$B$14=1,BY3*管理者用人口入力シート!BA$3,IF(管理者入力シート!$B$14=2,BY3*管理者用人口入力シート!BA$7))</f>
        <v>25.448510480416633</v>
      </c>
      <c r="CA6" s="9">
        <f>IF(管理者入力シート!$B$14=1,BZ3*管理者用人口入力シート!BB$3,IF(管理者入力シート!$B$14=2,BZ3*管理者用人口入力シート!BB$7))</f>
        <v>20.352437582037012</v>
      </c>
      <c r="CB6" s="9">
        <f>IF(管理者入力シート!$B$14=1,CA3*管理者用人口入力シート!BC$3,IF(管理者入力シート!$B$14=2,CA3*管理者用人口入力シート!BC$7))</f>
        <v>7.8534285041212177</v>
      </c>
      <c r="CC6" s="9">
        <f>IF(管理者入力シート!$B$14=1,CB3*管理者用人口入力シート!BD$3,IF(管理者入力シート!$B$14=2,CB3*管理者用人口入力シート!BD$7))</f>
        <v>5.1792515466471567</v>
      </c>
      <c r="CD6" s="9">
        <f>IF(管理者入力シート!$B$14=1,CC3*管理者用人口入力シート!BE$3,IF(管理者入力シート!$B$14=2,CC3*管理者用人口入力シート!BE$7))</f>
        <v>4.6370144181340353E-3</v>
      </c>
      <c r="CE6" s="9">
        <f>IF(管理者入力シート!$B$14=1,CD3*管理者用人口入力シート!BF$3,IF(管理者入力シート!$B$14=2,CD3*管理者用人口入力シート!BF$7))</f>
        <v>1.2368660982948846E-5</v>
      </c>
      <c r="CF6" s="9">
        <f t="shared" si="2"/>
        <v>166.82509980978986</v>
      </c>
      <c r="CG6" s="9">
        <f t="shared" si="20"/>
        <v>4.5140969322709026</v>
      </c>
      <c r="CH6" s="9">
        <f t="shared" si="21"/>
        <v>2.4282365631300316</v>
      </c>
      <c r="CI6" s="9">
        <f t="shared" si="3"/>
        <v>98.806883927459111</v>
      </c>
      <c r="CJ6" s="9">
        <f t="shared" si="22"/>
        <v>58.838277496301139</v>
      </c>
      <c r="CK6" s="13">
        <f t="shared" si="23"/>
        <v>0.59227828450344966</v>
      </c>
      <c r="CL6" s="13">
        <f t="shared" si="24"/>
        <v>0.35269439408930181</v>
      </c>
      <c r="CM6" s="9">
        <f t="shared" si="25"/>
        <v>10.979331348597007</v>
      </c>
      <c r="CO6" s="7" t="str">
        <f t="shared" si="26"/>
        <v>2030_1</v>
      </c>
      <c r="CP6" s="28">
        <f>管理者入力シート!B9</f>
        <v>2030</v>
      </c>
      <c r="CQ6" s="3" t="s">
        <v>21</v>
      </c>
      <c r="CR6" s="9">
        <f>DT7*$AK$13+将来予測シート②!$G17</f>
        <v>3.6887371166339786</v>
      </c>
      <c r="CS6" s="9">
        <f>IF(管理者入力シート!$B$14=1,CR3*管理者用人口入力シート!AM$3,IF(管理者入力シート!$B$14=2,CR3*管理者用人口入力シート!AM$7))+将来予測シート②!$G18</f>
        <v>4.1383978458893926</v>
      </c>
      <c r="CT6" s="9">
        <f>IF(管理者入力シート!$B$14=1,CS3*管理者用人口入力シート!AN$3,IF(管理者入力シート!$B$14=2,CS3*管理者用人口入力シート!AN$7))+将来予測シート②!$G19</f>
        <v>5.5772445021738806</v>
      </c>
      <c r="CU6" s="9">
        <f>IF(管理者入力シート!$B$14=1,CT3*管理者用人口入力シート!AO$3,IF(管理者入力シート!$B$14=2,CT3*管理者用人口入力シート!AO$7))+将来予測シート②!$G20</f>
        <v>3.5451768561979184</v>
      </c>
      <c r="CV6" s="9">
        <f>IF(管理者入力シート!$B$14=1,CU3*管理者用人口入力シート!AP$3,IF(管理者入力シート!$B$14=2,CU3*管理者用人口入力シート!AP$7))+将来予測シート②!$G21</f>
        <v>2.0816903798707012</v>
      </c>
      <c r="CW6" s="9">
        <f>IF(管理者入力シート!$B$14=1,CV3*管理者用人口入力シート!AQ$3,IF(管理者入力シート!$B$14=2,CV3*管理者用人口入力シート!AQ$7))+将来予測シート②!$G22</f>
        <v>4.2538852865353594</v>
      </c>
      <c r="CX6" s="9">
        <f>IF(管理者入力シート!$B$14=1,CW3*管理者用人口入力シート!AR$3,IF(管理者入力シート!$B$14=2,CW3*管理者用人口入力シート!AR$7))+将来予測シート②!$G23</f>
        <v>3.1953988928691257</v>
      </c>
      <c r="CY6" s="9">
        <f>IF(管理者入力シート!$B$14=1,CX3*管理者用人口入力シート!AS$3,IF(管理者入力シート!$B$14=2,CX3*管理者用人口入力シート!AS$7))+将来予測シート②!$G24</f>
        <v>5.1362844382092625</v>
      </c>
      <c r="CZ6" s="9">
        <f>IF(管理者入力シート!$B$14=1,CY3*管理者用人口入力シート!AT$3,IF(管理者入力シート!$B$14=2,CY3*管理者用人口入力シート!AT$7))+将来予測シート②!$G25</f>
        <v>6.031150204704705</v>
      </c>
      <c r="DA6" s="9">
        <f>IF(管理者入力シート!$B$14=1,CZ3*管理者用人口入力シート!AU$3,IF(管理者入力シート!$B$14=2,CZ3*管理者用人口入力シート!AU$7))+将来予測シート②!$G26</f>
        <v>6.1600922633000712</v>
      </c>
      <c r="DB6" s="9">
        <f>IF(管理者入力シート!$B$14=1,DA3*管理者用人口入力シート!AV$3,IF(管理者入力シート!$B$14=2,DA3*管理者用人口入力シート!AV$7))+将来予測シート②!$G27</f>
        <v>10.104865219675572</v>
      </c>
      <c r="DC6" s="9">
        <f>IF(管理者入力シート!$B$14=1,DB3*管理者用人口入力シート!AW$3,IF(管理者入力シート!$B$14=2,DB3*管理者用人口入力シート!AW$7))+将来予測シート②!$G28</f>
        <v>9.4082024286215926</v>
      </c>
      <c r="DD6" s="9">
        <f>IF(管理者入力シート!$B$14=1,DC3*管理者用人口入力シート!AX$3,IF(管理者入力シート!$B$14=2,DC3*管理者用人口入力シート!AX$7))+将来予測シート②!$G29</f>
        <v>12.738125649282402</v>
      </c>
      <c r="DE6" s="9">
        <f>IF(管理者入力シート!$B$14=1,DD3*管理者用人口入力シート!AY$3,IF(管理者入力シート!$B$14=2,DD3*管理者用人口入力シート!AY$7))</f>
        <v>16.271552766376988</v>
      </c>
      <c r="DF6" s="9">
        <f>IF(管理者入力シート!$B$14=1,DE3*管理者用人口入力シート!AZ$3,IF(管理者入力シート!$B$14=2,DE3*管理者用人口入力シート!AZ$7))</f>
        <v>23.697053664780995</v>
      </c>
      <c r="DG6" s="9">
        <f>IF(管理者入力シート!$B$14=1,DF3*管理者用人口入力シート!BA$3,IF(管理者入力シート!$B$14=2,DF3*管理者用人口入力シート!BA$7))</f>
        <v>25.448510480416633</v>
      </c>
      <c r="DH6" s="9">
        <f>IF(管理者入力シート!$B$14=1,DG3*管理者用人口入力シート!BB$3,IF(管理者入力シート!$B$14=2,DG3*管理者用人口入力シート!BB$7))</f>
        <v>20.352437582037012</v>
      </c>
      <c r="DI6" s="9">
        <f>IF(管理者入力シート!$B$14=1,DH3*管理者用人口入力シート!BC$3,IF(管理者入力シート!$B$14=2,DH3*管理者用人口入力シート!BC$7))</f>
        <v>7.8534285041212177</v>
      </c>
      <c r="DJ6" s="9">
        <f>IF(管理者入力シート!$B$14=1,DI3*管理者用人口入力シート!BD$3,IF(管理者入力シート!$B$14=2,DI3*管理者用人口入力シート!BD$7))</f>
        <v>5.1792515466471567</v>
      </c>
      <c r="DK6" s="9">
        <f>IF(管理者入力シート!$B$14=1,DJ3*管理者用人口入力シート!BE$3,IF(管理者入力シート!$B$14=2,DJ3*管理者用人口入力シート!BE$7))</f>
        <v>4.6370144181340353E-3</v>
      </c>
      <c r="DL6" s="9">
        <f>IF(管理者入力シート!$B$14=1,DK3*管理者用人口入力シート!BF$3,IF(管理者入力シート!$B$14=2,DK3*管理者用人口入力シート!BF$7))</f>
        <v>1.2368660982948846E-5</v>
      </c>
      <c r="DM6" s="9">
        <f t="shared" ref="DM6:DM14" si="69">SUM(CR6:DL6)</f>
        <v>174.8661350114231</v>
      </c>
      <c r="DN6" s="9">
        <f t="shared" si="34"/>
        <v>5.8293854088379637</v>
      </c>
      <c r="DO6" s="9">
        <f t="shared" si="35"/>
        <v>2.9399331721091357</v>
      </c>
      <c r="DP6" s="9">
        <f t="shared" si="6"/>
        <v>98.806883927459111</v>
      </c>
      <c r="DQ6" s="9">
        <f t="shared" si="36"/>
        <v>58.838277496301139</v>
      </c>
      <c r="DR6" s="13">
        <f t="shared" si="37"/>
        <v>0.56504299086272236</v>
      </c>
      <c r="DS6" s="13">
        <f t="shared" si="38"/>
        <v>0.33647611352797119</v>
      </c>
      <c r="DT6" s="9">
        <f t="shared" ref="DT6:DT14" si="70">SUM(CV6:CY6)</f>
        <v>14.667258997484449</v>
      </c>
      <c r="DV6" s="7" t="s">
        <v>400</v>
      </c>
      <c r="DX6" s="28">
        <f>管理者入力シート!B9</f>
        <v>2030</v>
      </c>
      <c r="DY6" s="3" t="s">
        <v>21</v>
      </c>
      <c r="DZ6" s="9">
        <f>FB7*$AK$13</f>
        <v>7.4545826952501359</v>
      </c>
      <c r="EA6" s="129">
        <f>IF(管理者入力シート!$B$14=1,DZ3*管理者用人口入力シート!AM$3,IF(管理者入力シート!$B$14=2,DZ3*管理者用人口入力シート!AM$7))</f>
        <v>2.9462503849442916</v>
      </c>
      <c r="EB6" s="9">
        <f>IF(管理者入力シート!$B$14=1,EA3*管理者用人口入力シート!AN$3,IF(管理者入力シート!$B$14=2,EA3*管理者用人口入力シート!AN$7))</f>
        <v>4.5772445021738806</v>
      </c>
      <c r="EC6" s="9">
        <f>IF(管理者入力シート!$B$14=1,EB3*管理者用人口入力シート!AO$3,IF(管理者入力シート!$B$14=2,EB3*管理者用人口入力シート!AO$7))</f>
        <v>2.9866938113023971</v>
      </c>
      <c r="ED6" s="9">
        <f>IF(管理者入力シート!$B$14=1,EC3*管理者用人口入力シート!AP$3,IF(管理者入力シート!$B$14=2,EC3*管理者用人口入力シート!AP$7))</f>
        <v>2.0816903798707012</v>
      </c>
      <c r="EE6" s="9">
        <f>IF(管理者入力シート!$B$14=1,ED3*管理者用人口入力シート!AQ$3,IF(管理者入力シート!$B$14=2,ED3*管理者用人口入力シート!AQ$7))+DX1</f>
        <v>9.2538852865353594</v>
      </c>
      <c r="EF6" s="9">
        <f>IF(管理者入力シート!$B$14=1,EE3*管理者用人口入力シート!AR$3,IF(管理者入力シート!$B$14=2,EE3*管理者用人口入力シート!AR$7))+DX1</f>
        <v>14.415218015087728</v>
      </c>
      <c r="EG6" s="9">
        <f>IF(管理者入力シート!$B$14=1,EF3*管理者用人口入力シート!AS$3,IF(管理者入力シート!$B$14=2,EF3*管理者用人口入力シート!AS$7))+DX1</f>
        <v>17.810415446484594</v>
      </c>
      <c r="EH6" s="9">
        <f>IF(管理者入力シート!$B$14=1,EG3*管理者用人口入力シート!AT$3,IF(管理者入力シート!$B$14=2,EG3*管理者用人口入力シート!AT$7))</f>
        <v>12.398285739743789</v>
      </c>
      <c r="EI6" s="9">
        <f>IF(管理者入力シート!$B$14=1,EH3*管理者用人口入力シート!AU$3,IF(管理者入力シート!$B$14=2,EH3*管理者用人口入力シート!AU$7))</f>
        <v>6.1600922633000712</v>
      </c>
      <c r="EJ6" s="9">
        <f>IF(管理者入力シート!$B$14=1,EI3*管理者用人口入力シート!AV$3,IF(管理者入力シート!$B$14=2,EI3*管理者用人口入力シート!AV$7))</f>
        <v>10.104865219675572</v>
      </c>
      <c r="EK6" s="9">
        <f>IF(管理者入力シート!$B$14=1,EJ3*管理者用人口入力シート!AW$3,IF(管理者入力シート!$B$14=2,EJ3*管理者用人口入力シート!AW$7))</f>
        <v>9.4082024286215926</v>
      </c>
      <c r="EL6" s="9">
        <f>IF(管理者入力シート!$B$14=1,EK3*管理者用人口入力シート!AX$3,IF(管理者入力シート!$B$14=2,EK3*管理者用人口入力シート!AX$7))</f>
        <v>12.738125649282402</v>
      </c>
      <c r="EM6" s="9">
        <f>IF(管理者入力シート!$B$14=1,EL3*管理者用人口入力シート!AY$3,IF(管理者入力シート!$B$14=2,EL3*管理者用人口入力シート!AY$7))</f>
        <v>16.271552766376988</v>
      </c>
      <c r="EN6" s="9">
        <f>IF(管理者入力シート!$B$14=1,EM3*管理者用人口入力シート!AZ$3,IF(管理者入力シート!$B$14=2,EM3*管理者用人口入力シート!AZ$7))</f>
        <v>23.697053664780995</v>
      </c>
      <c r="EO6" s="9">
        <f>IF(管理者入力シート!$B$14=1,EN3*管理者用人口入力シート!BA$3,IF(管理者入力シート!$B$14=2,EN3*管理者用人口入力シート!BA$7))</f>
        <v>25.448510480416633</v>
      </c>
      <c r="EP6" s="9">
        <f>IF(管理者入力シート!$B$14=1,EO3*管理者用人口入力シート!BB$3,IF(管理者入力シート!$B$14=2,EO3*管理者用人口入力シート!BB$7))</f>
        <v>20.352437582037012</v>
      </c>
      <c r="EQ6" s="9">
        <f>IF(管理者入力シート!$B$14=1,EP3*管理者用人口入力シート!BC$3,IF(管理者入力シート!$B$14=2,EP3*管理者用人口入力シート!BC$7))</f>
        <v>7.8534285041212177</v>
      </c>
      <c r="ER6" s="9">
        <f>IF(管理者入力シート!$B$14=1,EQ3*管理者用人口入力シート!BD$3,IF(管理者入力シート!$B$14=2,EQ3*管理者用人口入力シート!BD$7))</f>
        <v>5.1792515466471567</v>
      </c>
      <c r="ES6" s="9">
        <f>IF(管理者入力シート!$B$14=1,ER3*管理者用人口入力シート!BE$3,IF(管理者入力シート!$B$14=2,ER3*管理者用人口入力シート!BE$7))</f>
        <v>4.6370144181340353E-3</v>
      </c>
      <c r="ET6" s="9">
        <f>IF(管理者入力シート!$B$14=1,ES3*管理者用人口入力シート!BF$3,IF(管理者入力シート!$B$14=2,ES3*管理者用人口入力シート!BF$7))</f>
        <v>1.2368660982948846E-5</v>
      </c>
      <c r="EU6" s="9">
        <f t="shared" ref="EU6:EU14" si="71">SUM(DZ6:ET6)</f>
        <v>211.14243574973162</v>
      </c>
      <c r="EV6" s="9">
        <f t="shared" si="41"/>
        <v>4.5140969322709026</v>
      </c>
      <c r="EW6" s="9">
        <f t="shared" si="42"/>
        <v>2.4282365631300316</v>
      </c>
      <c r="EX6" s="9">
        <f t="shared" si="10"/>
        <v>98.806883927459111</v>
      </c>
      <c r="EY6" s="9">
        <f t="shared" si="43"/>
        <v>58.838277496301139</v>
      </c>
      <c r="EZ6" s="13">
        <f t="shared" si="44"/>
        <v>0.46796317176418056</v>
      </c>
      <c r="FA6" s="13">
        <f t="shared" si="45"/>
        <v>0.27866628177976738</v>
      </c>
      <c r="FB6" s="9">
        <f t="shared" ref="FB6:FB14" si="72">SUM(ED6:EG6)</f>
        <v>43.561209127978387</v>
      </c>
    </row>
    <row r="7" spans="1:158" x14ac:dyDescent="0.15">
      <c r="A7" s="7" t="str">
        <f t="shared" si="11"/>
        <v>2010_2</v>
      </c>
      <c r="B7" s="29">
        <v>2010</v>
      </c>
      <c r="C7" s="4" t="s">
        <v>22</v>
      </c>
      <c r="D7" s="10">
        <v>5.433986960882649</v>
      </c>
      <c r="E7" s="10">
        <v>8.8273169508525591</v>
      </c>
      <c r="F7" s="10">
        <v>9.9913189568706144</v>
      </c>
      <c r="G7" s="10">
        <v>11.294653961885658</v>
      </c>
      <c r="H7" s="10">
        <v>4.4833249749247752</v>
      </c>
      <c r="I7" s="10">
        <v>13.130651955867604</v>
      </c>
      <c r="J7" s="10">
        <v>8.8519859578736231</v>
      </c>
      <c r="K7" s="10">
        <v>11.130651955867604</v>
      </c>
      <c r="L7" s="10">
        <v>11.57331995987964</v>
      </c>
      <c r="M7" s="10">
        <v>20.941980942828486</v>
      </c>
      <c r="N7" s="10">
        <v>29.539969909729191</v>
      </c>
      <c r="O7" s="10">
        <v>25.79396690070211</v>
      </c>
      <c r="P7" s="10">
        <v>23.982637913741229</v>
      </c>
      <c r="Q7" s="10">
        <v>18.171308926780341</v>
      </c>
      <c r="R7" s="10">
        <v>27.236634904714144</v>
      </c>
      <c r="S7" s="10">
        <v>28.769297893681046</v>
      </c>
      <c r="T7" s="10">
        <v>28.679302908726182</v>
      </c>
      <c r="U7" s="10">
        <v>17.548650952858576</v>
      </c>
      <c r="V7" s="10">
        <v>3.6473269809428293</v>
      </c>
      <c r="W7" s="10">
        <v>1.2539969909729189</v>
      </c>
      <c r="X7" s="10">
        <v>0.27866599799398201</v>
      </c>
      <c r="Y7" s="10">
        <f t="shared" si="68"/>
        <v>310.56095285857572</v>
      </c>
      <c r="Z7" s="10">
        <f t="shared" si="12"/>
        <v>11.291181544633904</v>
      </c>
      <c r="AA7" s="10">
        <f t="shared" si="13"/>
        <v>6.2554583751253769</v>
      </c>
      <c r="AB7" s="10">
        <f t="shared" si="0"/>
        <v>125.58518555667004</v>
      </c>
      <c r="AC7" s="10">
        <f t="shared" si="14"/>
        <v>80.177241725175548</v>
      </c>
      <c r="AD7" s="14">
        <f t="shared" si="15"/>
        <v>0.40438176274484655</v>
      </c>
      <c r="AE7" s="14">
        <f t="shared" si="16"/>
        <v>0.25816910009832089</v>
      </c>
      <c r="AF7" s="10">
        <f t="shared" si="17"/>
        <v>37.596614844533605</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1.192147460945101</v>
      </c>
      <c r="AN7" s="48">
        <f t="shared" si="73"/>
        <v>0.98415185922936166</v>
      </c>
      <c r="AO7" s="48">
        <f t="shared" si="73"/>
        <v>0.55848304489552125</v>
      </c>
      <c r="AP7" s="48">
        <f t="shared" si="73"/>
        <v>0.4222575483968084</v>
      </c>
      <c r="AQ7" s="48">
        <f t="shared" si="73"/>
        <v>0.84466370814850589</v>
      </c>
      <c r="AR7" s="48">
        <f t="shared" si="73"/>
        <v>0.84396382444372031</v>
      </c>
      <c r="AS7" s="48">
        <f t="shared" si="73"/>
        <v>0.81059014403933305</v>
      </c>
      <c r="AT7" s="48">
        <f t="shared" si="73"/>
        <v>0.90959079071986926</v>
      </c>
      <c r="AU7" s="48">
        <f t="shared" si="73"/>
        <v>1.0341637709110865</v>
      </c>
      <c r="AV7" s="48">
        <f t="shared" si="73"/>
        <v>1.0111488018991976</v>
      </c>
      <c r="AW7" s="48">
        <f t="shared" si="73"/>
        <v>1.0348280151538183</v>
      </c>
      <c r="AX7" s="48">
        <f t="shared" si="73"/>
        <v>1.014736327769846</v>
      </c>
      <c r="AY7" s="48">
        <f t="shared" si="73"/>
        <v>0.98015108181557231</v>
      </c>
      <c r="AZ7" s="48">
        <f t="shared" si="73"/>
        <v>0.90149774385602521</v>
      </c>
      <c r="BA7" s="48">
        <f t="shared" si="73"/>
        <v>0.90041388842298298</v>
      </c>
      <c r="BB7" s="48">
        <f t="shared" si="73"/>
        <v>0.80049994762937338</v>
      </c>
      <c r="BC7" s="48">
        <f t="shared" si="73"/>
        <v>0.64945489786912669</v>
      </c>
      <c r="BD7" s="48">
        <f t="shared" si="73"/>
        <v>0.42729638944746928</v>
      </c>
      <c r="BE7" s="48">
        <f t="shared" si="73"/>
        <v>1E-3</v>
      </c>
      <c r="BF7" s="48">
        <f t="shared" si="73"/>
        <v>1E-3</v>
      </c>
      <c r="BH7" s="7" t="str">
        <f t="shared" si="19"/>
        <v>2030_2</v>
      </c>
      <c r="BI7" s="29">
        <f>BI6</f>
        <v>2030</v>
      </c>
      <c r="BJ7" s="4" t="s">
        <v>22</v>
      </c>
      <c r="BK7" s="10">
        <f>CM7*$AK$14</f>
        <v>2.6823343753656079</v>
      </c>
      <c r="BL7" s="10">
        <f>IF(管理者入力シート!$B$14=1,BK4*管理者用人口入力シート!AM$4,IF(管理者入力シート!$B$14=2,BK4*管理者用人口入力シート!AM$8))</f>
        <v>3.6432939377734792</v>
      </c>
      <c r="BM7" s="10">
        <f>IF(管理者入力シート!$B$14=1,BL4*管理者用人口入力シート!AN$4,IF(管理者入力シート!$B$14=2,BL4*管理者用人口入力シート!AN$8))</f>
        <v>5.5462553786417761</v>
      </c>
      <c r="BN7" s="10">
        <f>IF(管理者入力シート!$B$14=1,BM4*管理者用人口入力シート!AO$4,IF(管理者入力シート!$B$14=2,BM4*管理者用人口入力シート!AO$8))</f>
        <v>3.0420294300097765</v>
      </c>
      <c r="BO7" s="10">
        <f>IF(管理者入力シート!$B$14=1,BN4*管理者用人口入力シート!AP$4,IF(管理者入力シート!$B$14=2,BN4*管理者用人口入力シート!AP$8))</f>
        <v>2.1657012002481499</v>
      </c>
      <c r="BP7" s="10">
        <f>IF(管理者入力シート!$B$14=1,BO4*管理者用人口入力シート!AQ$4,IF(管理者入力シート!$B$14=2,BO4*管理者用人口入力シート!AQ$8))</f>
        <v>2.5244467832715576</v>
      </c>
      <c r="BQ7" s="10">
        <f>IF(管理者入力シート!$B$14=1,BP4*管理者用人口入力シート!AR$4,IF(管理者入力シート!$B$14=2,BP4*管理者用人口入力シート!AR$8))</f>
        <v>2.8489859217303661</v>
      </c>
      <c r="BR7" s="10">
        <f>IF(管理者入力シート!$B$14=1,BQ4*管理者用人口入力シート!AS$4,IF(管理者入力シート!$B$14=2,BQ4*管理者用人口入力シート!AS$8))</f>
        <v>5.3470655275570556</v>
      </c>
      <c r="BS7" s="10">
        <f>IF(管理者入力シート!$B$14=1,BR4*管理者用人口入力シート!AT$4,IF(管理者入力シート!$B$14=2,BR4*管理者用人口入力シート!AT$8))</f>
        <v>3.0229360110943064</v>
      </c>
      <c r="BT7" s="10">
        <f>IF(管理者入力シート!$B$14=1,BS4*管理者用人口入力シート!AU$4,IF(管理者入力シート!$B$14=2,BS4*管理者用人口入力シート!AU$8))</f>
        <v>9.9472622337619168</v>
      </c>
      <c r="BU7" s="10">
        <f>IF(管理者入力シート!$B$14=1,BT4*管理者用人口入力シート!AV$4,IF(管理者入力シート!$B$14=2,BT4*管理者用人口入力シート!AV$8))</f>
        <v>7.8410403223629563</v>
      </c>
      <c r="BV7" s="10">
        <f>IF(管理者入力シート!$B$14=1,BU4*管理者用人口入力シート!AW$4,IF(管理者入力シート!$B$14=2,BU4*管理者用人口入力シート!AW$8))</f>
        <v>11.370314226293996</v>
      </c>
      <c r="BW7" s="10">
        <f>IF(管理者入力シート!$B$14=1,BV4*管理者用人口入力シート!AX$4,IF(管理者入力シート!$B$14=2,BV4*管理者用人口入力シート!AX$8))</f>
        <v>12.257629172179183</v>
      </c>
      <c r="BX7" s="10">
        <f>IF(管理者入力シート!$B$14=1,BW4*管理者用人口入力シート!AY$4,IF(管理者入力シート!$B$14=2,BW4*管理者用人口入力シート!AY$8))</f>
        <v>18.945238581552402</v>
      </c>
      <c r="BY7" s="10">
        <f>IF(管理者入力シート!$B$14=1,BX4*管理者用人口入力シート!AZ$4,IF(管理者入力シート!$B$14=2,BX4*管理者用人口入力シート!AZ$8))</f>
        <v>26.183164473066874</v>
      </c>
      <c r="BZ7" s="10">
        <f>IF(管理者入力シート!$B$14=1,BY4*管理者用人口入力シート!BA$4,IF(管理者入力シート!$B$14=2,BY4*管理者用人口入力シート!BA$8))</f>
        <v>20.252069896849473</v>
      </c>
      <c r="CA7" s="10">
        <f>IF(管理者入力シート!$B$14=1,BZ4*管理者用人口入力シート!BB$4,IF(管理者入力シート!$B$14=2,BZ4*管理者用人口入力シート!BB$8))</f>
        <v>17.418981990471767</v>
      </c>
      <c r="CB7" s="10">
        <f>IF(管理者入力シート!$B$14=1,CA4*管理者用人口入力シート!BC$4,IF(管理者入力シート!$B$14=2,CA4*管理者用人口入力シート!BC$8))</f>
        <v>9.7530651055977451</v>
      </c>
      <c r="CC7" s="10">
        <f>IF(管理者入力シート!$B$14=1,CB4*管理者用人口入力シート!BD$4,IF(管理者入力シート!$B$14=2,CB4*管理者用人口入力シート!BD$8))</f>
        <v>4.8145541181595446</v>
      </c>
      <c r="CD7" s="10">
        <f>IF(管理者入力シート!$B$14=1,CC4*管理者用人口入力シート!BE$4,IF(管理者入力シート!$B$14=2,CC4*管理者用人口入力シート!BE$8))</f>
        <v>7.9757042827932351E-3</v>
      </c>
      <c r="CE7" s="10">
        <f>IF(管理者入力シート!$B$14=1,CD4*管理者用人口入力シート!BF$4,IF(管理者入力シート!$B$14=2,CD4*管理者用人口入力シート!BF$8))</f>
        <v>7.8766549648946862E-6</v>
      </c>
      <c r="CF7" s="10">
        <f t="shared" si="2"/>
        <v>169.61435226692569</v>
      </c>
      <c r="CG7" s="10">
        <f t="shared" si="20"/>
        <v>5.5137295898491541</v>
      </c>
      <c r="CH7" s="10">
        <f t="shared" si="21"/>
        <v>2.8269080374586655</v>
      </c>
      <c r="CI7" s="10">
        <f t="shared" si="3"/>
        <v>97.375057746635562</v>
      </c>
      <c r="CJ7" s="10">
        <f t="shared" si="22"/>
        <v>52.246654692016278</v>
      </c>
      <c r="CK7" s="14">
        <f t="shared" si="23"/>
        <v>0.57409680516536932</v>
      </c>
      <c r="CL7" s="14">
        <f t="shared" si="24"/>
        <v>0.30803203852581185</v>
      </c>
      <c r="CM7" s="10">
        <f t="shared" si="25"/>
        <v>12.886199432807128</v>
      </c>
      <c r="CO7" s="7" t="str">
        <f t="shared" si="26"/>
        <v>2030_2</v>
      </c>
      <c r="CP7" s="29">
        <f>CP6</f>
        <v>2030</v>
      </c>
      <c r="CQ7" s="4" t="s">
        <v>22</v>
      </c>
      <c r="CR7" s="10">
        <f>DT7*$AK$14+将来予測シート②!$H17</f>
        <v>4.4569477213865438</v>
      </c>
      <c r="CS7" s="10">
        <f>IF(管理者入力シート!$B$14=1,CR4*管理者用人口入力シート!AM$4,IF(管理者入力シート!$B$14=2,CR4*管理者用人口入力シート!AM$8))+将来予測シート②!$H18</f>
        <v>4.7898890011544744</v>
      </c>
      <c r="CT7" s="10">
        <f>IF(管理者入力シート!$B$14=1,CS4*管理者用人口入力シート!AN$4,IF(管理者入力シート!$B$14=2,CS4*管理者用人口入力シート!AN$8))+将来予測シート②!$H19</f>
        <v>6.5462553786417761</v>
      </c>
      <c r="CU7" s="10">
        <f>IF(管理者入力シート!$B$14=1,CT4*管理者用人口入力シート!AO$4,IF(管理者入力シート!$B$14=2,CT4*管理者用人口入力シート!AO$8))+将来予測シート②!$H20</f>
        <v>3.7244283646466219</v>
      </c>
      <c r="CV7" s="10">
        <f>IF(管理者入力シート!$B$14=1,CU4*管理者用人口入力シート!AP$4,IF(管理者入力シート!$B$14=2,CU4*管理者用人口入力シート!AP$8))+将来予測シート②!$H21</f>
        <v>2.1657012002481499</v>
      </c>
      <c r="CW7" s="10">
        <f>IF(管理者入力シート!$B$14=1,CV4*管理者用人口入力シート!AQ$4,IF(管理者入力シート!$B$14=2,CV4*管理者用人口入力シート!AQ$8))+将来予測シート②!$H22</f>
        <v>4.5244467832715571</v>
      </c>
      <c r="CX7" s="10">
        <f>IF(管理者入力シート!$B$14=1,CW4*管理者用人口入力シート!AR$4,IF(管理者入力シート!$B$14=2,CW4*管理者用人口入力シート!AR$8))+将来予測シート②!$H23</f>
        <v>4.570304990602704</v>
      </c>
      <c r="CY7" s="10">
        <f>IF(管理者入力シート!$B$14=1,CX4*管理者用人口入力シート!AS$4,IF(管理者入力シート!$B$14=2,CX4*管理者用人口入力シート!AS$8))+将来予測シート②!$H24</f>
        <v>5.3470655275570556</v>
      </c>
      <c r="CZ7" s="10">
        <f>IF(管理者入力シート!$B$14=1,CY4*管理者用人口入力シート!AT$4,IF(管理者入力シート!$B$14=2,CY4*管理者用人口入力シート!AT$8))+将来予測シート②!$H25</f>
        <v>4.0229360110943064</v>
      </c>
      <c r="DA7" s="10">
        <f>IF(管理者入力シート!$B$14=1,CZ4*管理者用人口入力シート!AU$4,IF(管理者入力シート!$B$14=2,CZ4*管理者用人口入力シート!AU$8))+将来予測シート②!$H26</f>
        <v>10.966752342380017</v>
      </c>
      <c r="DB7" s="10">
        <f>IF(管理者入力シート!$B$14=1,DA4*管理者用人口入力シート!AV$4,IF(管理者入力シート!$B$14=2,DA4*管理者用人口入力シート!AV$8))+将来予測シート②!$H27</f>
        <v>7.8410403223629563</v>
      </c>
      <c r="DC7" s="10">
        <f>IF(管理者入力シート!$B$14=1,DB4*管理者用人口入力シート!AW$4,IF(管理者入力シート!$B$14=2,DB4*管理者用人口入力シート!AW$8))+将来予測シート②!$H28</f>
        <v>11.370314226293996</v>
      </c>
      <c r="DD7" s="10">
        <f>IF(管理者入力シート!$B$14=1,DC4*管理者用人口入力シート!AX$4,IF(管理者入力シート!$B$14=2,DC4*管理者用人口入力シート!AX$8))+将来予測シート②!$H29</f>
        <v>12.257629172179183</v>
      </c>
      <c r="DE7" s="10">
        <f>IF(管理者入力シート!$B$14=1,DD4*管理者用人口入力シート!AY$4,IF(管理者入力シート!$B$14=2,DD4*管理者用人口入力シート!AY$8))</f>
        <v>18.945238581552402</v>
      </c>
      <c r="DF7" s="10">
        <f>IF(管理者入力シート!$B$14=1,DE4*管理者用人口入力シート!AZ$4,IF(管理者入力シート!$B$14=2,DE4*管理者用人口入力シート!AZ$8))</f>
        <v>26.183164473066874</v>
      </c>
      <c r="DG7" s="10">
        <f>IF(管理者入力シート!$B$14=1,DF4*管理者用人口入力シート!BA$4,IF(管理者入力シート!$B$14=2,DF4*管理者用人口入力シート!BA$8))</f>
        <v>20.252069896849473</v>
      </c>
      <c r="DH7" s="10">
        <f>IF(管理者入力シート!$B$14=1,DG4*管理者用人口入力シート!BB$4,IF(管理者入力シート!$B$14=2,DG4*管理者用人口入力シート!BB$8))</f>
        <v>17.418981990471767</v>
      </c>
      <c r="DI7" s="10">
        <f>IF(管理者入力シート!$B$14=1,DH4*管理者用人口入力シート!BC$4,IF(管理者入力シート!$B$14=2,DH4*管理者用人口入力シート!BC$8))</f>
        <v>9.7530651055977451</v>
      </c>
      <c r="DJ7" s="10">
        <f>IF(管理者入力シート!$B$14=1,DI4*管理者用人口入力シート!BD$4,IF(管理者入力シート!$B$14=2,DI4*管理者用人口入力シート!BD$8))</f>
        <v>4.8145541181595446</v>
      </c>
      <c r="DK7" s="10">
        <f>IF(管理者入力シート!$B$14=1,DJ4*管理者用人口入力シート!BE$4,IF(管理者入力シート!$B$14=2,DJ4*管理者用人口入力シート!BE$8))</f>
        <v>7.9757042827932351E-3</v>
      </c>
      <c r="DL7" s="10">
        <f>IF(管理者入力シート!$B$14=1,DK4*管理者用人口入力シート!BF$4,IF(管理者入力シート!$B$14=2,DK4*管理者用人口入力シート!BF$8))</f>
        <v>7.8766549648946862E-6</v>
      </c>
      <c r="DM7" s="10">
        <f t="shared" si="69"/>
        <v>179.9587687884549</v>
      </c>
      <c r="DN7" s="10">
        <f t="shared" si="34"/>
        <v>6.8016866278777499</v>
      </c>
      <c r="DO7" s="10">
        <f t="shared" si="35"/>
        <v>3.3633878243860349</v>
      </c>
      <c r="DP7" s="10">
        <f t="shared" si="6"/>
        <v>97.375057746635562</v>
      </c>
      <c r="DQ7" s="10">
        <f t="shared" si="36"/>
        <v>52.246654692016278</v>
      </c>
      <c r="DR7" s="14">
        <f t="shared" si="37"/>
        <v>0.54109648783551012</v>
      </c>
      <c r="DS7" s="14">
        <f t="shared" si="38"/>
        <v>0.29032569540100184</v>
      </c>
      <c r="DT7" s="10">
        <f t="shared" si="70"/>
        <v>16.607518501679468</v>
      </c>
      <c r="DV7" s="7" t="s">
        <v>401</v>
      </c>
      <c r="DW7" s="209">
        <f>(SUM(BK12:BW12)-SUM(D12:P12))/4</f>
        <v>-20.370424863022883</v>
      </c>
      <c r="DX7" s="29">
        <f>DX6</f>
        <v>2030</v>
      </c>
      <c r="DY7" s="4" t="s">
        <v>22</v>
      </c>
      <c r="DZ7" s="10">
        <f>FB7*$AK$14</f>
        <v>9.584463465321603</v>
      </c>
      <c r="EA7" s="10">
        <f>IF(管理者入力シート!$B$14=1,DZ4*管理者用人口入力シート!AM$4,IF(管理者入力シート!$B$14=2,DZ4*管理者用人口入力シート!AM$8))</f>
        <v>3.6432939377734792</v>
      </c>
      <c r="EB7" s="10">
        <f>IF(管理者入力シート!$B$14=1,EA4*管理者用人口入力シート!AN$4,IF(管理者入力シート!$B$14=2,EA4*管理者用人口入力シート!AN$8))</f>
        <v>5.5462553786417761</v>
      </c>
      <c r="EC7" s="10">
        <f>IF(管理者入力シート!$B$14=1,EB4*管理者用人口入力シート!AO$4,IF(管理者入力シート!$B$14=2,EB4*管理者用人口入力シート!AO$8))</f>
        <v>3.0420294300097765</v>
      </c>
      <c r="ED7" s="10">
        <f>IF(管理者入力シート!$B$14=1,EC4*管理者用人口入力シート!AP$4,IF(管理者入力シート!$B$14=2,EC4*管理者用人口入力シート!AP$8))</f>
        <v>2.1657012002481499</v>
      </c>
      <c r="EE7" s="10">
        <f>IF(管理者入力シート!$B$14=1,ED4*管理者用人口入力シート!AQ$4,IF(管理者入力シート!$B$14=2,ED4*管理者用人口入力シート!AQ$8))+DX1</f>
        <v>9.5244467832715571</v>
      </c>
      <c r="EF7" s="10">
        <f>IF(管理者入力シート!$B$14=1,EE4*管理者用人口入力シート!AR$4,IF(管理者入力シート!$B$14=2,EE4*管理者用人口入力シート!AR$8))+DX1</f>
        <v>15.873602662783551</v>
      </c>
      <c r="EG7" s="10">
        <f>IF(管理者入力シート!$B$14=1,EF4*管理者用人口入力シート!AS$4,IF(管理者入力シート!$B$14=2,EF4*管理者用人口入力シート!AS$8))+DX1</f>
        <v>18.480959068067669</v>
      </c>
      <c r="EH7" s="10">
        <f>IF(管理者入力シート!$B$14=1,EG4*管理者用人口入力シート!AT$4,IF(管理者入力シート!$B$14=2,EG4*管理者用人口入力シート!AT$8))</f>
        <v>9.9555146796423468</v>
      </c>
      <c r="EI7" s="10">
        <f>IF(管理者入力シート!$B$14=1,EH4*管理者用人口入力シート!AU$4,IF(管理者入力シート!$B$14=2,EH4*管理者用人口入力シート!AU$8))</f>
        <v>9.9472622337619168</v>
      </c>
      <c r="EJ7" s="10">
        <f>IF(管理者入力シート!$B$14=1,EI4*管理者用人口入力シート!AV$4,IF(管理者入力シート!$B$14=2,EI4*管理者用人口入力シート!AV$8))</f>
        <v>7.8410403223629563</v>
      </c>
      <c r="EK7" s="10">
        <f>IF(管理者入力シート!$B$14=1,EJ4*管理者用人口入力シート!AW$4,IF(管理者入力シート!$B$14=2,EJ4*管理者用人口入力シート!AW$8))</f>
        <v>11.370314226293996</v>
      </c>
      <c r="EL7" s="10">
        <f>IF(管理者入力シート!$B$14=1,EK4*管理者用人口入力シート!AX$4,IF(管理者入力シート!$B$14=2,EK4*管理者用人口入力シート!AX$8))</f>
        <v>12.257629172179183</v>
      </c>
      <c r="EM7" s="10">
        <f>IF(管理者入力シート!$B$14=1,EL4*管理者用人口入力シート!AY$4,IF(管理者入力シート!$B$14=2,EL4*管理者用人口入力シート!AY$8))</f>
        <v>18.945238581552402</v>
      </c>
      <c r="EN7" s="10">
        <f>IF(管理者入力シート!$B$14=1,EM4*管理者用人口入力シート!AZ$4,IF(管理者入力シート!$B$14=2,EM4*管理者用人口入力シート!AZ$8))</f>
        <v>26.183164473066874</v>
      </c>
      <c r="EO7" s="10">
        <f>IF(管理者入力シート!$B$14=1,EN4*管理者用人口入力シート!BA$4,IF(管理者入力シート!$B$14=2,EN4*管理者用人口入力シート!BA$8))</f>
        <v>20.252069896849473</v>
      </c>
      <c r="EP7" s="10">
        <f>IF(管理者入力シート!$B$14=1,EO4*管理者用人口入力シート!BB$4,IF(管理者入力シート!$B$14=2,EO4*管理者用人口入力シート!BB$8))</f>
        <v>17.418981990471767</v>
      </c>
      <c r="EQ7" s="10">
        <f>IF(管理者入力シート!$B$14=1,EP4*管理者用人口入力シート!BC$4,IF(管理者入力シート!$B$14=2,EP4*管理者用人口入力シート!BC$8))</f>
        <v>9.7530651055977451</v>
      </c>
      <c r="ER7" s="10">
        <f>IF(管理者入力シート!$B$14=1,EQ4*管理者用人口入力シート!BD$4,IF(管理者入力シート!$B$14=2,EQ4*管理者用人口入力シート!BD$8))</f>
        <v>4.8145541181595446</v>
      </c>
      <c r="ES7" s="10">
        <f>IF(管理者入力シート!$B$14=1,ER4*管理者用人口入力シート!BE$4,IF(管理者入力シート!$B$14=2,ER4*管理者用人口入力シート!BE$8))</f>
        <v>7.9757042827932351E-3</v>
      </c>
      <c r="ET7" s="10">
        <f>IF(管理者入力シート!$B$14=1,ES4*管理者用人口入力シート!BF$4,IF(管理者入力シート!$B$14=2,ES4*管理者用人口入力シート!BF$8))</f>
        <v>7.8766549648946862E-6</v>
      </c>
      <c r="EU7" s="10">
        <f t="shared" si="71"/>
        <v>216.60757030699352</v>
      </c>
      <c r="EV7" s="10">
        <f t="shared" si="41"/>
        <v>5.5137295898491541</v>
      </c>
      <c r="EW7" s="10">
        <f t="shared" si="42"/>
        <v>2.8269080374586655</v>
      </c>
      <c r="EX7" s="10">
        <f t="shared" si="10"/>
        <v>97.375057746635562</v>
      </c>
      <c r="EY7" s="10">
        <f t="shared" si="43"/>
        <v>52.246654692016278</v>
      </c>
      <c r="EZ7" s="14">
        <f t="shared" si="44"/>
        <v>0.44954595819817317</v>
      </c>
      <c r="FA7" s="14">
        <f t="shared" si="45"/>
        <v>0.2412041953010606</v>
      </c>
      <c r="FB7" s="10">
        <f t="shared" si="72"/>
        <v>46.044709714370924</v>
      </c>
    </row>
    <row r="8" spans="1:158" x14ac:dyDescent="0.15">
      <c r="A8" s="7" t="str">
        <f t="shared" si="11"/>
        <v>2010_3</v>
      </c>
      <c r="B8" s="30">
        <v>2010</v>
      </c>
      <c r="C8" s="5" t="s">
        <v>23</v>
      </c>
      <c r="D8" s="11">
        <v>13.121970912738217</v>
      </c>
      <c r="E8" s="11">
        <v>18.490631895687066</v>
      </c>
      <c r="F8" s="11">
        <v>23.679302908726182</v>
      </c>
      <c r="G8" s="11">
        <v>26.03197592778335</v>
      </c>
      <c r="H8" s="11">
        <v>16.96664994984955</v>
      </c>
      <c r="I8" s="11">
        <v>23.679302908726179</v>
      </c>
      <c r="J8" s="11">
        <v>18.818635907723174</v>
      </c>
      <c r="K8" s="11">
        <v>21.539969909729187</v>
      </c>
      <c r="L8" s="11">
        <v>22.843304914744238</v>
      </c>
      <c r="M8" s="11">
        <v>38.416624874623878</v>
      </c>
      <c r="N8" s="11">
        <v>55.801273821464399</v>
      </c>
      <c r="O8" s="11">
        <v>56.72726680040121</v>
      </c>
      <c r="P8" s="11">
        <v>56.309267803410236</v>
      </c>
      <c r="Q8" s="11">
        <v>37.252622868605819</v>
      </c>
      <c r="R8" s="11">
        <v>50.661940822467407</v>
      </c>
      <c r="S8" s="11">
        <v>51.284598796389176</v>
      </c>
      <c r="T8" s="11">
        <v>56.735947843530596</v>
      </c>
      <c r="U8" s="11">
        <v>21.195977933801405</v>
      </c>
      <c r="V8" s="11">
        <v>6.0406569709127389</v>
      </c>
      <c r="W8" s="11">
        <v>1.532662988966901</v>
      </c>
      <c r="X8" s="11">
        <v>0.27866599799398201</v>
      </c>
      <c r="Y8" s="11">
        <f t="shared" si="68"/>
        <v>617.40925275827476</v>
      </c>
      <c r="Z8" s="11">
        <f t="shared" si="12"/>
        <v>25.301960882647947</v>
      </c>
      <c r="AA8" s="11">
        <f t="shared" si="13"/>
        <v>14.678116349047144</v>
      </c>
      <c r="AB8" s="11">
        <f t="shared" si="0"/>
        <v>224.98307422266802</v>
      </c>
      <c r="AC8" s="11">
        <f t="shared" si="14"/>
        <v>137.06851053159482</v>
      </c>
      <c r="AD8" s="15">
        <f t="shared" si="15"/>
        <v>0.36439861116035521</v>
      </c>
      <c r="AE8" s="15">
        <f t="shared" si="16"/>
        <v>0.22200592219705406</v>
      </c>
      <c r="AF8" s="11">
        <f t="shared" si="17"/>
        <v>81.004558676028097</v>
      </c>
      <c r="AH8" s="7"/>
      <c r="AI8" s="30" t="s">
        <v>88</v>
      </c>
      <c r="AJ8" s="5">
        <f>AJ7</f>
        <v>2010</v>
      </c>
      <c r="AK8" s="5">
        <f>AK7</f>
        <v>2020</v>
      </c>
      <c r="AL8" s="33" t="s">
        <v>22</v>
      </c>
      <c r="AM8" s="47">
        <f t="shared" si="73"/>
        <v>1.1465950633809951</v>
      </c>
      <c r="AN8" s="47">
        <f t="shared" si="73"/>
        <v>0.96434694628502426</v>
      </c>
      <c r="AO8" s="47">
        <f t="shared" si="73"/>
        <v>0.68239893463684531</v>
      </c>
      <c r="AP8" s="47">
        <f t="shared" si="73"/>
        <v>0.55554898110249984</v>
      </c>
      <c r="AQ8" s="47">
        <f t="shared" si="73"/>
        <v>0.90148129709342384</v>
      </c>
      <c r="AR8" s="47">
        <f t="shared" si="73"/>
        <v>0.86065953443616916</v>
      </c>
      <c r="AS8" s="47">
        <f t="shared" si="73"/>
        <v>0.87627050578723087</v>
      </c>
      <c r="AT8" s="47">
        <f t="shared" si="73"/>
        <v>0.99036838122114845</v>
      </c>
      <c r="AU8" s="47">
        <f t="shared" si="73"/>
        <v>1.0194901086181019</v>
      </c>
      <c r="AV8" s="47">
        <f t="shared" si="73"/>
        <v>1.0345914278213257</v>
      </c>
      <c r="AW8" s="47">
        <f t="shared" si="73"/>
        <v>0.97516982631777516</v>
      </c>
      <c r="AX8" s="47">
        <f t="shared" si="73"/>
        <v>0.99971511014524961</v>
      </c>
      <c r="AY8" s="47">
        <f t="shared" si="73"/>
        <v>0.94911452214039971</v>
      </c>
      <c r="AZ8" s="47">
        <f t="shared" si="73"/>
        <v>0.95726040391383349</v>
      </c>
      <c r="BA8" s="47">
        <f t="shared" si="73"/>
        <v>0.87290504130572177</v>
      </c>
      <c r="BB8" s="47">
        <f t="shared" si="73"/>
        <v>0.87797530571149551</v>
      </c>
      <c r="BC8" s="47">
        <f t="shared" si="73"/>
        <v>0.69789340614581918</v>
      </c>
      <c r="BD8" s="47">
        <f t="shared" si="73"/>
        <v>0.39220960570262975</v>
      </c>
      <c r="BE8" s="47">
        <f t="shared" si="73"/>
        <v>1E-3</v>
      </c>
      <c r="BF8" s="47">
        <f t="shared" si="73"/>
        <v>1E-3</v>
      </c>
      <c r="BH8" s="7" t="str">
        <f t="shared" si="19"/>
        <v>2030_3</v>
      </c>
      <c r="BI8" s="30">
        <f>BI7</f>
        <v>2030</v>
      </c>
      <c r="BJ8" s="5" t="s">
        <v>23</v>
      </c>
      <c r="BK8" s="16">
        <f>BK6+BK7</f>
        <v>4.7685944450944149</v>
      </c>
      <c r="BL8" s="16">
        <f t="shared" ref="BL8" si="74">BL6+BL7</f>
        <v>6.5895443227177708</v>
      </c>
      <c r="BM8" s="16">
        <f t="shared" ref="BM8" si="75">BM6+BM7</f>
        <v>10.123499880815658</v>
      </c>
      <c r="BN8" s="16">
        <f t="shared" ref="BN8" si="76">BN6+BN7</f>
        <v>6.0287232413121732</v>
      </c>
      <c r="BO8" s="16">
        <f t="shared" ref="BO8" si="77">BO6+BO7</f>
        <v>4.2473915801188511</v>
      </c>
      <c r="BP8" s="16">
        <f t="shared" ref="BP8" si="78">BP6+BP7</f>
        <v>4.7783320698069165</v>
      </c>
      <c r="BQ8" s="16">
        <f t="shared" ref="BQ8" si="79">BQ6+BQ7</f>
        <v>4.356457165712051</v>
      </c>
      <c r="BR8" s="16">
        <f t="shared" ref="BR8" si="80">BR6+BR7</f>
        <v>10.483349965766319</v>
      </c>
      <c r="BS8" s="16">
        <f t="shared" ref="BS8" si="81">BS6+BS7</f>
        <v>9.0540862157990105</v>
      </c>
      <c r="BT8" s="16">
        <f t="shared" ref="BT8" si="82">BT6+BT7</f>
        <v>16.107354497061987</v>
      </c>
      <c r="BU8" s="16">
        <f t="shared" ref="BU8" si="83">BU6+BU7</f>
        <v>17.945905542038528</v>
      </c>
      <c r="BV8" s="16">
        <f t="shared" ref="BV8" si="84">BV6+BV7</f>
        <v>20.778516654915588</v>
      </c>
      <c r="BW8" s="16">
        <f t="shared" ref="BW8" si="85">BW6+BW7</f>
        <v>24.995754821461585</v>
      </c>
      <c r="BX8" s="16">
        <f t="shared" ref="BX8" si="86">BX6+BX7</f>
        <v>35.216791347929387</v>
      </c>
      <c r="BY8" s="16">
        <f t="shared" ref="BY8" si="87">BY6+BY7</f>
        <v>49.880218137847869</v>
      </c>
      <c r="BZ8" s="16">
        <f t="shared" ref="BZ8" si="88">BZ6+BZ7</f>
        <v>45.700580377266107</v>
      </c>
      <c r="CA8" s="16">
        <f t="shared" ref="CA8" si="89">CA6+CA7</f>
        <v>37.771419572508776</v>
      </c>
      <c r="CB8" s="16">
        <f t="shared" ref="CB8" si="90">CB6+CB7</f>
        <v>17.606493609718964</v>
      </c>
      <c r="CC8" s="16">
        <f t="shared" ref="CC8" si="91">CC6+CC7</f>
        <v>9.9938056648067004</v>
      </c>
      <c r="CD8" s="16">
        <f t="shared" ref="CD8" si="92">CD6+CD7</f>
        <v>1.261271870092727E-2</v>
      </c>
      <c r="CE8" s="16">
        <f t="shared" ref="CE8" si="93">CE6+CE7</f>
        <v>2.0245315947843531E-5</v>
      </c>
      <c r="CF8" s="11">
        <f t="shared" si="2"/>
        <v>336.43945207671555</v>
      </c>
      <c r="CG8" s="11">
        <f t="shared" si="20"/>
        <v>10.027826522120057</v>
      </c>
      <c r="CH8" s="11">
        <f t="shared" si="21"/>
        <v>5.2551446005886984</v>
      </c>
      <c r="CI8" s="11">
        <f t="shared" si="3"/>
        <v>196.18194167409465</v>
      </c>
      <c r="CJ8" s="11">
        <f t="shared" si="22"/>
        <v>111.08493218831742</v>
      </c>
      <c r="CK8" s="15">
        <f t="shared" si="23"/>
        <v>0.58311217802530746</v>
      </c>
      <c r="CL8" s="15">
        <f t="shared" si="24"/>
        <v>0.33017807959985512</v>
      </c>
      <c r="CM8" s="11">
        <f t="shared" si="25"/>
        <v>23.865530781404139</v>
      </c>
      <c r="CO8" s="7" t="str">
        <f t="shared" si="26"/>
        <v>2030_3</v>
      </c>
      <c r="CP8" s="30">
        <f>CP7</f>
        <v>2030</v>
      </c>
      <c r="CQ8" s="5" t="s">
        <v>23</v>
      </c>
      <c r="CR8" s="16">
        <f>CR6+CR7</f>
        <v>8.1456848380205216</v>
      </c>
      <c r="CS8" s="16">
        <f t="shared" ref="CS8" si="94">CS6+CS7</f>
        <v>8.9282868470438679</v>
      </c>
      <c r="CT8" s="16">
        <f t="shared" ref="CT8" si="95">CT6+CT7</f>
        <v>12.123499880815658</v>
      </c>
      <c r="CU8" s="16">
        <f t="shared" ref="CU8" si="96">CU6+CU7</f>
        <v>7.2696052208445403</v>
      </c>
      <c r="CV8" s="16">
        <f t="shared" ref="CV8" si="97">CV6+CV7</f>
        <v>4.2473915801188511</v>
      </c>
      <c r="CW8" s="16">
        <f t="shared" ref="CW8" si="98">CW6+CW7</f>
        <v>8.7783320698069165</v>
      </c>
      <c r="CX8" s="16">
        <f t="shared" ref="CX8" si="99">CX6+CX7</f>
        <v>7.7657038834718293</v>
      </c>
      <c r="CY8" s="16">
        <f t="shared" ref="CY8" si="100">CY6+CY7</f>
        <v>10.483349965766319</v>
      </c>
      <c r="CZ8" s="16">
        <f t="shared" ref="CZ8" si="101">CZ6+CZ7</f>
        <v>10.054086215799011</v>
      </c>
      <c r="DA8" s="16">
        <f t="shared" ref="DA8" si="102">DA6+DA7</f>
        <v>17.126844605680088</v>
      </c>
      <c r="DB8" s="16">
        <f t="shared" ref="DB8" si="103">DB6+DB7</f>
        <v>17.945905542038528</v>
      </c>
      <c r="DC8" s="16">
        <f t="shared" ref="DC8" si="104">DC6+DC7</f>
        <v>20.778516654915588</v>
      </c>
      <c r="DD8" s="16">
        <f t="shared" ref="DD8" si="105">DD6+DD7</f>
        <v>24.995754821461585</v>
      </c>
      <c r="DE8" s="16">
        <f t="shared" ref="DE8" si="106">DE6+DE7</f>
        <v>35.216791347929387</v>
      </c>
      <c r="DF8" s="16">
        <f t="shared" ref="DF8" si="107">DF6+DF7</f>
        <v>49.880218137847869</v>
      </c>
      <c r="DG8" s="16">
        <f t="shared" ref="DG8" si="108">DG6+DG7</f>
        <v>45.700580377266107</v>
      </c>
      <c r="DH8" s="16">
        <f t="shared" ref="DH8" si="109">DH6+DH7</f>
        <v>37.771419572508776</v>
      </c>
      <c r="DI8" s="16">
        <f t="shared" ref="DI8" si="110">DI6+DI7</f>
        <v>17.606493609718964</v>
      </c>
      <c r="DJ8" s="16">
        <f t="shared" ref="DJ8" si="111">DJ6+DJ7</f>
        <v>9.9938056648067004</v>
      </c>
      <c r="DK8" s="16">
        <f t="shared" ref="DK8" si="112">DK6+DK7</f>
        <v>1.261271870092727E-2</v>
      </c>
      <c r="DL8" s="16">
        <f t="shared" ref="DL8" si="113">DL6+DL7</f>
        <v>2.0245315947843531E-5</v>
      </c>
      <c r="DM8" s="11">
        <f t="shared" si="69"/>
        <v>354.82490379987797</v>
      </c>
      <c r="DN8" s="11">
        <f t="shared" si="34"/>
        <v>12.631072036715715</v>
      </c>
      <c r="DO8" s="11">
        <f t="shared" si="35"/>
        <v>6.3033209964951711</v>
      </c>
      <c r="DP8" s="11">
        <f t="shared" si="6"/>
        <v>196.18194167409465</v>
      </c>
      <c r="DQ8" s="11">
        <f t="shared" si="36"/>
        <v>111.08493218831742</v>
      </c>
      <c r="DR8" s="15">
        <f t="shared" si="37"/>
        <v>0.55289789294142022</v>
      </c>
      <c r="DS8" s="15">
        <f t="shared" si="38"/>
        <v>0.31306971691865682</v>
      </c>
      <c r="DT8" s="11">
        <f t="shared" si="70"/>
        <v>31.274777499163914</v>
      </c>
      <c r="DV8" s="7" t="s">
        <v>402</v>
      </c>
      <c r="DW8" s="209">
        <f>(SUM(BK13:BW13)-SUM(D13:P13))/4</f>
        <v>-19.938472585238941</v>
      </c>
      <c r="DX8" s="30">
        <f>DX7</f>
        <v>2030</v>
      </c>
      <c r="DY8" s="5" t="s">
        <v>23</v>
      </c>
      <c r="DZ8" s="16">
        <f>DZ6+DZ7</f>
        <v>17.03904616057174</v>
      </c>
      <c r="EA8" s="16">
        <f t="shared" ref="EA8:ET8" si="114">EA6+EA7</f>
        <v>6.5895443227177708</v>
      </c>
      <c r="EB8" s="16">
        <f t="shared" si="114"/>
        <v>10.123499880815658</v>
      </c>
      <c r="EC8" s="16">
        <f t="shared" si="114"/>
        <v>6.0287232413121732</v>
      </c>
      <c r="ED8" s="16">
        <f t="shared" si="114"/>
        <v>4.2473915801188511</v>
      </c>
      <c r="EE8" s="16">
        <f t="shared" si="114"/>
        <v>18.778332069806915</v>
      </c>
      <c r="EF8" s="16">
        <f t="shared" si="114"/>
        <v>30.288820677871279</v>
      </c>
      <c r="EG8" s="16">
        <f t="shared" si="114"/>
        <v>36.29137451455226</v>
      </c>
      <c r="EH8" s="16">
        <f t="shared" si="114"/>
        <v>22.353800419386136</v>
      </c>
      <c r="EI8" s="16">
        <f t="shared" si="114"/>
        <v>16.107354497061987</v>
      </c>
      <c r="EJ8" s="16">
        <f t="shared" si="114"/>
        <v>17.945905542038528</v>
      </c>
      <c r="EK8" s="16">
        <f t="shared" si="114"/>
        <v>20.778516654915588</v>
      </c>
      <c r="EL8" s="16">
        <f t="shared" si="114"/>
        <v>24.995754821461585</v>
      </c>
      <c r="EM8" s="16">
        <f t="shared" si="114"/>
        <v>35.216791347929387</v>
      </c>
      <c r="EN8" s="16">
        <f t="shared" si="114"/>
        <v>49.880218137847869</v>
      </c>
      <c r="EO8" s="16">
        <f t="shared" si="114"/>
        <v>45.700580377266107</v>
      </c>
      <c r="EP8" s="16">
        <f t="shared" si="114"/>
        <v>37.771419572508776</v>
      </c>
      <c r="EQ8" s="16">
        <f t="shared" si="114"/>
        <v>17.606493609718964</v>
      </c>
      <c r="ER8" s="16">
        <f t="shared" si="114"/>
        <v>9.9938056648067004</v>
      </c>
      <c r="ES8" s="16">
        <f t="shared" si="114"/>
        <v>1.261271870092727E-2</v>
      </c>
      <c r="ET8" s="16">
        <f t="shared" si="114"/>
        <v>2.0245315947843531E-5</v>
      </c>
      <c r="EU8" s="11">
        <f t="shared" si="71"/>
        <v>427.75000605672511</v>
      </c>
      <c r="EV8" s="11">
        <f t="shared" si="41"/>
        <v>10.027826522120057</v>
      </c>
      <c r="EW8" s="11">
        <f t="shared" si="42"/>
        <v>5.2551446005886984</v>
      </c>
      <c r="EX8" s="11">
        <f t="shared" si="10"/>
        <v>196.18194167409465</v>
      </c>
      <c r="EY8" s="11">
        <f t="shared" si="43"/>
        <v>111.08493218831742</v>
      </c>
      <c r="EZ8" s="15">
        <f t="shared" si="44"/>
        <v>0.45863691150498409</v>
      </c>
      <c r="FA8" s="15">
        <f t="shared" si="45"/>
        <v>0.25969592195303476</v>
      </c>
      <c r="FB8" s="11">
        <f t="shared" si="72"/>
        <v>89.605918842349297</v>
      </c>
    </row>
    <row r="9" spans="1:158" x14ac:dyDescent="0.15">
      <c r="A9" s="7" t="str">
        <f t="shared" si="11"/>
        <v>2015_1</v>
      </c>
      <c r="B9" s="28">
        <v>2015</v>
      </c>
      <c r="C9" s="3" t="s">
        <v>21</v>
      </c>
      <c r="D9" s="9">
        <v>4.5979889669007035</v>
      </c>
      <c r="E9" s="9">
        <v>9.2453159478435332</v>
      </c>
      <c r="F9" s="9">
        <v>9.8026479438314951</v>
      </c>
      <c r="G9" s="9">
        <v>6.6226579739217666</v>
      </c>
      <c r="H9" s="9">
        <v>8.2293279839518565</v>
      </c>
      <c r="I9" s="9">
        <v>9.7619909729187562</v>
      </c>
      <c r="J9" s="9">
        <v>8.9666499498495504</v>
      </c>
      <c r="K9" s="9">
        <v>8.9666499498495504</v>
      </c>
      <c r="L9" s="9">
        <v>7.9913189568706136</v>
      </c>
      <c r="M9" s="9">
        <v>10.712652958876632</v>
      </c>
      <c r="N9" s="9">
        <v>15.777978936810433</v>
      </c>
      <c r="O9" s="9">
        <v>27.121970912738217</v>
      </c>
      <c r="P9" s="9">
        <v>32.211965897693084</v>
      </c>
      <c r="Q9" s="9">
        <v>31.908630892678037</v>
      </c>
      <c r="R9" s="9">
        <v>17.523981945837512</v>
      </c>
      <c r="S9" s="9">
        <v>22.03197592778335</v>
      </c>
      <c r="T9" s="9">
        <v>17.03197592778335</v>
      </c>
      <c r="U9" s="9">
        <v>18.57331995987964</v>
      </c>
      <c r="V9" s="9">
        <v>0.97533099297893699</v>
      </c>
      <c r="W9" s="9">
        <v>0.55733199598796401</v>
      </c>
      <c r="X9" s="9">
        <v>0.139332998996991</v>
      </c>
      <c r="Y9" s="9">
        <f t="shared" si="68"/>
        <v>268.75099799398191</v>
      </c>
      <c r="Z9" s="9">
        <f t="shared" si="12"/>
        <v>11.428778335005017</v>
      </c>
      <c r="AA9" s="9">
        <f t="shared" si="13"/>
        <v>5.2455907723169517</v>
      </c>
      <c r="AB9" s="9">
        <f t="shared" si="0"/>
        <v>108.74188064192579</v>
      </c>
      <c r="AC9" s="9">
        <f t="shared" si="14"/>
        <v>59.309267803410236</v>
      </c>
      <c r="AD9" s="13">
        <f t="shared" si="15"/>
        <v>0.40461944868521316</v>
      </c>
      <c r="AE9" s="13">
        <f t="shared" si="16"/>
        <v>0.22068482813499482</v>
      </c>
      <c r="AF9" s="9">
        <f t="shared" si="17"/>
        <v>35.924618856569715</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1.3456229103666426</v>
      </c>
      <c r="BL9" s="9">
        <f>IF(管理者入力シート!$B$14=1,BK6*管理者用人口入力シート!AM$3,IF(管理者入力シート!$B$14=2,BK6*管理者用人口入力シート!AM$7))</f>
        <v>2.4871296449983462</v>
      </c>
      <c r="BM9" s="9">
        <f>IF(管理者入力シート!$B$14=1,BL6*管理者用人口入力シート!AN$3,IF(管理者入力シート!$B$14=2,BL6*管理者用人口入力シート!AN$7))</f>
        <v>2.899557794098147</v>
      </c>
      <c r="BN9" s="9">
        <f>IF(管理者入力シート!$B$14=1,BM6*管理者用人口入力シート!AO$3,IF(管理者入力シート!$B$14=2,BM6*管理者用人口入力シート!AO$7))</f>
        <v>2.556313446805353</v>
      </c>
      <c r="BO9" s="9">
        <f>IF(管理者入力シート!$B$14=1,BN6*管理者用人口入力シート!AP$3,IF(管理者入力シート!$B$14=2,BN6*管理者用人口入力シート!AP$7))</f>
        <v>1.26115400657247</v>
      </c>
      <c r="BP9" s="9">
        <f>IF(管理者入力シート!$B$14=1,BO6*管理者用人口入力シート!AQ$3,IF(管理者入力シート!$B$14=2,BO6*管理者用人口入力シート!AQ$7))</f>
        <v>1.7583283154786582</v>
      </c>
      <c r="BQ9" s="9">
        <f>IF(管理者入力シート!$B$14=1,BP6*管理者用人口入力シート!AR$3,IF(管理者入力シート!$B$14=2,BP6*管理者用人口入力シート!AR$7))</f>
        <v>1.9021976462818122</v>
      </c>
      <c r="BR9" s="9">
        <f>IF(管理者入力シート!$B$14=1,BQ6*管理者用人口入力シート!AS$3,IF(管理者入力シート!$B$14=2,BQ6*管理者用人口入力シート!AS$7))</f>
        <v>1.2219413327942665</v>
      </c>
      <c r="BS9" s="9">
        <f>IF(管理者入力シート!$B$14=1,BR6*管理者用人口入力シート!AT$3,IF(管理者入力シート!$B$14=2,BR6*管理者用人口入力シート!AT$7))</f>
        <v>4.6719170235129228</v>
      </c>
      <c r="BT9" s="9">
        <f>IF(管理者入力シート!$B$14=1,BS6*管理者用人口入力シート!AU$3,IF(管理者入力シート!$B$14=2,BS6*管理者用人口入力シート!AU$7))</f>
        <v>6.2371970386285884</v>
      </c>
      <c r="BU9" s="9">
        <f>IF(管理者入力シート!$B$14=1,BT6*管理者用人口入力シート!AV$3,IF(管理者入力シート!$B$14=2,BT6*管理者用人口入力シート!AV$7))</f>
        <v>6.2287699116243838</v>
      </c>
      <c r="BV9" s="9">
        <f>IF(管理者入力シート!$B$14=1,BU6*管理者用人口入力シート!AW$3,IF(管理者入力シート!$B$14=2,BU6*管理者用人口入力シート!AW$7))</f>
        <v>10.456797618673724</v>
      </c>
      <c r="BW9" s="9">
        <f>IF(管理者入力シート!$B$14=1,BV6*管理者用人口入力シート!AX$3,IF(管理者入力シート!$B$14=2,BV6*管理者用人口入力シート!AX$7))</f>
        <v>9.5468447833348211</v>
      </c>
      <c r="BX9" s="9">
        <f>IF(管理者入力シート!$B$14=1,BW6*管理者用人口入力シート!AY$3,IF(管理者入力シート!$B$14=2,BW6*管理者用人口入力シート!AY$7))</f>
        <v>12.485287635446836</v>
      </c>
      <c r="BY9" s="9">
        <f>IF(管理者入力シート!$B$14=1,BX6*管理者用人口入力シート!AZ$3,IF(管理者入力シート!$B$14=2,BX6*管理者用人口入力シート!AZ$7))</f>
        <v>14.668768107923121</v>
      </c>
      <c r="BZ9" s="9">
        <f>IF(管理者入力シート!$B$14=1,BY6*管理者用人口入力シート!BA$3,IF(管理者入力シート!$B$14=2,BY6*管理者用人口入力シート!BA$7))</f>
        <v>21.337156234473554</v>
      </c>
      <c r="CA9" s="9">
        <f>IF(管理者入力シート!$B$14=1,BZ6*管理者用人口入力シート!BB$3,IF(管理者入力シート!$B$14=2,BZ6*管理者用人口入力シート!BB$7))</f>
        <v>20.371531306819076</v>
      </c>
      <c r="CB9" s="9">
        <f>IF(管理者入力シート!$B$14=1,CA6*管理者用人口入力シート!BC$3,IF(管理者入力シート!$B$14=2,CA6*管理者用人口入力シート!BC$7))</f>
        <v>13.217990271229624</v>
      </c>
      <c r="CC9" s="9">
        <f>IF(管理者入力シート!$B$14=1,CB6*管理者用人口入力シート!BD$3,IF(管理者入力シート!$B$14=2,CB6*管理者用人口入力シート!BD$7))</f>
        <v>3.3557416445948358</v>
      </c>
      <c r="CD9" s="9">
        <f>IF(管理者入力シート!$B$14=1,CC6*管理者用人口入力シート!BE$3,IF(管理者入力シート!$B$14=2,CC6*管理者用人口入力シート!BE$7))</f>
        <v>5.1792515466471565E-3</v>
      </c>
      <c r="CE9" s="9">
        <f>IF(管理者入力シート!$B$14=1,CD6*管理者用人口入力シート!BF$3,IF(管理者入力シート!$B$14=2,CD6*管理者用人口入力シート!BF$7))</f>
        <v>4.6370144181340356E-6</v>
      </c>
      <c r="CF9" s="9">
        <f t="shared" si="2"/>
        <v>138.01543056221826</v>
      </c>
      <c r="CG9" s="9">
        <f t="shared" si="20"/>
        <v>3.2320124634578962</v>
      </c>
      <c r="CH9" s="9">
        <f t="shared" si="21"/>
        <v>1.6710858070003294</v>
      </c>
      <c r="CI9" s="9">
        <f t="shared" si="3"/>
        <v>85.441659089048102</v>
      </c>
      <c r="CJ9" s="9">
        <f t="shared" si="22"/>
        <v>58.287603345678164</v>
      </c>
      <c r="CK9" s="13">
        <f t="shared" si="23"/>
        <v>0.61907323507954026</v>
      </c>
      <c r="CL9" s="13">
        <f t="shared" si="24"/>
        <v>0.42232671454371712</v>
      </c>
      <c r="CM9" s="9">
        <f t="shared" si="25"/>
        <v>6.1436213011272063</v>
      </c>
      <c r="CO9" s="7" t="str">
        <f t="shared" si="26"/>
        <v>2035_1</v>
      </c>
      <c r="CP9" s="28">
        <f>管理者入力シート!B10</f>
        <v>2035</v>
      </c>
      <c r="CQ9" s="3" t="s">
        <v>21</v>
      </c>
      <c r="CR9" s="9">
        <f>DT10*$AK$13+将来予測シート②!$G17</f>
        <v>3.2536753654744901</v>
      </c>
      <c r="CS9" s="9">
        <f>IF(管理者入力シート!$B$14=1,CR6*管理者用人口入力シート!AM$3,IF(管理者入力シート!$B$14=2,CR6*管理者用人口入力シート!AM$7))+将来予測シート②!$G18</f>
        <v>4.3975185876891505</v>
      </c>
      <c r="CT9" s="9">
        <f>IF(管理者入力シート!$B$14=1,CS6*管理者用人口入力シート!AN$3,IF(管理者入力シート!$B$14=2,CS6*管理者用人口入力シート!AN$7))+将来予測シート②!$G19</f>
        <v>5.0728119342628313</v>
      </c>
      <c r="CU9" s="9">
        <f>IF(管理者入力シート!$B$14=1,CT6*管理者用人口入力シート!AO$3,IF(管理者入力シート!$B$14=2,CT6*管理者用人口入力シート!AO$7))+将来予測シート②!$G20</f>
        <v>3.1147964917008744</v>
      </c>
      <c r="CV9" s="9">
        <f>IF(管理者入力シート!$B$14=1,CU6*管理者用人口入力シート!AP$3,IF(管理者入力シート!$B$14=2,CU6*管理者用人口入力シート!AP$7))+将来予測シート②!$G21</f>
        <v>1.4969776879312375</v>
      </c>
      <c r="CW9" s="9">
        <f>IF(管理者入力シート!$B$14=1,CV6*管理者用人口入力シート!AQ$3,IF(管理者入力シート!$B$14=2,CV6*管理者用人口入力シート!AQ$7))+将来予測シート②!$G22</f>
        <v>3.758328315478658</v>
      </c>
      <c r="CX9" s="9">
        <f>IF(管理者入力シート!$B$14=1,CW6*管理者用人口入力シート!AR$3,IF(管理者入力シート!$B$14=2,CW6*管理者用人口入力シート!AR$7))+将来予測シート②!$G23</f>
        <v>3.5901252951692531</v>
      </c>
      <c r="CY9" s="9">
        <f>IF(管理者入力シート!$B$14=1,CX6*管理者用人口入力シート!AS$3,IF(管理者入力シート!$B$14=2,CX6*管理者用人口入力シート!AS$7))+将来予測シート②!$G24</f>
        <v>2.59015884883391</v>
      </c>
      <c r="CZ9" s="9">
        <f>IF(管理者入力シート!$B$14=1,CY6*管理者用人口入力シート!AT$3,IF(管理者入力シート!$B$14=2,CY6*管理者用人口入力シート!AT$7))+将来予測シート②!$G25</f>
        <v>4.6719170235129228</v>
      </c>
      <c r="DA9" s="9">
        <f>IF(管理者入力シート!$B$14=1,CZ6*管理者用人口入力シート!AU$3,IF(管理者入力シート!$B$14=2,CZ6*管理者用人口入力シート!AU$7))+将来予測シート②!$G26</f>
        <v>6.2371970386285884</v>
      </c>
      <c r="DB9" s="9">
        <f>IF(管理者入力シート!$B$14=1,DA6*管理者用人口入力シート!AV$3,IF(管理者入力シート!$B$14=2,DA6*管理者用人口入力シート!AV$7))+将来予測シート②!$G27</f>
        <v>6.2287699116243838</v>
      </c>
      <c r="DC9" s="9">
        <f>IF(管理者入力シート!$B$14=1,DB6*管理者用人口入力シート!AW$3,IF(管理者入力シート!$B$14=2,DB6*管理者用人口入力シート!AW$7))+将来予測シート②!$G28</f>
        <v>10.456797618673724</v>
      </c>
      <c r="DD9" s="9">
        <f>IF(管理者入力シート!$B$14=1,DC6*管理者用人口入力シート!AX$3,IF(管理者入力シート!$B$14=2,DC6*管理者用人口入力シート!AX$7))+将来予測シート②!$G29</f>
        <v>9.5468447833348211</v>
      </c>
      <c r="DE9" s="9">
        <f>IF(管理者入力シート!$B$14=1,DD6*管理者用人口入力シート!AY$3,IF(管理者入力シート!$B$14=2,DD6*管理者用人口入力シート!AY$7))</f>
        <v>12.485287635446836</v>
      </c>
      <c r="DF9" s="9">
        <f>IF(管理者入力シート!$B$14=1,DE6*管理者用人口入力シート!AZ$3,IF(管理者入力シート!$B$14=2,DE6*管理者用人口入力シート!AZ$7))</f>
        <v>14.668768107923121</v>
      </c>
      <c r="DG9" s="9">
        <f>IF(管理者入力シート!$B$14=1,DF6*管理者用人口入力シート!BA$3,IF(管理者入力シート!$B$14=2,DF6*管理者用人口入力シート!BA$7))</f>
        <v>21.337156234473554</v>
      </c>
      <c r="DH9" s="9">
        <f>IF(管理者入力シート!$B$14=1,DG6*管理者用人口入力シート!BB$3,IF(管理者入力シート!$B$14=2,DG6*管理者用人口入力シート!BB$7))</f>
        <v>20.371531306819076</v>
      </c>
      <c r="DI9" s="9">
        <f>IF(管理者入力シート!$B$14=1,DH6*管理者用人口入力シート!BC$3,IF(管理者入力シート!$B$14=2,DH6*管理者用人口入力シート!BC$7))</f>
        <v>13.217990271229624</v>
      </c>
      <c r="DJ9" s="9">
        <f>IF(管理者入力シート!$B$14=1,DI6*管理者用人口入力シート!BD$3,IF(管理者入力シート!$B$14=2,DI6*管理者用人口入力シート!BD$7))</f>
        <v>3.3557416445948358</v>
      </c>
      <c r="DK9" s="9">
        <f>IF(管理者入力シート!$B$14=1,DJ6*管理者用人口入力シート!BE$3,IF(管理者入力シート!$B$14=2,DJ6*管理者用人口入力シート!BE$7))</f>
        <v>5.1792515466471565E-3</v>
      </c>
      <c r="DL9" s="9">
        <f>IF(管理者入力シート!$B$14=1,DK6*管理者用人口入力シート!BF$3,IF(管理者入力シート!$B$14=2,DK6*管理者用人口入力シート!BF$7))</f>
        <v>4.6370144181340356E-6</v>
      </c>
      <c r="DM9" s="9">
        <f t="shared" si="69"/>
        <v>149.85757799136297</v>
      </c>
      <c r="DN9" s="9">
        <f t="shared" si="34"/>
        <v>5.6821983131711891</v>
      </c>
      <c r="DO9" s="9">
        <f t="shared" si="35"/>
        <v>2.6520840720453069</v>
      </c>
      <c r="DP9" s="9">
        <f t="shared" si="6"/>
        <v>85.441659089048102</v>
      </c>
      <c r="DQ9" s="9">
        <f t="shared" si="36"/>
        <v>58.287603345678164</v>
      </c>
      <c r="DR9" s="13">
        <f t="shared" si="37"/>
        <v>0.57015240893571972</v>
      </c>
      <c r="DS9" s="13">
        <f t="shared" si="38"/>
        <v>0.38895332573063179</v>
      </c>
      <c r="DT9" s="9">
        <f t="shared" si="70"/>
        <v>11.435590147413059</v>
      </c>
      <c r="DV9" s="7" t="s">
        <v>403</v>
      </c>
      <c r="DW9" s="209">
        <f>DW7+DW8</f>
        <v>-40.308897448261824</v>
      </c>
      <c r="DX9" s="28">
        <f>管理者入力シート!B10</f>
        <v>2035</v>
      </c>
      <c r="DY9" s="3" t="s">
        <v>21</v>
      </c>
      <c r="DZ9" s="9">
        <f>FB10*$AK$13</f>
        <v>7.5686406392926733</v>
      </c>
      <c r="EA9" s="129">
        <f>IF(管理者入力シート!$B$14=1,DZ6*管理者用人口入力シート!AM$3,IF(管理者入力シート!$B$14=2,DZ6*管理者用人口入力シート!AM$7))</f>
        <v>8.8869618325477369</v>
      </c>
      <c r="EB9" s="9">
        <f>IF(管理者入力シート!$B$14=1,EA6*管理者用人口入力シート!AN$3,IF(管理者入力シート!$B$14=2,EA6*管理者用人口入力シート!AN$7))</f>
        <v>2.899557794098147</v>
      </c>
      <c r="EC9" s="9">
        <f>IF(管理者入力シート!$B$14=1,EB6*管理者用人口入力シート!AO$3,IF(管理者入力シート!$B$14=2,EB6*管理者用人口入力シート!AO$7))</f>
        <v>2.556313446805353</v>
      </c>
      <c r="ED9" s="9">
        <f>IF(管理者入力シート!$B$14=1,EC6*管理者用人口入力シート!AP$3,IF(管理者入力シート!$B$14=2,EC6*管理者用人口入力シート!AP$7))</f>
        <v>1.26115400657247</v>
      </c>
      <c r="EE9" s="9">
        <f>IF(管理者入力シート!$B$14=1,ED6*管理者用人口入力シート!AQ$3,IF(管理者入力シート!$B$14=2,ED6*管理者用人口入力シート!AQ$7))+DX1</f>
        <v>8.7583283154786589</v>
      </c>
      <c r="EF9" s="9">
        <f>IF(管理者入力シート!$B$14=1,EE6*管理者用人口入力シート!AR$3,IF(管理者入力シート!$B$14=2,EE6*管理者用人口入力シート!AR$7))+DX1</f>
        <v>14.809944417387854</v>
      </c>
      <c r="EG9" s="9">
        <f>IF(管理者入力シート!$B$14=1,EF6*管理者用人口入力シート!AS$3,IF(管理者入力シート!$B$14=2,EF6*管理者用人口入力シート!AS$7))+DX1</f>
        <v>18.68483364720835</v>
      </c>
      <c r="EH9" s="9">
        <f>IF(管理者入力シート!$B$14=1,EG6*管理者用人口入力シート!AT$3,IF(管理者入力シート!$B$14=2,EG6*管理者用人口入力シート!AT$7))</f>
        <v>16.200189869017294</v>
      </c>
      <c r="EI9" s="9">
        <f>IF(管理者入力シート!$B$14=1,EH6*管理者用人口入力シート!AU$3,IF(管理者入力シート!$B$14=2,EH6*管理者用人口入力シート!AU$7))</f>
        <v>12.821857933446587</v>
      </c>
      <c r="EJ9" s="9">
        <f>IF(管理者入力シート!$B$14=1,EI6*管理者用人口入力シート!AV$3,IF(管理者入力シート!$B$14=2,EI6*管理者用人口入力シート!AV$7))</f>
        <v>6.2287699116243838</v>
      </c>
      <c r="EK9" s="9">
        <f>IF(管理者入力シート!$B$14=1,EJ6*管理者用人口入力シート!AW$3,IF(管理者入力シート!$B$14=2,EJ6*管理者用人口入力シート!AW$7))</f>
        <v>10.456797618673724</v>
      </c>
      <c r="EL9" s="9">
        <f>IF(管理者入力シート!$B$14=1,EK6*管理者用人口入力シート!AX$3,IF(管理者入力シート!$B$14=2,EK6*管理者用人口入力シート!AX$7))</f>
        <v>9.5468447833348211</v>
      </c>
      <c r="EM9" s="9">
        <f>IF(管理者入力シート!$B$14=1,EL6*管理者用人口入力シート!AY$3,IF(管理者入力シート!$B$14=2,EL6*管理者用人口入力シート!AY$7))</f>
        <v>12.485287635446836</v>
      </c>
      <c r="EN9" s="9">
        <f>IF(管理者入力シート!$B$14=1,EM6*管理者用人口入力シート!AZ$3,IF(管理者入力シート!$B$14=2,EM6*管理者用人口入力シート!AZ$7))</f>
        <v>14.668768107923121</v>
      </c>
      <c r="EO9" s="9">
        <f>IF(管理者入力シート!$B$14=1,EN6*管理者用人口入力シート!BA$3,IF(管理者入力シート!$B$14=2,EN6*管理者用人口入力シート!BA$7))</f>
        <v>21.337156234473554</v>
      </c>
      <c r="EP9" s="9">
        <f>IF(管理者入力シート!$B$14=1,EO6*管理者用人口入力シート!BB$3,IF(管理者入力シート!$B$14=2,EO6*管理者用人口入力シート!BB$7))</f>
        <v>20.371531306819076</v>
      </c>
      <c r="EQ9" s="9">
        <f>IF(管理者入力シート!$B$14=1,EP6*管理者用人口入力シート!BC$3,IF(管理者入力シート!$B$14=2,EP6*管理者用人口入力シート!BC$7))</f>
        <v>13.217990271229624</v>
      </c>
      <c r="ER9" s="9">
        <f>IF(管理者入力シート!$B$14=1,EQ6*管理者用人口入力シート!BD$3,IF(管理者入力シート!$B$14=2,EQ6*管理者用人口入力シート!BD$7))</f>
        <v>3.3557416445948358</v>
      </c>
      <c r="ES9" s="9">
        <f>IF(管理者入力シート!$B$14=1,ER6*管理者用人口入力シート!BE$3,IF(管理者入力シート!$B$14=2,ER6*管理者用人口入力シート!BE$7))</f>
        <v>5.1792515466471565E-3</v>
      </c>
      <c r="ET9" s="9">
        <f>IF(管理者入力シート!$B$14=1,ES6*管理者用人口入力シート!BF$3,IF(管理者入力シート!$B$14=2,ES6*管理者用人口入力シート!BF$7))</f>
        <v>4.6370144181340356E-6</v>
      </c>
      <c r="EU9" s="9">
        <f t="shared" si="71"/>
        <v>206.12185330453616</v>
      </c>
      <c r="EV9" s="9">
        <f t="shared" si="41"/>
        <v>7.0719117759875303</v>
      </c>
      <c r="EW9" s="9">
        <f t="shared" si="42"/>
        <v>1.6710858070003294</v>
      </c>
      <c r="EX9" s="9">
        <f t="shared" si="10"/>
        <v>85.441659089048102</v>
      </c>
      <c r="EY9" s="9">
        <f t="shared" si="43"/>
        <v>58.287603345678164</v>
      </c>
      <c r="EZ9" s="13">
        <f t="shared" si="44"/>
        <v>0.41452013806033333</v>
      </c>
      <c r="FA9" s="13">
        <f t="shared" si="45"/>
        <v>0.28278225918898925</v>
      </c>
      <c r="FB9" s="9">
        <f t="shared" si="72"/>
        <v>43.514260386647337</v>
      </c>
    </row>
    <row r="10" spans="1:158" x14ac:dyDescent="0.15">
      <c r="A10" s="7" t="str">
        <f t="shared" si="11"/>
        <v>2015_2</v>
      </c>
      <c r="B10" s="29">
        <v>2015</v>
      </c>
      <c r="C10" s="4" t="s">
        <v>22</v>
      </c>
      <c r="D10" s="10">
        <v>3.7866599799398202</v>
      </c>
      <c r="E10" s="10">
        <v>5.8519859578736222</v>
      </c>
      <c r="F10" s="10">
        <v>8.409317953861585</v>
      </c>
      <c r="G10" s="10">
        <v>7.7619909729187571</v>
      </c>
      <c r="H10" s="10">
        <v>7.368660982948847</v>
      </c>
      <c r="I10" s="10">
        <v>3.7866599799398202</v>
      </c>
      <c r="J10" s="10">
        <v>10.57331995987964</v>
      </c>
      <c r="K10" s="10">
        <v>7.2946539618856585</v>
      </c>
      <c r="L10" s="10">
        <v>10.712652958876632</v>
      </c>
      <c r="M10" s="10">
        <v>11.433986960882649</v>
      </c>
      <c r="N10" s="10">
        <v>20.384648946840521</v>
      </c>
      <c r="O10" s="10">
        <v>28.679302908726182</v>
      </c>
      <c r="P10" s="10">
        <v>25.654633901705118</v>
      </c>
      <c r="Q10" s="10">
        <v>22.867973921765298</v>
      </c>
      <c r="R10" s="10">
        <v>16.753309929789371</v>
      </c>
      <c r="S10" s="10">
        <v>21.843304914744238</v>
      </c>
      <c r="T10" s="10">
        <v>27.539969909729191</v>
      </c>
      <c r="U10" s="10">
        <v>18.917311935807426</v>
      </c>
      <c r="V10" s="10">
        <v>6.4833249749247752</v>
      </c>
      <c r="W10" s="10">
        <v>0.69666499498495504</v>
      </c>
      <c r="X10" s="10">
        <v>0.27866599799398201</v>
      </c>
      <c r="Y10" s="10">
        <f t="shared" si="68"/>
        <v>267.07900200601807</v>
      </c>
      <c r="Z10" s="10">
        <f t="shared" si="12"/>
        <v>8.5567823470411248</v>
      </c>
      <c r="AA10" s="10">
        <f t="shared" si="13"/>
        <v>4.9161253761283854</v>
      </c>
      <c r="AB10" s="10">
        <f t="shared" si="0"/>
        <v>115.38052657973923</v>
      </c>
      <c r="AC10" s="10">
        <f t="shared" si="14"/>
        <v>75.75924272818456</v>
      </c>
      <c r="AD10" s="14">
        <f t="shared" si="15"/>
        <v>0.43200897754267992</v>
      </c>
      <c r="AE10" s="14">
        <f t="shared" si="16"/>
        <v>0.28365855106227139</v>
      </c>
      <c r="AF10" s="10">
        <f t="shared" si="17"/>
        <v>29.023294884653964</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1.7300865990428262</v>
      </c>
      <c r="BL10" s="10">
        <f>IF(管理者入力シート!$B$14=1,BK7*管理者用人口入力シート!AM$4,IF(管理者入力シート!$B$14=2,BK7*管理者用人口入力シート!AM$8))</f>
        <v>3.0755513531313512</v>
      </c>
      <c r="BM10" s="10">
        <f>IF(管理者入力シート!$B$14=1,BL7*管理者用人口入力シート!AN$4,IF(管理者入力シート!$B$14=2,BL7*管理者用人口入力シート!AN$8))</f>
        <v>3.5133993833105959</v>
      </c>
      <c r="BN10" s="10">
        <f>IF(管理者入力シート!$B$14=1,BM7*管理者用人口入力シート!AO$4,IF(管理者入力シート!$B$14=2,BM7*管理者用人口入力シート!AO$8))</f>
        <v>3.7847587616090212</v>
      </c>
      <c r="BO10" s="10">
        <f>IF(管理者入力シート!$B$14=1,BN7*管理者用人口入力シート!AP$4,IF(管理者入力シート!$B$14=2,BN7*管理者用人口入力シート!AP$8))</f>
        <v>1.6899963503257498</v>
      </c>
      <c r="BP10" s="10">
        <f>IF(管理者入力シート!$B$14=1,BO7*管理者用人口入力シート!AQ$4,IF(管理者入力シート!$B$14=2,BO7*管理者用人口入力シート!AQ$8))</f>
        <v>1.9523391271164869</v>
      </c>
      <c r="BQ10" s="10">
        <f>IF(管理者入力シート!$B$14=1,BP7*管理者用人口入力シート!AR$4,IF(管理者入力シート!$B$14=2,BP7*管理者用人口入力シート!AR$8))</f>
        <v>2.1726891931993837</v>
      </c>
      <c r="BR10" s="10">
        <f>IF(管理者入力シート!$B$14=1,BQ7*管理者用人口入力シート!AS$4,IF(管理者入力シート!$B$14=2,BQ7*管理者用人口入力シート!AS$8))</f>
        <v>2.4964823346153682</v>
      </c>
      <c r="BS10" s="10">
        <f>IF(管理者入力シート!$B$14=1,BR7*管理者用人口入力シート!AT$4,IF(管理者入力シート!$B$14=2,BR7*管理者用人口入力シート!AT$8))</f>
        <v>5.2955646308100874</v>
      </c>
      <c r="BT10" s="10">
        <f>IF(管理者入力シート!$B$14=1,BS7*管理者用人口入力シート!AU$4,IF(管理者入力シート!$B$14=2,BS7*管理者用人口入力シート!AU$8))</f>
        <v>3.0818533622961062</v>
      </c>
      <c r="BU10" s="10">
        <f>IF(管理者入力シート!$B$14=1,BT7*管理者用人口入力シート!AV$4,IF(管理者入力シート!$B$14=2,BT7*管理者用人口入力シート!AV$8))</f>
        <v>10.291352237340892</v>
      </c>
      <c r="BV10" s="10">
        <f>IF(管理者入力シート!$B$14=1,BU7*管理者用人口入力シート!AW$4,IF(管理者入力シート!$B$14=2,BU7*管理者用人口入力シート!AW$8))</f>
        <v>7.6463459293093559</v>
      </c>
      <c r="BW10" s="10">
        <f>IF(管理者入力シート!$B$14=1,BV7*管理者用人口入力シート!AX$4,IF(管理者入力シート!$B$14=2,BV7*管理者用人口入力シート!AX$8))</f>
        <v>11.367074939125601</v>
      </c>
      <c r="BX10" s="10">
        <f>IF(管理者入力シート!$B$14=1,BW7*管理者用人口入力シート!AY$4,IF(管理者入力シート!$B$14=2,BW7*管理者用人口入力シート!AY$8))</f>
        <v>11.633893854327068</v>
      </c>
      <c r="BY10" s="10">
        <f>IF(管理者入力シート!$B$14=1,BX7*管理者用人口入力シート!AZ$4,IF(管理者入力シート!$B$14=2,BX7*管理者用人口入力シート!AZ$8))</f>
        <v>18.135526736820793</v>
      </c>
      <c r="BZ10" s="10">
        <f>IF(管理者入力シート!$B$14=1,BY7*管理者用人口入力シート!BA$4,IF(管理者入力シート!$B$14=2,BY7*管理者用人口入力シート!BA$8))</f>
        <v>22.855416265876947</v>
      </c>
      <c r="CA10" s="10">
        <f>IF(管理者入力シート!$B$14=1,BZ7*管理者用人口入力シート!BB$4,IF(管理者入力シート!$B$14=2,BZ7*管理者用人口入力シート!BB$8))</f>
        <v>17.780817258976992</v>
      </c>
      <c r="CB10" s="10">
        <f>IF(管理者入力シート!$B$14=1,CA7*管理者用人口入力シート!BC$4,IF(管理者入力シート!$B$14=2,CA7*管理者用人口入力シート!BC$8))</f>
        <v>12.156592672923024</v>
      </c>
      <c r="CC10" s="10">
        <f>IF(管理者入力シート!$B$14=1,CB7*管理者用人口入力シート!BD$4,IF(管理者入力シート!$B$14=2,CB7*管理者用人口入力シート!BD$8))</f>
        <v>3.8252458194585688</v>
      </c>
      <c r="CD10" s="10">
        <f>IF(管理者入力シート!$B$14=1,CC7*管理者用人口入力シート!BE$4,IF(管理者入力シート!$B$14=2,CC7*管理者用人口入力シート!BE$8))</f>
        <v>4.8145541181595451E-3</v>
      </c>
      <c r="CE10" s="10">
        <f>IF(管理者入力シート!$B$14=1,CD7*管理者用人口入力シート!BF$4,IF(管理者入力シート!$B$14=2,CD7*管理者用人口入力シート!BF$8))</f>
        <v>7.9757042827932351E-6</v>
      </c>
      <c r="CF10" s="10">
        <f t="shared" si="2"/>
        <v>144.48980933943861</v>
      </c>
      <c r="CG10" s="10">
        <f t="shared" si="20"/>
        <v>3.9533704418651681</v>
      </c>
      <c r="CH10" s="10">
        <f t="shared" si="21"/>
        <v>2.1623115056460427</v>
      </c>
      <c r="CI10" s="10">
        <f t="shared" si="3"/>
        <v>86.392315138205831</v>
      </c>
      <c r="CJ10" s="10">
        <f t="shared" si="22"/>
        <v>56.622894547057975</v>
      </c>
      <c r="CK10" s="14">
        <f t="shared" si="23"/>
        <v>0.59791285996683075</v>
      </c>
      <c r="CL10" s="14">
        <f t="shared" si="24"/>
        <v>0.39188157840279403</v>
      </c>
      <c r="CM10" s="10">
        <f t="shared" si="25"/>
        <v>8.3115070052569884</v>
      </c>
      <c r="CO10" s="7" t="str">
        <f t="shared" si="26"/>
        <v>2035_2</v>
      </c>
      <c r="CP10" s="29">
        <f>CP9</f>
        <v>2035</v>
      </c>
      <c r="CQ10" s="4" t="s">
        <v>22</v>
      </c>
      <c r="CR10" s="10">
        <f>DT10*$AK$14+将来予測シート②!$H17</f>
        <v>3.8975826127529154</v>
      </c>
      <c r="CS10" s="10">
        <f>IF(管理者入力シート!$B$14=1,CR7*管理者用人口入力シート!AM$4,IF(管理者入力シート!$B$14=2,CR7*管理者用人口入力シート!AM$8))+将来予測シート②!$H18</f>
        <v>5.1103142550889862</v>
      </c>
      <c r="CT10" s="10">
        <f>IF(管理者入力シート!$B$14=1,CS7*管理者用人口入力シート!AN$4,IF(管理者入力シート!$B$14=2,CS7*管理者用人口入力シート!AN$8))+将来予測シート②!$H19</f>
        <v>5.6191148313075425</v>
      </c>
      <c r="CU10" s="10">
        <f>IF(管理者入力シート!$B$14=1,CT7*管理者用人口入力シート!AO$4,IF(管理者入力シート!$B$14=2,CT7*管理者用人口入力シート!AO$8))+将来予測シート②!$H20</f>
        <v>4.4671576962458666</v>
      </c>
      <c r="CV10" s="10">
        <f>IF(管理者入力シート!$B$14=1,CU7*管理者用人口入力シート!AP$4,IF(管理者入力シート!$B$14=2,CU7*管理者用人口入力シート!AP$8))+将来予測シート②!$H21</f>
        <v>2.0691023831686803</v>
      </c>
      <c r="CW10" s="10">
        <f>IF(管理者入力シート!$B$14=1,CV7*管理者用人口入力シート!AQ$4,IF(管理者入力シート!$B$14=2,CV7*管理者用人口入力シート!AQ$8))+将来予測シート②!$H22</f>
        <v>3.9523391271164869</v>
      </c>
      <c r="CX10" s="10">
        <f>IF(管理者入力シート!$B$14=1,CW7*管理者用人口入力シート!AR$4,IF(管理者入力シート!$B$14=2,CW7*管理者用人口入力シート!AR$8))+将来予測シート②!$H23</f>
        <v>3.8940082620717216</v>
      </c>
      <c r="CY10" s="10">
        <f>IF(管理者入力シート!$B$14=1,CX7*管理者用人口入力シート!AS$4,IF(管理者入力シート!$B$14=2,CX7*管理者用人口入力シート!AS$8))+将来予測シート②!$H24</f>
        <v>4.0048234657173367</v>
      </c>
      <c r="CZ10" s="10">
        <f>IF(管理者入力シート!$B$14=1,CY7*管理者用人口入力シート!AT$4,IF(管理者入力シート!$B$14=2,CY7*管理者用人口入力シート!AT$8))+将来予測シート②!$H25</f>
        <v>6.2955646308100874</v>
      </c>
      <c r="DA10" s="10">
        <f>IF(管理者入力シート!$B$14=1,CZ7*管理者用人口入力シート!AU$4,IF(管理者入力シート!$B$14=2,CZ7*管理者用人口入力シート!AU$8))+将来予測シート②!$H26</f>
        <v>4.101343470914208</v>
      </c>
      <c r="DB10" s="10">
        <f>IF(管理者入力シート!$B$14=1,DA7*管理者用人口入力シート!AV$4,IF(管理者入力シート!$B$14=2,DA7*管理者用人口入力シート!AV$8))+将来予測シート②!$H27</f>
        <v>11.34610796446581</v>
      </c>
      <c r="DC10" s="10">
        <f>IF(管理者入力シート!$B$14=1,DB7*管理者用人口入力シート!AW$4,IF(管理者入力シート!$B$14=2,DB7*管理者用人口入力シート!AW$8))+将来予測シート②!$H28</f>
        <v>7.6463459293093559</v>
      </c>
      <c r="DD10" s="10">
        <f>IF(管理者入力シート!$B$14=1,DC7*管理者用人口入力シート!AX$4,IF(管理者入力シート!$B$14=2,DC7*管理者用人口入力シート!AX$8))+将来予測シート②!$H29</f>
        <v>11.367074939125601</v>
      </c>
      <c r="DE10" s="10">
        <f>IF(管理者入力シート!$B$14=1,DD7*管理者用人口入力シート!AY$4,IF(管理者入力シート!$B$14=2,DD7*管理者用人口入力シート!AY$8))</f>
        <v>11.633893854327068</v>
      </c>
      <c r="DF10" s="10">
        <f>IF(管理者入力シート!$B$14=1,DE7*管理者用人口入力シート!AZ$4,IF(管理者入力シート!$B$14=2,DE7*管理者用人口入力シート!AZ$8))</f>
        <v>18.135526736820793</v>
      </c>
      <c r="DG10" s="10">
        <f>IF(管理者入力シート!$B$14=1,DF7*管理者用人口入力シート!BA$4,IF(管理者入力シート!$B$14=2,DF7*管理者用人口入力シート!BA$8))</f>
        <v>22.855416265876947</v>
      </c>
      <c r="DH10" s="10">
        <f>IF(管理者入力シート!$B$14=1,DG7*管理者用人口入力シート!BB$4,IF(管理者入力シート!$B$14=2,DG7*管理者用人口入力シート!BB$8))</f>
        <v>17.780817258976992</v>
      </c>
      <c r="DI10" s="10">
        <f>IF(管理者入力シート!$B$14=1,DH7*管理者用人口入力シート!BC$4,IF(管理者入力シート!$B$14=2,DH7*管理者用人口入力シート!BC$8))</f>
        <v>12.156592672923024</v>
      </c>
      <c r="DJ10" s="10">
        <f>IF(管理者入力シート!$B$14=1,DI7*管理者用人口入力シート!BD$4,IF(管理者入力シート!$B$14=2,DI7*管理者用人口入力シート!BD$8))</f>
        <v>3.8252458194585688</v>
      </c>
      <c r="DK10" s="10">
        <f>IF(管理者入力シート!$B$14=1,DJ7*管理者用人口入力シート!BE$4,IF(管理者入力シート!$B$14=2,DJ7*管理者用人口入力シート!BE$8))</f>
        <v>4.8145541181595451E-3</v>
      </c>
      <c r="DL10" s="10">
        <f>IF(管理者入力シート!$B$14=1,DK7*管理者用人口入力シート!BF$4,IF(管理者入力シート!$B$14=2,DK7*管理者用人口入力シート!BF$8))</f>
        <v>7.9757042827932351E-6</v>
      </c>
      <c r="DM10" s="10">
        <f t="shared" si="69"/>
        <v>160.1631947063004</v>
      </c>
      <c r="DN10" s="10">
        <f t="shared" si="34"/>
        <v>6.437657451837917</v>
      </c>
      <c r="DO10" s="10">
        <f t="shared" si="35"/>
        <v>3.1410774717721903</v>
      </c>
      <c r="DP10" s="10">
        <f t="shared" si="6"/>
        <v>86.392315138205831</v>
      </c>
      <c r="DQ10" s="10">
        <f t="shared" si="36"/>
        <v>56.622894547057975</v>
      </c>
      <c r="DR10" s="14">
        <f t="shared" si="37"/>
        <v>0.53940179762665152</v>
      </c>
      <c r="DS10" s="14">
        <f t="shared" si="38"/>
        <v>0.35353249946649934</v>
      </c>
      <c r="DT10" s="10">
        <f t="shared" si="70"/>
        <v>13.920273238074225</v>
      </c>
      <c r="DV10" s="62" t="s">
        <v>405</v>
      </c>
      <c r="DW10" s="209">
        <f>((SUM(BL12:BL13)*3/5+SUM(BM12:BM13)+SUM(BN12:BN13)*1/5)-(SUM(E12:E13)*3/5+SUM(F12:F13)+SUM(G12:G13)*1/5))/4</f>
        <v>-3.6190571131515288</v>
      </c>
      <c r="DX10" s="29">
        <f>DX9</f>
        <v>2035</v>
      </c>
      <c r="DY10" s="4" t="s">
        <v>22</v>
      </c>
      <c r="DZ10" s="10">
        <f>FB10*$AK$14</f>
        <v>9.7311093933762933</v>
      </c>
      <c r="EA10" s="10">
        <f>IF(管理者入力シート!$B$14=1,DZ7*管理者用人口入力シート!AM$4,IF(管理者入力シート!$B$14=2,DZ7*管理者用人口入力シート!AM$8))</f>
        <v>10.989498494493256</v>
      </c>
      <c r="EB10" s="10">
        <f>IF(管理者入力シート!$B$14=1,EA7*管理者用人口入力シート!AN$4,IF(管理者入力シート!$B$14=2,EA7*管理者用人口入力シート!AN$8))</f>
        <v>3.5133993833105959</v>
      </c>
      <c r="EC10" s="10">
        <f>IF(管理者入力シート!$B$14=1,EB7*管理者用人口入力シート!AO$4,IF(管理者入力シート!$B$14=2,EB7*管理者用人口入力シート!AO$8))</f>
        <v>3.7847587616090212</v>
      </c>
      <c r="ED10" s="10">
        <f>IF(管理者入力シート!$B$14=1,EC7*管理者用人口入力シート!AP$4,IF(管理者入力シート!$B$14=2,EC7*管理者用人口入力シート!AP$8))</f>
        <v>1.6899963503257498</v>
      </c>
      <c r="EE10" s="10">
        <f>IF(管理者入力シート!$B$14=1,ED7*管理者用人口入力シート!AQ$4,IF(管理者入力シート!$B$14=2,ED7*管理者用人口入力シート!AQ$8))+DX1</f>
        <v>8.9523391271164865</v>
      </c>
      <c r="EF10" s="10">
        <f>IF(管理者入力シート!$B$14=1,EE7*管理者用人口入力シート!AR$4,IF(管理者入力シート!$B$14=2,EE7*管理者用人口入力シート!AR$8))+DX1</f>
        <v>15.197305934252567</v>
      </c>
      <c r="EG10" s="10">
        <f>IF(管理者入力シート!$B$14=1,EF7*管理者用人口入力シート!AS$4,IF(管理者入力シート!$B$14=2,EF7*管理者用人口入力シート!AS$8))+DX1</f>
        <v>20.909569833982879</v>
      </c>
      <c r="EH10" s="10">
        <f>IF(管理者入力シート!$B$14=1,EG7*管理者用人口入力シート!AT$4,IF(管理者入力シート!$B$14=2,EG7*管理者用人口入力シート!AT$8))</f>
        <v>18.30295751565648</v>
      </c>
      <c r="EI10" s="10">
        <f>IF(管理者入力シート!$B$14=1,EH7*管理者用人口入力シート!AU$4,IF(管理者入力シート!$B$14=2,EH7*管理者用人口入力シート!AU$8))</f>
        <v>10.149548742097684</v>
      </c>
      <c r="EJ10" s="10">
        <f>IF(管理者入力シート!$B$14=1,EI7*管理者用人口入力シート!AV$4,IF(管理者入力シート!$B$14=2,EI7*管理者用人口入力シート!AV$8))</f>
        <v>10.291352237340892</v>
      </c>
      <c r="EK10" s="10">
        <f>IF(管理者入力シート!$B$14=1,EJ7*管理者用人口入力シート!AW$4,IF(管理者入力シート!$B$14=2,EJ7*管理者用人口入力シート!AW$8))</f>
        <v>7.6463459293093559</v>
      </c>
      <c r="EL10" s="10">
        <f>IF(管理者入力シート!$B$14=1,EK7*管理者用人口入力シート!AX$4,IF(管理者入力シート!$B$14=2,EK7*管理者用人口入力シート!AX$8))</f>
        <v>11.367074939125601</v>
      </c>
      <c r="EM10" s="10">
        <f>IF(管理者入力シート!$B$14=1,EL7*管理者用人口入力シート!AY$4,IF(管理者入力シート!$B$14=2,EL7*管理者用人口入力シート!AY$8))</f>
        <v>11.633893854327068</v>
      </c>
      <c r="EN10" s="10">
        <f>IF(管理者入力シート!$B$14=1,EM7*管理者用人口入力シート!AZ$4,IF(管理者入力シート!$B$14=2,EM7*管理者用人口入力シート!AZ$8))</f>
        <v>18.135526736820793</v>
      </c>
      <c r="EO10" s="10">
        <f>IF(管理者入力シート!$B$14=1,EN7*管理者用人口入力シート!BA$4,IF(管理者入力シート!$B$14=2,EN7*管理者用人口入力シート!BA$8))</f>
        <v>22.855416265876947</v>
      </c>
      <c r="EP10" s="10">
        <f>IF(管理者入力シート!$B$14=1,EO7*管理者用人口入力シート!BB$4,IF(管理者入力シート!$B$14=2,EO7*管理者用人口入力シート!BB$8))</f>
        <v>17.780817258976992</v>
      </c>
      <c r="EQ10" s="10">
        <f>IF(管理者入力シート!$B$14=1,EP7*管理者用人口入力シート!BC$4,IF(管理者入力シート!$B$14=2,EP7*管理者用人口入力シート!BC$8))</f>
        <v>12.156592672923024</v>
      </c>
      <c r="ER10" s="10">
        <f>IF(管理者入力シート!$B$14=1,EQ7*管理者用人口入力シート!BD$4,IF(管理者入力シート!$B$14=2,EQ7*管理者用人口入力シート!BD$8))</f>
        <v>3.8252458194585688</v>
      </c>
      <c r="ES10" s="10">
        <f>IF(管理者入力シート!$B$14=1,ER7*管理者用人口入力シート!BE$4,IF(管理者入力シート!$B$14=2,ER7*管理者用人口入力シート!BE$8))</f>
        <v>4.8145541181595451E-3</v>
      </c>
      <c r="ET10" s="10">
        <f>IF(管理者入力シート!$B$14=1,ES7*管理者用人口入力シート!BF$4,IF(管理者入力シート!$B$14=2,ES7*管理者用人口入力シート!BF$8))</f>
        <v>7.9757042827932351E-6</v>
      </c>
      <c r="EU10" s="10">
        <f t="shared" si="71"/>
        <v>218.91757178020265</v>
      </c>
      <c r="EV10" s="10">
        <f t="shared" si="41"/>
        <v>8.7017387266823114</v>
      </c>
      <c r="EW10" s="10">
        <f t="shared" si="42"/>
        <v>2.1623115056460427</v>
      </c>
      <c r="EX10" s="10">
        <f t="shared" si="10"/>
        <v>86.392315138205831</v>
      </c>
      <c r="EY10" s="10">
        <f t="shared" si="43"/>
        <v>56.622894547057975</v>
      </c>
      <c r="EZ10" s="14">
        <f t="shared" si="44"/>
        <v>0.39463399139537936</v>
      </c>
      <c r="FA10" s="14">
        <f t="shared" si="45"/>
        <v>0.25864938153027034</v>
      </c>
      <c r="FB10" s="10">
        <f t="shared" si="72"/>
        <v>46.749211245677685</v>
      </c>
    </row>
    <row r="11" spans="1:158" x14ac:dyDescent="0.15">
      <c r="A11" s="7" t="str">
        <f t="shared" si="11"/>
        <v>2015_3</v>
      </c>
      <c r="B11" s="30">
        <v>2015</v>
      </c>
      <c r="C11" s="5" t="s">
        <v>23</v>
      </c>
      <c r="D11" s="11">
        <v>8.3846489468405245</v>
      </c>
      <c r="E11" s="11">
        <v>15.097301905717156</v>
      </c>
      <c r="F11" s="11">
        <v>18.21196589769308</v>
      </c>
      <c r="G11" s="11">
        <v>14.384648946840525</v>
      </c>
      <c r="H11" s="11">
        <v>15.597988966900704</v>
      </c>
      <c r="I11" s="11">
        <v>13.548650952858576</v>
      </c>
      <c r="J11" s="11">
        <v>19.539969909729191</v>
      </c>
      <c r="K11" s="11">
        <v>16.261303911735208</v>
      </c>
      <c r="L11" s="11">
        <v>18.703971915747246</v>
      </c>
      <c r="M11" s="11">
        <v>22.146639919759281</v>
      </c>
      <c r="N11" s="11">
        <v>36.162627883650956</v>
      </c>
      <c r="O11" s="11">
        <v>55.801273821464399</v>
      </c>
      <c r="P11" s="11">
        <v>57.866599799398202</v>
      </c>
      <c r="Q11" s="11">
        <v>54.776604814443331</v>
      </c>
      <c r="R11" s="11">
        <v>34.277291875626887</v>
      </c>
      <c r="S11" s="11">
        <v>43.875280842527587</v>
      </c>
      <c r="T11" s="11">
        <v>44.571945837512544</v>
      </c>
      <c r="U11" s="11">
        <v>37.490631895687066</v>
      </c>
      <c r="V11" s="11">
        <v>7.4586559679037121</v>
      </c>
      <c r="W11" s="11">
        <v>1.2539969909729192</v>
      </c>
      <c r="X11" s="11">
        <v>0.41799899699097298</v>
      </c>
      <c r="Y11" s="11">
        <f t="shared" si="68"/>
        <v>535.83000000000015</v>
      </c>
      <c r="Z11" s="11">
        <f t="shared" si="12"/>
        <v>19.985560682046142</v>
      </c>
      <c r="AA11" s="11">
        <f t="shared" si="13"/>
        <v>10.161716148445336</v>
      </c>
      <c r="AB11" s="11">
        <f t="shared" si="0"/>
        <v>224.12240722166504</v>
      </c>
      <c r="AC11" s="11">
        <f t="shared" si="14"/>
        <v>135.06851053159482</v>
      </c>
      <c r="AD11" s="15">
        <f t="shared" si="15"/>
        <v>0.41827148017405702</v>
      </c>
      <c r="AE11" s="15">
        <f t="shared" si="16"/>
        <v>0.25207343846293562</v>
      </c>
      <c r="AF11" s="11">
        <f t="shared" si="17"/>
        <v>64.947913741223687</v>
      </c>
      <c r="BH11" s="7" t="str">
        <f t="shared" si="19"/>
        <v>2035_3</v>
      </c>
      <c r="BI11" s="30">
        <f>BI10</f>
        <v>2035</v>
      </c>
      <c r="BJ11" s="5" t="s">
        <v>23</v>
      </c>
      <c r="BK11" s="16">
        <f>BK9+BK10</f>
        <v>3.0757095094094691</v>
      </c>
      <c r="BL11" s="16">
        <f t="shared" ref="BL11" si="117">BL9+BL10</f>
        <v>5.5626809981296974</v>
      </c>
      <c r="BM11" s="16">
        <f t="shared" ref="BM11" si="118">BM9+BM10</f>
        <v>6.4129571774087424</v>
      </c>
      <c r="BN11" s="16">
        <f t="shared" ref="BN11" si="119">BN9+BN10</f>
        <v>6.3410722084143742</v>
      </c>
      <c r="BO11" s="16">
        <f t="shared" ref="BO11" si="120">BO9+BO10</f>
        <v>2.9511503568982196</v>
      </c>
      <c r="BP11" s="16">
        <f t="shared" ref="BP11" si="121">BP9+BP10</f>
        <v>3.7106674425951454</v>
      </c>
      <c r="BQ11" s="16">
        <f t="shared" ref="BQ11" si="122">BQ9+BQ10</f>
        <v>4.0748868394811959</v>
      </c>
      <c r="BR11" s="16">
        <f t="shared" ref="BR11" si="123">BR9+BR10</f>
        <v>3.7184236674096347</v>
      </c>
      <c r="BS11" s="16">
        <f t="shared" ref="BS11" si="124">BS9+BS10</f>
        <v>9.9674816543230094</v>
      </c>
      <c r="BT11" s="16">
        <f t="shared" ref="BT11" si="125">BT9+BT10</f>
        <v>9.3190504009246951</v>
      </c>
      <c r="BU11" s="16">
        <f t="shared" ref="BU11" si="126">BU9+BU10</f>
        <v>16.520122148965275</v>
      </c>
      <c r="BV11" s="16">
        <f t="shared" ref="BV11" si="127">BV9+BV10</f>
        <v>18.10314354798308</v>
      </c>
      <c r="BW11" s="16">
        <f t="shared" ref="BW11" si="128">BW9+BW10</f>
        <v>20.91391972246042</v>
      </c>
      <c r="BX11" s="16">
        <f t="shared" ref="BX11" si="129">BX9+BX10</f>
        <v>24.119181489773904</v>
      </c>
      <c r="BY11" s="16">
        <f t="shared" ref="BY11" si="130">BY9+BY10</f>
        <v>32.804294844743914</v>
      </c>
      <c r="BZ11" s="16">
        <f t="shared" ref="BZ11" si="131">BZ9+BZ10</f>
        <v>44.192572500350501</v>
      </c>
      <c r="CA11" s="16">
        <f t="shared" ref="CA11" si="132">CA9+CA10</f>
        <v>38.152348565796068</v>
      </c>
      <c r="CB11" s="16">
        <f t="shared" ref="CB11" si="133">CB9+CB10</f>
        <v>25.37458294415265</v>
      </c>
      <c r="CC11" s="16">
        <f t="shared" ref="CC11" si="134">CC9+CC10</f>
        <v>7.1809874640534046</v>
      </c>
      <c r="CD11" s="16">
        <f t="shared" ref="CD11" si="135">CD9+CD10</f>
        <v>9.9938056648067007E-3</v>
      </c>
      <c r="CE11" s="16">
        <f t="shared" ref="CE11" si="136">CE9+CE10</f>
        <v>1.261271870092727E-5</v>
      </c>
      <c r="CF11" s="11">
        <f t="shared" si="2"/>
        <v>282.50523990165698</v>
      </c>
      <c r="CG11" s="11">
        <f t="shared" si="20"/>
        <v>7.1853829053230642</v>
      </c>
      <c r="CH11" s="11">
        <f t="shared" si="21"/>
        <v>3.8333973126463716</v>
      </c>
      <c r="CI11" s="11">
        <f t="shared" si="3"/>
        <v>171.83397422725395</v>
      </c>
      <c r="CJ11" s="11">
        <f t="shared" si="22"/>
        <v>114.91049789273613</v>
      </c>
      <c r="CK11" s="15">
        <f t="shared" si="23"/>
        <v>0.60825057364270885</v>
      </c>
      <c r="CL11" s="15">
        <f t="shared" si="24"/>
        <v>0.40675527977016523</v>
      </c>
      <c r="CM11" s="11">
        <f t="shared" si="25"/>
        <v>14.455128306384196</v>
      </c>
      <c r="CO11" s="7" t="str">
        <f t="shared" si="26"/>
        <v>2035_3</v>
      </c>
      <c r="CP11" s="30">
        <f>CP10</f>
        <v>2035</v>
      </c>
      <c r="CQ11" s="5" t="s">
        <v>23</v>
      </c>
      <c r="CR11" s="16">
        <f>CR9+CR10</f>
        <v>7.1512579782274059</v>
      </c>
      <c r="CS11" s="16">
        <f t="shared" ref="CS11" si="137">CS9+CS10</f>
        <v>9.5078328427781358</v>
      </c>
      <c r="CT11" s="16">
        <f t="shared" ref="CT11" si="138">CT9+CT10</f>
        <v>10.691926765570374</v>
      </c>
      <c r="CU11" s="16">
        <f t="shared" ref="CU11" si="139">CU9+CU10</f>
        <v>7.5819541879467405</v>
      </c>
      <c r="CV11" s="16">
        <f t="shared" ref="CV11" si="140">CV9+CV10</f>
        <v>3.5660800710999179</v>
      </c>
      <c r="CW11" s="16">
        <f t="shared" ref="CW11" si="141">CW9+CW10</f>
        <v>7.7106674425951454</v>
      </c>
      <c r="CX11" s="16">
        <f t="shared" ref="CX11" si="142">CX9+CX10</f>
        <v>7.4841335572409751</v>
      </c>
      <c r="CY11" s="16">
        <f t="shared" ref="CY11" si="143">CY9+CY10</f>
        <v>6.5949823145512472</v>
      </c>
      <c r="CZ11" s="16">
        <f t="shared" ref="CZ11" si="144">CZ9+CZ10</f>
        <v>10.967481654323009</v>
      </c>
      <c r="DA11" s="16">
        <f t="shared" ref="DA11" si="145">DA9+DA10</f>
        <v>10.338540509542796</v>
      </c>
      <c r="DB11" s="16">
        <f t="shared" ref="DB11" si="146">DB9+DB10</f>
        <v>17.574877876090195</v>
      </c>
      <c r="DC11" s="16">
        <f t="shared" ref="DC11" si="147">DC9+DC10</f>
        <v>18.10314354798308</v>
      </c>
      <c r="DD11" s="16">
        <f t="shared" ref="DD11" si="148">DD9+DD10</f>
        <v>20.91391972246042</v>
      </c>
      <c r="DE11" s="16">
        <f t="shared" ref="DE11" si="149">DE9+DE10</f>
        <v>24.119181489773904</v>
      </c>
      <c r="DF11" s="16">
        <f t="shared" ref="DF11" si="150">DF9+DF10</f>
        <v>32.804294844743914</v>
      </c>
      <c r="DG11" s="16">
        <f t="shared" ref="DG11" si="151">DG9+DG10</f>
        <v>44.192572500350501</v>
      </c>
      <c r="DH11" s="16">
        <f t="shared" ref="DH11" si="152">DH9+DH10</f>
        <v>38.152348565796068</v>
      </c>
      <c r="DI11" s="16">
        <f t="shared" ref="DI11" si="153">DI9+DI10</f>
        <v>25.37458294415265</v>
      </c>
      <c r="DJ11" s="16">
        <f t="shared" ref="DJ11" si="154">DJ9+DJ10</f>
        <v>7.1809874640534046</v>
      </c>
      <c r="DK11" s="16">
        <f t="shared" ref="DK11" si="155">DK9+DK10</f>
        <v>9.9938056648067007E-3</v>
      </c>
      <c r="DL11" s="16">
        <f t="shared" ref="DL11" si="156">DL9+DL10</f>
        <v>1.261271870092727E-5</v>
      </c>
      <c r="DM11" s="11">
        <f t="shared" si="69"/>
        <v>310.02077269766335</v>
      </c>
      <c r="DN11" s="11">
        <f t="shared" si="34"/>
        <v>12.119855765009106</v>
      </c>
      <c r="DO11" s="11">
        <f t="shared" si="35"/>
        <v>5.7931615438174973</v>
      </c>
      <c r="DP11" s="11">
        <f t="shared" si="6"/>
        <v>171.83397422725395</v>
      </c>
      <c r="DQ11" s="11">
        <f t="shared" si="36"/>
        <v>114.91049789273613</v>
      </c>
      <c r="DR11" s="15">
        <f t="shared" si="37"/>
        <v>0.55426600202312537</v>
      </c>
      <c r="DS11" s="15">
        <f t="shared" si="38"/>
        <v>0.37065418840433145</v>
      </c>
      <c r="DT11" s="11">
        <f t="shared" si="70"/>
        <v>25.355863385487282</v>
      </c>
      <c r="DW11" s="210"/>
      <c r="DX11" s="30">
        <f>DX10</f>
        <v>2035</v>
      </c>
      <c r="DY11" s="5" t="s">
        <v>23</v>
      </c>
      <c r="DZ11" s="16">
        <f>DZ9+DZ10</f>
        <v>17.299750032668967</v>
      </c>
      <c r="EA11" s="16">
        <f t="shared" ref="EA11" si="157">EA9+EA10</f>
        <v>19.876460327040995</v>
      </c>
      <c r="EB11" s="16">
        <f t="shared" ref="EB11" si="158">EB9+EB10</f>
        <v>6.4129571774087424</v>
      </c>
      <c r="EC11" s="16">
        <f t="shared" ref="EC11" si="159">EC9+EC10</f>
        <v>6.3410722084143742</v>
      </c>
      <c r="ED11" s="16">
        <f t="shared" ref="ED11" si="160">ED9+ED10</f>
        <v>2.9511503568982196</v>
      </c>
      <c r="EE11" s="16">
        <f t="shared" ref="EE11" si="161">EE9+EE10</f>
        <v>17.710667442595145</v>
      </c>
      <c r="EF11" s="16">
        <f t="shared" ref="EF11" si="162">EF9+EF10</f>
        <v>30.007250351640423</v>
      </c>
      <c r="EG11" s="16">
        <f t="shared" ref="EG11" si="163">EG9+EG10</f>
        <v>39.594403481191229</v>
      </c>
      <c r="EH11" s="16">
        <f t="shared" ref="EH11" si="164">EH9+EH10</f>
        <v>34.503147384673774</v>
      </c>
      <c r="EI11" s="16">
        <f t="shared" ref="EI11" si="165">EI9+EI10</f>
        <v>22.971406675544273</v>
      </c>
      <c r="EJ11" s="16">
        <f t="shared" ref="EJ11" si="166">EJ9+EJ10</f>
        <v>16.520122148965275</v>
      </c>
      <c r="EK11" s="16">
        <f t="shared" ref="EK11" si="167">EK9+EK10</f>
        <v>18.10314354798308</v>
      </c>
      <c r="EL11" s="16">
        <f t="shared" ref="EL11" si="168">EL9+EL10</f>
        <v>20.91391972246042</v>
      </c>
      <c r="EM11" s="16">
        <f t="shared" ref="EM11" si="169">EM9+EM10</f>
        <v>24.119181489773904</v>
      </c>
      <c r="EN11" s="16">
        <f t="shared" ref="EN11" si="170">EN9+EN10</f>
        <v>32.804294844743914</v>
      </c>
      <c r="EO11" s="16">
        <f t="shared" ref="EO11" si="171">EO9+EO10</f>
        <v>44.192572500350501</v>
      </c>
      <c r="EP11" s="16">
        <f t="shared" ref="EP11" si="172">EP9+EP10</f>
        <v>38.152348565796068</v>
      </c>
      <c r="EQ11" s="16">
        <f t="shared" ref="EQ11" si="173">EQ9+EQ10</f>
        <v>25.37458294415265</v>
      </c>
      <c r="ER11" s="16">
        <f t="shared" ref="ER11" si="174">ER9+ER10</f>
        <v>7.1809874640534046</v>
      </c>
      <c r="ES11" s="16">
        <f t="shared" ref="ES11" si="175">ES9+ES10</f>
        <v>9.9938056648067007E-3</v>
      </c>
      <c r="ET11" s="16">
        <f t="shared" ref="ET11" si="176">ET9+ET10</f>
        <v>1.261271870092727E-5</v>
      </c>
      <c r="EU11" s="11">
        <f t="shared" si="71"/>
        <v>425.03942508473892</v>
      </c>
      <c r="EV11" s="11">
        <f t="shared" si="41"/>
        <v>15.773650502669842</v>
      </c>
      <c r="EW11" s="11">
        <f t="shared" si="42"/>
        <v>3.8333973126463716</v>
      </c>
      <c r="EX11" s="11">
        <f t="shared" si="10"/>
        <v>171.83397422725395</v>
      </c>
      <c r="EY11" s="11">
        <f t="shared" si="43"/>
        <v>114.91049789273613</v>
      </c>
      <c r="EZ11" s="15">
        <f t="shared" si="44"/>
        <v>0.40427773069050216</v>
      </c>
      <c r="FA11" s="15">
        <f t="shared" si="45"/>
        <v>0.27035256287067194</v>
      </c>
      <c r="FB11" s="11">
        <f t="shared" si="72"/>
        <v>90.263471632325007</v>
      </c>
    </row>
    <row r="12" spans="1:158" x14ac:dyDescent="0.15">
      <c r="A12" s="7" t="str">
        <f t="shared" si="11"/>
        <v>2020_1</v>
      </c>
      <c r="B12" s="28">
        <v>2020</v>
      </c>
      <c r="C12" s="3" t="s">
        <v>21</v>
      </c>
      <c r="D12" s="9">
        <v>3.901323971915748</v>
      </c>
      <c r="E12" s="9">
        <v>5.433986960882649</v>
      </c>
      <c r="F12" s="9">
        <v>8.8273169508525591</v>
      </c>
      <c r="G12" s="9">
        <v>6.3193229689067207</v>
      </c>
      <c r="H12" s="9">
        <v>2.1146639919759282</v>
      </c>
      <c r="I12" s="9">
        <v>7.5079939819458374</v>
      </c>
      <c r="J12" s="9">
        <v>8.1799899699097303</v>
      </c>
      <c r="K12" s="9">
        <v>6.5486509528585772</v>
      </c>
      <c r="L12" s="9">
        <v>9.6633149448345055</v>
      </c>
      <c r="M12" s="9">
        <v>8.9913189568706144</v>
      </c>
      <c r="N12" s="9">
        <v>12.130651955867604</v>
      </c>
      <c r="O12" s="9">
        <v>16.359979939819461</v>
      </c>
      <c r="P12" s="9">
        <v>26.81863590772317</v>
      </c>
      <c r="Q12" s="9">
        <v>31.351298896690075</v>
      </c>
      <c r="R12" s="9">
        <v>28.236634904714144</v>
      </c>
      <c r="S12" s="9">
        <v>15.105982948846542</v>
      </c>
      <c r="T12" s="9">
        <v>18.663314944834504</v>
      </c>
      <c r="U12" s="9">
        <v>10.851985957873623</v>
      </c>
      <c r="V12" s="9">
        <v>12.368660982948846</v>
      </c>
      <c r="W12" s="9">
        <v>0.41799899699097298</v>
      </c>
      <c r="X12" s="9">
        <v>0.27866599799398201</v>
      </c>
      <c r="Y12" s="9">
        <f t="shared" ref="Y12:Y14" si="177">SUM(D12:X12)</f>
        <v>240.07169508525584</v>
      </c>
      <c r="Z12" s="9">
        <f>E12*3/5+F12*3/5</f>
        <v>8.5567823470411248</v>
      </c>
      <c r="AA12" s="9">
        <f>F12*2/5+G12*1/5</f>
        <v>4.7947913741223678</v>
      </c>
      <c r="AB12" s="9">
        <f t="shared" ref="AB12:AB14" si="178">SUM(Q12:X12)</f>
        <v>117.27454363089268</v>
      </c>
      <c r="AC12" s="9">
        <f>SUM(S12:X12)</f>
        <v>57.686609829488468</v>
      </c>
      <c r="AD12" s="13">
        <f>AB12/Y12</f>
        <v>0.48849800302049506</v>
      </c>
      <c r="AE12" s="13">
        <f>AC12/Y12</f>
        <v>0.24028909284371244</v>
      </c>
      <c r="AF12" s="9">
        <f>SUM(H12:K12)</f>
        <v>24.351298896690071</v>
      </c>
      <c r="AK12" s="61">
        <f>管理者入力シート!B5</f>
        <v>2020</v>
      </c>
      <c r="AL12" s="62"/>
      <c r="BH12" s="7" t="str">
        <f t="shared" si="19"/>
        <v>2040_1</v>
      </c>
      <c r="BI12" s="28">
        <f>管理者入力シート!B11</f>
        <v>2040</v>
      </c>
      <c r="BJ12" s="3" t="s">
        <v>21</v>
      </c>
      <c r="BK12" s="9">
        <f>CM13*$AK$13</f>
        <v>1.1673358711013</v>
      </c>
      <c r="BL12" s="9">
        <f>IF(管理者入力シート!$B$14=1,BK9*管理者用人口入力シート!AM$3,IF(管理者入力シート!$B$14=2,BK9*管理者用人口入力シート!AM$7))</f>
        <v>1.6041809359831503</v>
      </c>
      <c r="BM12" s="9">
        <f>IF(管理者入力シート!$B$14=1,BL9*管理者用人口入力シート!AN$3,IF(管理者入力シート!$B$14=2,BL9*管理者用人口入力シート!AN$7))</f>
        <v>2.4477132642695847</v>
      </c>
      <c r="BN12" s="9">
        <f>IF(管理者入力シート!$B$14=1,BM9*管理者用人口入力シート!AO$3,IF(管理者入力シート!$B$14=2,BM9*管理者用人口入力シート!AO$7))</f>
        <v>1.6193538656984741</v>
      </c>
      <c r="BO12" s="9">
        <f>IF(管理者入力シート!$B$14=1,BN9*管理者用人口入力シート!AP$3,IF(管理者入力シート!$B$14=2,BN9*管理者用人口入力シート!AP$7))</f>
        <v>1.0794226489818235</v>
      </c>
      <c r="BP12" s="9">
        <f>IF(管理者入力シート!$B$14=1,BO9*管理者用人口入力シート!AQ$3,IF(管理者入力シート!$B$14=2,BO9*管理者用人口入力シート!AQ$7))</f>
        <v>1.0652510197378477</v>
      </c>
      <c r="BQ12" s="9">
        <f>IF(管理者入力シート!$B$14=1,BP9*管理者用人口入力シート!AR$3,IF(管理者入力シート!$B$14=2,BP9*管理者用人口入力シート!AR$7))</f>
        <v>1.4839654897590528</v>
      </c>
      <c r="BR12" s="9">
        <f>IF(管理者入力シート!$B$14=1,BQ9*管理者用人口入力シート!AS$3,IF(管理者入力シート!$B$14=2,BQ9*管理者用人口入力シート!AS$7))</f>
        <v>1.5419026640908544</v>
      </c>
      <c r="BS12" s="9">
        <f>IF(管理者入力シート!$B$14=1,BR9*管理者用人口入力シート!AT$3,IF(管理者入力シート!$B$14=2,BR9*管理者用人口入力シート!AT$7))</f>
        <v>1.1114665831096278</v>
      </c>
      <c r="BT12" s="9">
        <f>IF(管理者入力シート!$B$14=1,BS9*管理者用人口入力シート!AU$3,IF(管理者入力シート!$B$14=2,BS9*管理者用人口入力シート!AU$7))</f>
        <v>4.8315273264198231</v>
      </c>
      <c r="BU12" s="9">
        <f>IF(管理者入力シート!$B$14=1,BT9*管理者用人口入力シート!AV$3,IF(管理者入力シート!$B$14=2,BT9*管理者用人口入力シート!AV$7))</f>
        <v>6.3067343128185209</v>
      </c>
      <c r="BV12" s="9">
        <f>IF(管理者入力シート!$B$14=1,BU9*管理者用人口入力シート!AW$3,IF(管理者入力シート!$B$14=2,BU9*管理者用人口入力シート!AW$7))</f>
        <v>6.4457056044960854</v>
      </c>
      <c r="BW12" s="9">
        <f>IF(管理者入力シート!$B$14=1,BV9*管理者用人口入力シート!AX$3,IF(管理者入力シート!$B$14=2,BV9*管理者用人口入力シート!AX$7))</f>
        <v>10.610892415805445</v>
      </c>
      <c r="BX12" s="9">
        <f>IF(管理者入力シート!$B$14=1,BW9*管理者用人口入力シート!AY$3,IF(管理者入力シート!$B$14=2,BW9*管理者用人口入力シート!AY$7))</f>
        <v>9.3573502423109787</v>
      </c>
      <c r="BY12" s="9">
        <f>IF(管理者入力シート!$B$14=1,BX9*管理者用人口入力シート!AZ$3,IF(管理者入力シート!$B$14=2,BX9*管理者用人口入力シート!AZ$7))</f>
        <v>11.25545863474885</v>
      </c>
      <c r="BZ12" s="9">
        <f>IF(管理者入力シート!$B$14=1,BY9*管理者用人口入力シート!BA$3,IF(管理者入力シート!$B$14=2,BY9*管理者用人口入力シート!BA$7))</f>
        <v>13.2079625304301</v>
      </c>
      <c r="CA12" s="9">
        <f>IF(管理者入力シート!$B$14=1,BZ9*管理者用人口入力シート!BB$3,IF(管理者入力シート!$B$14=2,BZ9*管理者用人口入力シート!BB$7))</f>
        <v>17.080392448255836</v>
      </c>
      <c r="CB12" s="9">
        <f>IF(管理者入力シート!$B$14=1,CA9*管理者用人口入力シート!BC$3,IF(管理者入力シート!$B$14=2,CA9*管理者用人口入力シート!BC$7))</f>
        <v>13.2303907843079</v>
      </c>
      <c r="CC12" s="9">
        <f>IF(管理者入力シート!$B$14=1,CB9*管理者用人口入力シート!BD$3,IF(管理者入力シート!$B$14=2,CB9*管理者用人口入力シート!BD$7))</f>
        <v>5.6479995186481933</v>
      </c>
      <c r="CD12" s="9">
        <f>IF(管理者入力シート!$B$14=1,CC9*管理者用人口入力シート!BE$3,IF(管理者入力シート!$B$14=2,CC9*管理者用人口入力シート!BE$7))</f>
        <v>3.355741644594836E-3</v>
      </c>
      <c r="CE12" s="9">
        <f>IF(管理者入力シート!$B$14=1,CD9*管理者用人口入力シート!BF$3,IF(管理者入力シート!$B$14=2,CD9*管理者用人口入力シート!BF$7))</f>
        <v>5.1792515466471568E-6</v>
      </c>
      <c r="CF12" s="9">
        <f t="shared" si="2"/>
        <v>111.09836708186958</v>
      </c>
      <c r="CG12" s="9">
        <f t="shared" si="20"/>
        <v>2.4311365201516413</v>
      </c>
      <c r="CH12" s="9">
        <f t="shared" si="21"/>
        <v>1.3029560788475287</v>
      </c>
      <c r="CI12" s="9">
        <f t="shared" si="3"/>
        <v>69.782915079597998</v>
      </c>
      <c r="CJ12" s="9">
        <f t="shared" si="22"/>
        <v>49.170106202538172</v>
      </c>
      <c r="CK12" s="13">
        <f t="shared" si="23"/>
        <v>0.62811827853576119</v>
      </c>
      <c r="CL12" s="13">
        <f t="shared" si="24"/>
        <v>0.44258171829208065</v>
      </c>
      <c r="CM12" s="9">
        <f t="shared" si="25"/>
        <v>5.1705418225695787</v>
      </c>
      <c r="CO12" s="7" t="str">
        <f t="shared" si="26"/>
        <v>2040_1</v>
      </c>
      <c r="CP12" s="28">
        <f>管理者入力シート!B11</f>
        <v>2040</v>
      </c>
      <c r="CQ12" s="3" t="s">
        <v>21</v>
      </c>
      <c r="CR12" s="9">
        <f>DT13*$AK$13+将来予測シート②!$G17</f>
        <v>3.1307183700022145</v>
      </c>
      <c r="CS12" s="9">
        <f>IF(管理者入力シート!$B$14=1,CR9*管理者用人口入力シート!AM$3,IF(管理者入力シート!$B$14=2,CR9*管理者用人口入力シート!AM$7))+将来予測シート②!$G18</f>
        <v>3.8788608256900372</v>
      </c>
      <c r="CT12" s="9">
        <f>IF(管理者入力シート!$B$14=1,CS9*管理者用人口入力シート!AN$3,IF(管理者入力シート!$B$14=2,CS9*管理者用人口入力シート!AN$7))+将来予測シート②!$G19</f>
        <v>5.3278260940699544</v>
      </c>
      <c r="CU12" s="9">
        <f>IF(管理者入力シート!$B$14=1,CT9*管理者用人口入力シート!AO$3,IF(管理者入力シート!$B$14=2,CT9*管理者用人口入力シート!AO$7))+将来予測シート②!$G20</f>
        <v>2.8330794552294449</v>
      </c>
      <c r="CV12" s="9">
        <f>IF(管理者入力シート!$B$14=1,CU9*管理者用人口入力シート!AP$3,IF(管理者入力シート!$B$14=2,CU9*管理者用人口入力シート!AP$7))+将来予測シート②!$G21</f>
        <v>1.315246330340591</v>
      </c>
      <c r="CW12" s="9">
        <f>IF(管理者入力シート!$B$14=1,CV9*管理者用人口入力シート!AQ$3,IF(管理者入力シート!$B$14=2,CV9*管理者用人口入力シート!AQ$7))+将来予測シート②!$G22</f>
        <v>3.2644427249035761</v>
      </c>
      <c r="CX12" s="9">
        <f>IF(管理者入力シート!$B$14=1,CW9*管理者用人口入力シート!AR$3,IF(管理者入力シート!$B$14=2,CW9*管理者用人口入力シート!AR$7))+将来予測シート②!$G23</f>
        <v>3.1718931386464932</v>
      </c>
      <c r="CY12" s="9">
        <f>IF(管理者入力シート!$B$14=1,CX9*管理者用人口入力シート!AS$3,IF(管理者入力シート!$B$14=2,CX9*管理者用人口入力シート!AS$7))+将来予測シート②!$G24</f>
        <v>2.9101201801304981</v>
      </c>
      <c r="CZ12" s="9">
        <f>IF(管理者入力シート!$B$14=1,CY9*管理者用人口入力シート!AT$3,IF(管理者入力シート!$B$14=2,CY9*管理者用人口入力シート!AT$7))+将来予測シート②!$G25</f>
        <v>2.3559846354009024</v>
      </c>
      <c r="DA12" s="9">
        <f>IF(管理者入力シート!$B$14=1,CZ9*管理者用人口入力シート!AU$3,IF(管理者入力シート!$B$14=2,CZ9*管理者用人口入力シート!AU$7))+将来予測シート②!$G26</f>
        <v>4.8315273264198231</v>
      </c>
      <c r="DB12" s="9">
        <f>IF(管理者入力シート!$B$14=1,DA9*管理者用人口入力シート!AV$3,IF(管理者入力シート!$B$14=2,DA9*管理者用人口入力シート!AV$7))+将来予測シート②!$G27</f>
        <v>6.3067343128185209</v>
      </c>
      <c r="DC12" s="9">
        <f>IF(管理者入力シート!$B$14=1,DB9*管理者用人口入力シート!AW$3,IF(管理者入力シート!$B$14=2,DB9*管理者用人口入力シート!AW$7))+将来予測シート②!$G28</f>
        <v>6.4457056044960854</v>
      </c>
      <c r="DD12" s="9">
        <f>IF(管理者入力シート!$B$14=1,DC9*管理者用人口入力シート!AX$3,IF(管理者入力シート!$B$14=2,DC9*管理者用人口入力シート!AX$7))+将来予測シート②!$G29</f>
        <v>10.610892415805445</v>
      </c>
      <c r="DE12" s="9">
        <f>IF(管理者入力シート!$B$14=1,DD9*管理者用人口入力シート!AY$3,IF(管理者入力シート!$B$14=2,DD9*管理者用人口入力シート!AY$7))</f>
        <v>9.3573502423109787</v>
      </c>
      <c r="DF12" s="9">
        <f>IF(管理者入力シート!$B$14=1,DE9*管理者用人口入力シート!AZ$3,IF(管理者入力シート!$B$14=2,DE9*管理者用人口入力シート!AZ$7))</f>
        <v>11.25545863474885</v>
      </c>
      <c r="DG12" s="9">
        <f>IF(管理者入力シート!$B$14=1,DF9*管理者用人口入力シート!BA$3,IF(管理者入力シート!$B$14=2,DF9*管理者用人口入力シート!BA$7))</f>
        <v>13.2079625304301</v>
      </c>
      <c r="DH12" s="9">
        <f>IF(管理者入力シート!$B$14=1,DG9*管理者用人口入力シート!BB$3,IF(管理者入力シート!$B$14=2,DG9*管理者用人口入力シート!BB$7))</f>
        <v>17.080392448255836</v>
      </c>
      <c r="DI12" s="9">
        <f>IF(管理者入力シート!$B$14=1,DH9*管理者用人口入力シート!BC$3,IF(管理者入力シート!$B$14=2,DH9*管理者用人口入力シート!BC$7))</f>
        <v>13.2303907843079</v>
      </c>
      <c r="DJ12" s="9">
        <f>IF(管理者入力シート!$B$14=1,DI9*管理者用人口入力シート!BD$3,IF(管理者入力シート!$B$14=2,DI9*管理者用人口入力シート!BD$7))</f>
        <v>5.6479995186481933</v>
      </c>
      <c r="DK12" s="9">
        <f>IF(管理者入力シート!$B$14=1,DJ9*管理者用人口入力シート!BE$3,IF(管理者入力シート!$B$14=2,DJ9*管理者用人口入力シート!BE$7))</f>
        <v>3.355741644594836E-3</v>
      </c>
      <c r="DL12" s="9">
        <f>IF(管理者入力シート!$B$14=1,DK9*管理者用人口入力シート!BF$3,IF(管理者入力シート!$B$14=2,DK9*管理者用人口入力シート!BF$7))</f>
        <v>5.1792515466471568E-6</v>
      </c>
      <c r="DM12" s="9">
        <f t="shared" si="69"/>
        <v>126.16594649355157</v>
      </c>
      <c r="DN12" s="9">
        <f t="shared" si="34"/>
        <v>5.5240121518559953</v>
      </c>
      <c r="DO12" s="9">
        <f t="shared" si="35"/>
        <v>2.6977463286738708</v>
      </c>
      <c r="DP12" s="9">
        <f t="shared" si="6"/>
        <v>69.782915079597998</v>
      </c>
      <c r="DQ12" s="9">
        <f t="shared" si="36"/>
        <v>49.170106202538172</v>
      </c>
      <c r="DR12" s="13">
        <f t="shared" si="37"/>
        <v>0.55310420140322614</v>
      </c>
      <c r="DS12" s="13">
        <f t="shared" si="38"/>
        <v>0.38972565552822364</v>
      </c>
      <c r="DT12" s="9">
        <f t="shared" si="70"/>
        <v>10.661702374021157</v>
      </c>
      <c r="DV12" s="211"/>
      <c r="DX12" s="28">
        <f>管理者入力シート!B11</f>
        <v>2040</v>
      </c>
      <c r="DY12" s="3" t="s">
        <v>21</v>
      </c>
      <c r="DZ12" s="9">
        <f>FB13*$AK$13</f>
        <v>7.3903536000273302</v>
      </c>
      <c r="EA12" s="129">
        <f>IF(管理者入力シート!$B$14=1,DZ9*管理者用人口入力シート!AM$3,IF(管理者入力シート!$B$14=2,DZ9*管理者用人口入力シート!AM$7))</f>
        <v>9.0229357209386674</v>
      </c>
      <c r="EB12" s="9">
        <f>IF(管理者入力シート!$B$14=1,EA9*管理者用人口入力シート!AN$3,IF(管理者入力シート!$B$14=2,EA9*管理者用人口入力シート!AN$7))</f>
        <v>8.7461200104022296</v>
      </c>
      <c r="EC12" s="9">
        <f>IF(管理者入力シート!$B$14=1,EB9*管理者用人口入力シート!AO$3,IF(管理者入力シート!$B$14=2,EB9*管理者用人口入力シート!AO$7))</f>
        <v>1.6193538656984741</v>
      </c>
      <c r="ED12" s="9">
        <f>IF(管理者入力シート!$B$14=1,EC9*管理者用人口入力シート!AP$3,IF(管理者入力シート!$B$14=2,EC9*管理者用人口入力シート!AP$7))</f>
        <v>1.0794226489818235</v>
      </c>
      <c r="EE12" s="9">
        <f>IF(管理者入力シート!$B$14=1,ED9*管理者用人口入力シート!AQ$3,IF(管理者入力シート!$B$14=2,ED9*管理者用人口入力シート!AQ$7))+DX1</f>
        <v>8.0652510197378469</v>
      </c>
      <c r="EF12" s="9">
        <f>IF(管理者入力シート!$B$14=1,EE9*管理者用人口入力シート!AR$3,IF(管理者入力シート!$B$14=2,EE9*管理者用人口入力シート!AR$7))+DX1</f>
        <v>14.391712260865095</v>
      </c>
      <c r="EG12" s="9">
        <f>IF(管理者入力シート!$B$14=1,EF9*管理者用人口入力シート!AS$3,IF(管理者入力シート!$B$14=2,EF9*管理者用人口入力シート!AS$7))+DX1</f>
        <v>19.004794978504936</v>
      </c>
      <c r="EH12" s="9">
        <f>IF(管理者入力シート!$B$14=1,EG9*管理者用人口入力シート!AT$3,IF(管理者入力シート!$B$14=2,EG9*管理者用人口入力シート!AT$7))</f>
        <v>16.99555261163346</v>
      </c>
      <c r="EI12" s="9">
        <f>IF(管理者入力シート!$B$14=1,EH9*管理者用人口入力シート!AU$3,IF(管理者入力シート!$B$14=2,EH9*管理者用人口入力シート!AU$7))</f>
        <v>16.753649444418503</v>
      </c>
      <c r="EJ12" s="9">
        <f>IF(管理者入力シート!$B$14=1,EI9*管理者用人口入力シート!AV$3,IF(管理者入力シート!$B$14=2,EI9*管理者用人口入力シート!AV$7))</f>
        <v>12.964806287526239</v>
      </c>
      <c r="EK12" s="9">
        <f>IF(管理者入力シート!$B$14=1,EJ9*管理者用人口入力シート!AW$3,IF(管理者入力シート!$B$14=2,EJ9*管理者用人口入力シート!AW$7))</f>
        <v>6.4457056044960854</v>
      </c>
      <c r="EL12" s="9">
        <f>IF(管理者入力シート!$B$14=1,EK9*管理者用人口入力シート!AX$3,IF(管理者入力シート!$B$14=2,EK9*管理者用人口入力シート!AX$7))</f>
        <v>10.610892415805445</v>
      </c>
      <c r="EM12" s="9">
        <f>IF(管理者入力シート!$B$14=1,EL9*管理者用人口入力シート!AY$3,IF(管理者入力シート!$B$14=2,EL9*管理者用人口入力シート!AY$7))</f>
        <v>9.3573502423109787</v>
      </c>
      <c r="EN12" s="9">
        <f>IF(管理者入力シート!$B$14=1,EM9*管理者用人口入力シート!AZ$3,IF(管理者入力シート!$B$14=2,EM9*管理者用人口入力シート!AZ$7))</f>
        <v>11.25545863474885</v>
      </c>
      <c r="EO12" s="9">
        <f>IF(管理者入力シート!$B$14=1,EN9*管理者用人口入力シート!BA$3,IF(管理者入力シート!$B$14=2,EN9*管理者用人口入力シート!BA$7))</f>
        <v>13.2079625304301</v>
      </c>
      <c r="EP12" s="9">
        <f>IF(管理者入力シート!$B$14=1,EO9*管理者用人口入力シート!BB$3,IF(管理者入力シート!$B$14=2,EO9*管理者用人口入力シート!BB$7))</f>
        <v>17.080392448255836</v>
      </c>
      <c r="EQ12" s="9">
        <f>IF(管理者入力シート!$B$14=1,EP9*管理者用人口入力シート!BC$3,IF(管理者入力シート!$B$14=2,EP9*管理者用人口入力シート!BC$7))</f>
        <v>13.2303907843079</v>
      </c>
      <c r="ER12" s="9">
        <f>IF(管理者入力シート!$B$14=1,EQ9*管理者用人口入力シート!BD$3,IF(管理者入力シート!$B$14=2,EQ9*管理者用人口入力シート!BD$7))</f>
        <v>5.6479995186481933</v>
      </c>
      <c r="ES12" s="9">
        <f>IF(管理者入力シート!$B$14=1,ER9*管理者用人口入力シート!BE$3,IF(管理者入力シート!$B$14=2,ER9*管理者用人口入力シート!BE$7))</f>
        <v>3.355741644594836E-3</v>
      </c>
      <c r="ET12" s="9">
        <f>IF(管理者入力シート!$B$14=1,ES9*管理者用人口入力シート!BF$3,IF(管理者入力シート!$B$14=2,ES9*管理者用人口入力シート!BF$7))</f>
        <v>5.1792515466471568E-6</v>
      </c>
      <c r="EU12" s="9">
        <f t="shared" si="71"/>
        <v>202.87346554863416</v>
      </c>
      <c r="EV12" s="9">
        <f t="shared" si="41"/>
        <v>10.661433438804538</v>
      </c>
      <c r="EW12" s="9">
        <f t="shared" si="42"/>
        <v>3.8223187773005867</v>
      </c>
      <c r="EX12" s="9">
        <f t="shared" si="10"/>
        <v>69.782915079597998</v>
      </c>
      <c r="EY12" s="9">
        <f t="shared" si="43"/>
        <v>49.170106202538172</v>
      </c>
      <c r="EZ12" s="13">
        <f t="shared" si="44"/>
        <v>0.34397260820128878</v>
      </c>
      <c r="FA12" s="13">
        <f t="shared" si="45"/>
        <v>0.24236834555749623</v>
      </c>
      <c r="FB12" s="9">
        <f t="shared" si="72"/>
        <v>42.5411809080897</v>
      </c>
    </row>
    <row r="13" spans="1:158" x14ac:dyDescent="0.15">
      <c r="A13" s="7" t="str">
        <f t="shared" si="11"/>
        <v>2020_2</v>
      </c>
      <c r="B13" s="29">
        <v>2020</v>
      </c>
      <c r="C13" s="4" t="s">
        <v>22</v>
      </c>
      <c r="D13" s="10">
        <v>5.0159879638916758</v>
      </c>
      <c r="E13" s="10">
        <v>4.6226579739217666</v>
      </c>
      <c r="F13" s="10">
        <v>5.7126529588766308</v>
      </c>
      <c r="G13" s="10">
        <v>5.0406569709127389</v>
      </c>
      <c r="H13" s="10">
        <v>3.6719959879638919</v>
      </c>
      <c r="I13" s="10">
        <v>7.0899949849548651</v>
      </c>
      <c r="J13" s="10">
        <v>3.4833249749247752</v>
      </c>
      <c r="K13" s="10">
        <v>9.8519859578736231</v>
      </c>
      <c r="L13" s="10">
        <v>7.433986960882649</v>
      </c>
      <c r="M13" s="10">
        <v>11.269984954864595</v>
      </c>
      <c r="N13" s="10">
        <v>12.57331995987964</v>
      </c>
      <c r="O13" s="10">
        <v>19.96664994984955</v>
      </c>
      <c r="P13" s="10">
        <v>28.81863590772317</v>
      </c>
      <c r="Q13" s="10">
        <v>24.236634904714144</v>
      </c>
      <c r="R13" s="10">
        <v>22.728640922768307</v>
      </c>
      <c r="S13" s="10">
        <v>15.917311935807424</v>
      </c>
      <c r="T13" s="10">
        <v>17.589307923771315</v>
      </c>
      <c r="U13" s="10">
        <v>20.335310932798397</v>
      </c>
      <c r="V13" s="10">
        <v>7.8766549648946853</v>
      </c>
      <c r="W13" s="10">
        <v>0.97533099297893699</v>
      </c>
      <c r="X13" s="10">
        <v>0.139332998996991</v>
      </c>
      <c r="Y13" s="10">
        <f t="shared" si="177"/>
        <v>234.35036108324979</v>
      </c>
      <c r="Z13" s="10">
        <f t="shared" ref="Z13:Z14" si="179">E13*3/5+F13*3/5</f>
        <v>6.2011865596790381</v>
      </c>
      <c r="AA13" s="10">
        <f t="shared" ref="AA13:AA14" si="180">F13*2/5+G13*1/5</f>
        <v>3.2931925777332003</v>
      </c>
      <c r="AB13" s="10">
        <f t="shared" si="178"/>
        <v>109.7985255767302</v>
      </c>
      <c r="AC13" s="10">
        <f t="shared" ref="AC13:AC14" si="181">SUM(S13:X13)</f>
        <v>62.833249749247756</v>
      </c>
      <c r="AD13" s="14">
        <f t="shared" ref="AD13:AD14" si="182">AB13/Y13</f>
        <v>0.46852296309339059</v>
      </c>
      <c r="AE13" s="14">
        <f t="shared" ref="AE13:AE14" si="183">AC13/Y13</f>
        <v>0.2681167183135984</v>
      </c>
      <c r="AF13" s="10">
        <f t="shared" ref="AF13:AF14" si="184">SUM(H13:K13)</f>
        <v>24.097301905717153</v>
      </c>
      <c r="AI13" s="60" t="s">
        <v>47</v>
      </c>
      <c r="AJ13" s="1" t="s">
        <v>21</v>
      </c>
      <c r="AK13" s="8">
        <f>VLOOKUP(AK12&amp;"_1",A:D,4,FALSE)/VLOOKUP(AK12&amp;"_2",A:AF,32,FALSE)</f>
        <v>0.1618987879713682</v>
      </c>
      <c r="AL13" s="63"/>
      <c r="BH13" s="7" t="str">
        <f t="shared" si="19"/>
        <v>2040_2</v>
      </c>
      <c r="BI13" s="29">
        <f>BI12</f>
        <v>2040</v>
      </c>
      <c r="BJ13" s="4" t="s">
        <v>22</v>
      </c>
      <c r="BK13" s="10">
        <f>CM13*$AK$14</f>
        <v>1.5008604057016712</v>
      </c>
      <c r="BL13" s="10">
        <f>IF(管理者入力シート!$B$14=1,BK10*管理者用人口入力シート!AM$4,IF(管理者入力シート!$B$14=2,BK10*管理者用人口入力シート!AM$8))</f>
        <v>1.9837087536841198</v>
      </c>
      <c r="BM13" s="10">
        <f>IF(管理者入力シート!$B$14=1,BL10*管理者用人口入力シート!AN$4,IF(管理者入力シート!$B$14=2,BL10*管理者用人口入力シート!AN$8))</f>
        <v>2.9658985555349928</v>
      </c>
      <c r="BN13" s="10">
        <f>IF(管理者入力シート!$B$14=1,BM10*管理者用人口入力シート!AO$4,IF(管理者入力シート!$B$14=2,BM10*管理者用人口入力シート!AO$8))</f>
        <v>2.3975399961249</v>
      </c>
      <c r="BO13" s="10">
        <f>IF(管理者入力シート!$B$14=1,BN10*管理者用人口入力シート!AP$4,IF(管理者入力シート!$B$14=2,BN10*管理者用人口入力シート!AP$8))</f>
        <v>2.102618873730651</v>
      </c>
      <c r="BP13" s="10">
        <f>IF(管理者入力シート!$B$14=1,BO10*管理者用人口入力シート!AQ$4,IF(管理者入力シート!$B$14=2,BO10*管理者用人口入力シート!AQ$8))</f>
        <v>1.5235001019748093</v>
      </c>
      <c r="BQ13" s="10">
        <f>IF(管理者入力シート!$B$14=1,BP10*管理者用人口入力シート!AR$4,IF(管理者入力シート!$B$14=2,BP10*管理者用人口入力シート!AR$8))</f>
        <v>1.6802992842055926</v>
      </c>
      <c r="BR13" s="10">
        <f>IF(管理者入力シート!$B$14=1,BQ10*管理者用人口入力シート!AS$4,IF(管理者入力シート!$B$14=2,BQ10*管理者用人口入力シート!AS$8))</f>
        <v>1.9038634582432745</v>
      </c>
      <c r="BS13" s="10">
        <f>IF(管理者入力シート!$B$14=1,BR10*管理者用人口入力シート!AT$4,IF(管理者入力シート!$B$14=2,BR10*管理者用人口入力シート!AT$8))</f>
        <v>2.4724371684802158</v>
      </c>
      <c r="BT13" s="10">
        <f>IF(管理者入力シート!$B$14=1,BS10*管理者用人口入力シート!AU$4,IF(管理者入力シート!$B$14=2,BS10*管理者用人口入力シート!AU$8))</f>
        <v>5.3987757606587543</v>
      </c>
      <c r="BU13" s="10">
        <f>IF(管理者入力シート!$B$14=1,BT10*管理者用人口入力シート!AV$4,IF(管理者入力シート!$B$14=2,BT10*管理者用人口入力シート!AV$8))</f>
        <v>3.1884590704338818</v>
      </c>
      <c r="BV13" s="10">
        <f>IF(管理者入力シート!$B$14=1,BU10*管理者用人口入力シート!AW$4,IF(管理者入力シート!$B$14=2,BU10*管理者用人口入力シート!AW$8))</f>
        <v>10.035816173862765</v>
      </c>
      <c r="BW13" s="10">
        <f>IF(管理者入力シート!$B$14=1,BV10*管理者用人口入力シート!AX$4,IF(管理者入力シート!$B$14=2,BV10*管理者用人口入力シート!AX$8))</f>
        <v>7.6441675629281836</v>
      </c>
      <c r="BX13" s="10">
        <f>IF(管理者入力シート!$B$14=1,BW10*管理者用人口入力シート!AY$4,IF(管理者入力シート!$B$14=2,BW10*管理者用人口入力シート!AY$8))</f>
        <v>10.788655898982308</v>
      </c>
      <c r="BY13" s="10">
        <f>IF(管理者入力シート!$B$14=1,BX10*管理者用人口入力シート!AZ$4,IF(管理者入力シート!$B$14=2,BX10*管理者用人口入力シート!AZ$8))</f>
        <v>11.136665930083794</v>
      </c>
      <c r="BZ13" s="10">
        <f>IF(管理者入力シート!$B$14=1,BY10*管理者用人口入力シート!BA$4,IF(管理者入力シート!$B$14=2,BY10*管理者用人口入力シート!BA$8))</f>
        <v>15.830592715305576</v>
      </c>
      <c r="CA13" s="10">
        <f>IF(管理者入力シート!$B$14=1,BZ10*管理者用人口入力シート!BB$4,IF(管理者入力シート!$B$14=2,BZ10*管理者用人口入力シート!BB$8))</f>
        <v>20.066491083196802</v>
      </c>
      <c r="CB13" s="10">
        <f>IF(管理者入力シート!$B$14=1,CA10*管理者用人口入力シート!BC$4,IF(管理者入力シート!$B$14=2,CA10*管理者用人口入力シート!BC$8))</f>
        <v>12.409115120923822</v>
      </c>
      <c r="CC13" s="10">
        <f>IF(管理者入力シート!$B$14=1,CB10*管理者用人口入力シート!BD$4,IF(管理者入力シート!$B$14=2,CB10*管理者用人口入力シート!BD$8))</f>
        <v>4.7679324189346168</v>
      </c>
      <c r="CD13" s="10">
        <f>IF(管理者入力シート!$B$14=1,CC10*管理者用人口入力シート!BE$4,IF(管理者入力シート!$B$14=2,CC10*管理者用人口入力シート!BE$8))</f>
        <v>3.8252458194585688E-3</v>
      </c>
      <c r="CE13" s="10">
        <f>IF(管理者入力シート!$B$14=1,CD10*管理者用人口入力シート!BF$4,IF(管理者入力シート!$B$14=2,CD10*管理者用人口入力シート!BF$8))</f>
        <v>4.8145541181595448E-6</v>
      </c>
      <c r="CF13" s="10">
        <f t="shared" si="2"/>
        <v>119.80122839336428</v>
      </c>
      <c r="CG13" s="10">
        <f t="shared" si="20"/>
        <v>2.9697643855314677</v>
      </c>
      <c r="CH13" s="10">
        <f t="shared" si="21"/>
        <v>1.665867421438977</v>
      </c>
      <c r="CI13" s="10">
        <f t="shared" si="3"/>
        <v>75.003283227800495</v>
      </c>
      <c r="CJ13" s="10">
        <f t="shared" si="22"/>
        <v>53.077961398734388</v>
      </c>
      <c r="CK13" s="14">
        <f t="shared" si="23"/>
        <v>0.62606439210730902</v>
      </c>
      <c r="CL13" s="14">
        <f t="shared" si="24"/>
        <v>0.44305022670096716</v>
      </c>
      <c r="CM13" s="10">
        <f t="shared" si="25"/>
        <v>7.2102817181543282</v>
      </c>
      <c r="CO13" s="7" t="str">
        <f t="shared" si="26"/>
        <v>2040_2</v>
      </c>
      <c r="CP13" s="29">
        <f>CP12</f>
        <v>2040</v>
      </c>
      <c r="CQ13" s="4" t="s">
        <v>22</v>
      </c>
      <c r="CR13" s="10">
        <f>DT13*$AK$14+将来予測シート②!$H17</f>
        <v>3.739495047145704</v>
      </c>
      <c r="CS13" s="10">
        <f>IF(管理者入力シート!$B$14=1,CR10*管理者用人口入力シート!AM$4,IF(管理者入力シート!$B$14=2,CR10*管理者用人口入力シート!AM$8))+将来予測シート②!$H18</f>
        <v>4.4689489829020941</v>
      </c>
      <c r="CT13" s="10">
        <f>IF(管理者入力シート!$B$14=1,CS10*管理者用人口入力シート!AN$4,IF(管理者入力シート!$B$14=2,CS10*管理者用人口入力シート!AN$8))+将来予測シート②!$H19</f>
        <v>5.928115946451892</v>
      </c>
      <c r="CU13" s="10">
        <f>IF(管理者入力シート!$B$14=1,CT10*管理者用人口入力シート!AO$4,IF(管理者入力シート!$B$14=2,CT10*管理者用人口入力シート!AO$8))+将来予測シート②!$H20</f>
        <v>3.8344779744863637</v>
      </c>
      <c r="CV13" s="10">
        <f>IF(管理者入力シート!$B$14=1,CU10*管理者用人口入力シート!AP$4,IF(管理者入力シート!$B$14=2,CU10*管理者用人口入力シート!AP$8))+将来予測シート②!$H21</f>
        <v>2.4817249065735818</v>
      </c>
      <c r="CW13" s="10">
        <f>IF(管理者入力シート!$B$14=1,CV10*管理者用人口入力シート!AQ$4,IF(管理者入力シート!$B$14=2,CV10*管理者用人口入力シート!AQ$8))+将来予測シート②!$H22</f>
        <v>3.8652571001979963</v>
      </c>
      <c r="CX13" s="10">
        <f>IF(管理者入力シート!$B$14=1,CW10*管理者用人口入力シート!AR$4,IF(管理者入力シート!$B$14=2,CW10*管理者用人口入力シート!AR$8))+将来予測シート②!$H23</f>
        <v>3.4016183530779309</v>
      </c>
      <c r="CY13" s="10">
        <f>IF(管理者入力シート!$B$14=1,CX10*管理者用人口入力シート!AS$4,IF(管理者入力シート!$B$14=2,CX10*管理者用人口入力シート!AS$8))+将来予測シート②!$H24</f>
        <v>3.4122045893452433</v>
      </c>
      <c r="CZ13" s="10">
        <f>IF(管理者入力シート!$B$14=1,CY10*管理者用人口入力シート!AT$4,IF(管理者入力シート!$B$14=2,CY10*管理者用人口入力シート!AT$8))+将来予測シート②!$H25</f>
        <v>4.9662505328189486</v>
      </c>
      <c r="DA13" s="10">
        <f>IF(管理者入力シート!$B$14=1,CZ10*管理者用人口入力シート!AU$4,IF(管理者入力シート!$B$14=2,CZ10*管理者用人口入力シート!AU$8))+将来予測シート②!$H26</f>
        <v>6.4182658692768566</v>
      </c>
      <c r="DB13" s="10">
        <f>IF(管理者入力シート!$B$14=1,DA10*管理者用人口入力シート!AV$4,IF(管理者入力シート!$B$14=2,DA10*管理者用人口入力シート!AV$8))+将来予測シート②!$H27</f>
        <v>4.2432147975588022</v>
      </c>
      <c r="DC13" s="10">
        <f>IF(管理者入力シート!$B$14=1,DB10*管理者用人口入力シート!AW$4,IF(管理者入力シート!$B$14=2,DB10*管理者用人口入力シート!AW$8))+将来予測シート②!$H28</f>
        <v>11.064382133090851</v>
      </c>
      <c r="DD13" s="10">
        <f>IF(管理者入力シート!$B$14=1,DC10*管理者用人口入力シート!AX$4,IF(管理者入力シート!$B$14=2,DC10*管理者用人口入力シート!AX$8))+将来予測シート②!$H29</f>
        <v>7.6441675629281836</v>
      </c>
      <c r="DE13" s="10">
        <f>IF(管理者入力シート!$B$14=1,DD10*管理者用人口入力シート!AY$4,IF(管理者入力シート!$B$14=2,DD10*管理者用人口入力シート!AY$8))</f>
        <v>10.788655898982308</v>
      </c>
      <c r="DF13" s="10">
        <f>IF(管理者入力シート!$B$14=1,DE10*管理者用人口入力シート!AZ$4,IF(管理者入力シート!$B$14=2,DE10*管理者用人口入力シート!AZ$8))</f>
        <v>11.136665930083794</v>
      </c>
      <c r="DG13" s="10">
        <f>IF(管理者入力シート!$B$14=1,DF10*管理者用人口入力シート!BA$4,IF(管理者入力シート!$B$14=2,DF10*管理者用人口入力シート!BA$8))</f>
        <v>15.830592715305576</v>
      </c>
      <c r="DH13" s="10">
        <f>IF(管理者入力シート!$B$14=1,DG10*管理者用人口入力シート!BB$4,IF(管理者入力シート!$B$14=2,DG10*管理者用人口入力シート!BB$8))</f>
        <v>20.066491083196802</v>
      </c>
      <c r="DI13" s="10">
        <f>IF(管理者入力シート!$B$14=1,DH10*管理者用人口入力シート!BC$4,IF(管理者入力シート!$B$14=2,DH10*管理者用人口入力シート!BC$8))</f>
        <v>12.409115120923822</v>
      </c>
      <c r="DJ13" s="10">
        <f>IF(管理者入力シート!$B$14=1,DI10*管理者用人口入力シート!BD$4,IF(管理者入力シート!$B$14=2,DI10*管理者用人口入力シート!BD$8))</f>
        <v>4.7679324189346168</v>
      </c>
      <c r="DK13" s="10">
        <f>IF(管理者入力シート!$B$14=1,DJ10*管理者用人口入力シート!BE$4,IF(管理者入力シート!$B$14=2,DJ10*管理者用人口入力シート!BE$8))</f>
        <v>3.8252458194585688E-3</v>
      </c>
      <c r="DL13" s="10">
        <f>IF(管理者入力シート!$B$14=1,DK10*管理者用人口入力シート!BF$4,IF(管理者入力シート!$B$14=2,DK10*管理者用人口入力シート!BF$8))</f>
        <v>4.8145541181595448E-6</v>
      </c>
      <c r="DM13" s="10">
        <f t="shared" si="69"/>
        <v>140.47140702365493</v>
      </c>
      <c r="DN13" s="10">
        <f t="shared" si="34"/>
        <v>6.2382389576123911</v>
      </c>
      <c r="DO13" s="10">
        <f t="shared" si="35"/>
        <v>3.1381419734780294</v>
      </c>
      <c r="DP13" s="10">
        <f t="shared" si="6"/>
        <v>75.003283227800495</v>
      </c>
      <c r="DQ13" s="10">
        <f t="shared" si="36"/>
        <v>53.077961398734388</v>
      </c>
      <c r="DR13" s="14">
        <f t="shared" si="37"/>
        <v>0.53393985877261263</v>
      </c>
      <c r="DS13" s="14">
        <f t="shared" si="38"/>
        <v>0.37785598167886386</v>
      </c>
      <c r="DT13" s="10">
        <f t="shared" si="70"/>
        <v>13.160804949194752</v>
      </c>
      <c r="DV13" s="62"/>
      <c r="DX13" s="29">
        <f>DX12</f>
        <v>2040</v>
      </c>
      <c r="DY13" s="4" t="s">
        <v>22</v>
      </c>
      <c r="DZ13" s="10">
        <f>FB13*$AK$14</f>
        <v>9.5018832000351381</v>
      </c>
      <c r="EA13" s="10">
        <f>IF(管理者入力シート!$B$14=1,DZ10*管理者用人口入力シート!AM$4,IF(管理者入力シート!$B$14=2,DZ10*管理者用人口入力シート!AM$8))</f>
        <v>11.157641991665688</v>
      </c>
      <c r="EB13" s="10">
        <f>IF(管理者入力シート!$B$14=1,EA10*管理者用人口入力シート!AN$4,IF(管理者入力シート!$B$14=2,EA10*管理者用人口入力シート!AN$8))</f>
        <v>10.597689314368443</v>
      </c>
      <c r="EC13" s="10">
        <f>IF(管理者入力シート!$B$14=1,EB10*管理者用人口入力シート!AO$4,IF(管理者入力シート!$B$14=2,EB10*管理者用人口入力シート!AO$8))</f>
        <v>2.3975399961249</v>
      </c>
      <c r="ED13" s="10">
        <f>IF(管理者入力シート!$B$14=1,EC10*管理者用人口入力シート!AP$4,IF(管理者入力シート!$B$14=2,EC10*管理者用人口入力シート!AP$8))</f>
        <v>2.102618873730651</v>
      </c>
      <c r="EE13" s="10">
        <f>IF(管理者入力シート!$B$14=1,ED10*管理者用人口入力シート!AQ$4,IF(管理者入力シート!$B$14=2,ED10*管理者用人口入力シート!AQ$8))+DX1</f>
        <v>8.5235001019748093</v>
      </c>
      <c r="EF13" s="10">
        <f>IF(管理者入力シート!$B$14=1,EE10*管理者用人口入力シート!AR$4,IF(管理者入力シート!$B$14=2,EE10*管理者用人口入力シート!AR$8))+DX1</f>
        <v>14.704916025258775</v>
      </c>
      <c r="EG13" s="10">
        <f>IF(管理者入力シート!$B$14=1,EF10*管理者用人口入力シート!AS$4,IF(管理者入力シート!$B$14=2,EF10*管理者用人口入力シート!AS$8))+DX1</f>
        <v>20.316950957610782</v>
      </c>
      <c r="EH13" s="10">
        <f>IF(管理者入力シート!$B$14=1,EG10*管理者用人口入力シート!AT$4,IF(管理者入力シート!$B$14=2,EG10*管理者用人口入力シート!AT$8))</f>
        <v>20.70817682851218</v>
      </c>
      <c r="EI13" s="10">
        <f>IF(管理者入力シート!$B$14=1,EH10*管理者用人口入力シート!AU$4,IF(管理者入力シート!$B$14=2,EH10*管理者用人口入力シート!AU$8))</f>
        <v>18.659684145669129</v>
      </c>
      <c r="EJ13" s="10">
        <f>IF(管理者入力シート!$B$14=1,EI10*管理者用人口入力シート!AV$4,IF(管理者入力シート!$B$14=2,EI10*管理者用人口入力シート!AV$8))</f>
        <v>10.500636124828983</v>
      </c>
      <c r="EK13" s="10">
        <f>IF(管理者入力シート!$B$14=1,EJ10*管理者用人口入力シート!AW$4,IF(管理者入力シート!$B$14=2,EJ10*管理者用人口入力シート!AW$8))</f>
        <v>10.035816173862765</v>
      </c>
      <c r="EL13" s="10">
        <f>IF(管理者入力シート!$B$14=1,EK10*管理者用人口入力シート!AX$4,IF(管理者入力シート!$B$14=2,EK10*管理者用人口入力シート!AX$8))</f>
        <v>7.6441675629281836</v>
      </c>
      <c r="EM13" s="10">
        <f>IF(管理者入力シート!$B$14=1,EL10*管理者用人口入力シート!AY$4,IF(管理者入力シート!$B$14=2,EL10*管理者用人口入力シート!AY$8))</f>
        <v>10.788655898982308</v>
      </c>
      <c r="EN13" s="10">
        <f>IF(管理者入力シート!$B$14=1,EM10*管理者用人口入力シート!AZ$4,IF(管理者入力シート!$B$14=2,EM10*管理者用人口入力シート!AZ$8))</f>
        <v>11.136665930083794</v>
      </c>
      <c r="EO13" s="10">
        <f>IF(管理者入力シート!$B$14=1,EN10*管理者用人口入力シート!BA$4,IF(管理者入力シート!$B$14=2,EN10*管理者用人口入力シート!BA$8))</f>
        <v>15.830592715305576</v>
      </c>
      <c r="EP13" s="10">
        <f>IF(管理者入力シート!$B$14=1,EO10*管理者用人口入力シート!BB$4,IF(管理者入力シート!$B$14=2,EO10*管理者用人口入力シート!BB$8))</f>
        <v>20.066491083196802</v>
      </c>
      <c r="EQ13" s="10">
        <f>IF(管理者入力シート!$B$14=1,EP10*管理者用人口入力シート!BC$4,IF(管理者入力シート!$B$14=2,EP10*管理者用人口入力シート!BC$8))</f>
        <v>12.409115120923822</v>
      </c>
      <c r="ER13" s="10">
        <f>IF(管理者入力シート!$B$14=1,EQ10*管理者用人口入力シート!BD$4,IF(管理者入力シート!$B$14=2,EQ10*管理者用人口入力シート!BD$8))</f>
        <v>4.7679324189346168</v>
      </c>
      <c r="ES13" s="10">
        <f>IF(管理者入力シート!$B$14=1,ER10*管理者用人口入力シート!BE$4,IF(管理者入力シート!$B$14=2,ER10*管理者用人口入力シート!BE$8))</f>
        <v>3.8252458194585688E-3</v>
      </c>
      <c r="ET13" s="10">
        <f>IF(管理者入力シート!$B$14=1,ES10*管理者用人口入力シート!BF$4,IF(管理者入力シート!$B$14=2,ES10*管理者用人口入力シート!BF$8))</f>
        <v>4.8145541181595448E-6</v>
      </c>
      <c r="EU13" s="10">
        <f t="shared" si="71"/>
        <v>221.85450452437092</v>
      </c>
      <c r="EV13" s="10">
        <f t="shared" si="41"/>
        <v>13.053198783620481</v>
      </c>
      <c r="EW13" s="10">
        <f t="shared" si="42"/>
        <v>4.7185837249723575</v>
      </c>
      <c r="EX13" s="10">
        <f t="shared" si="10"/>
        <v>75.003283227800495</v>
      </c>
      <c r="EY13" s="10">
        <f t="shared" si="43"/>
        <v>53.077961398734388</v>
      </c>
      <c r="EZ13" s="14">
        <f t="shared" si="44"/>
        <v>0.33807419591771831</v>
      </c>
      <c r="FA13" s="14">
        <f t="shared" si="45"/>
        <v>0.23924671492484267</v>
      </c>
      <c r="FB13" s="10">
        <f t="shared" si="72"/>
        <v>45.647985958575021</v>
      </c>
    </row>
    <row r="14" spans="1:158" x14ac:dyDescent="0.15">
      <c r="A14" s="7" t="str">
        <f t="shared" si="11"/>
        <v>2020_3</v>
      </c>
      <c r="B14" s="30">
        <v>2020</v>
      </c>
      <c r="C14" s="5" t="s">
        <v>23</v>
      </c>
      <c r="D14" s="11">
        <v>8.9173119358074242</v>
      </c>
      <c r="E14" s="11">
        <v>10.056644934804416</v>
      </c>
      <c r="F14" s="11">
        <v>14.539969909729191</v>
      </c>
      <c r="G14" s="11">
        <v>11.359979939819461</v>
      </c>
      <c r="H14" s="11">
        <v>5.7866599799398202</v>
      </c>
      <c r="I14" s="11">
        <v>14.597988966900703</v>
      </c>
      <c r="J14" s="11">
        <v>11.663314944834505</v>
      </c>
      <c r="K14" s="11">
        <v>16.400636910732199</v>
      </c>
      <c r="L14" s="11">
        <v>17.097301905717153</v>
      </c>
      <c r="M14" s="11">
        <v>20.261303911735212</v>
      </c>
      <c r="N14" s="11">
        <v>24.703971915747246</v>
      </c>
      <c r="O14" s="11">
        <v>36.326629889669007</v>
      </c>
      <c r="P14" s="11">
        <v>55.63727181544634</v>
      </c>
      <c r="Q14" s="11">
        <v>55.587933801404219</v>
      </c>
      <c r="R14" s="11">
        <v>50.965275827482451</v>
      </c>
      <c r="S14" s="11">
        <v>31.023294884653964</v>
      </c>
      <c r="T14" s="11">
        <v>36.252622868605819</v>
      </c>
      <c r="U14" s="11">
        <v>31.18729689067202</v>
      </c>
      <c r="V14" s="11">
        <v>20.24531594784353</v>
      </c>
      <c r="W14" s="11">
        <v>1.3933299899699101</v>
      </c>
      <c r="X14" s="11">
        <v>0.41799899699097298</v>
      </c>
      <c r="Y14" s="11">
        <f t="shared" si="177"/>
        <v>474.42205616850566</v>
      </c>
      <c r="Z14" s="11">
        <f t="shared" si="179"/>
        <v>14.757968906720162</v>
      </c>
      <c r="AA14" s="11">
        <f t="shared" si="180"/>
        <v>8.0879839518555681</v>
      </c>
      <c r="AB14" s="11">
        <f t="shared" si="178"/>
        <v>227.07306920762286</v>
      </c>
      <c r="AC14" s="11">
        <f t="shared" si="181"/>
        <v>120.51985957873623</v>
      </c>
      <c r="AD14" s="15">
        <f t="shared" si="182"/>
        <v>0.47863092842161375</v>
      </c>
      <c r="AE14" s="15">
        <f t="shared" si="183"/>
        <v>0.25403511074520929</v>
      </c>
      <c r="AF14" s="11">
        <f t="shared" si="184"/>
        <v>48.448600802407228</v>
      </c>
      <c r="AI14" s="43"/>
      <c r="AJ14" s="1" t="s">
        <v>22</v>
      </c>
      <c r="AK14" s="8">
        <f>VLOOKUP(AK12&amp;"_2",A:D,4,FALSE)/VLOOKUP(AK12&amp;"_2",A:AF,32,FALSE)</f>
        <v>0.20815558453461624</v>
      </c>
      <c r="AL14" s="63"/>
      <c r="BH14" s="7" t="str">
        <f t="shared" si="19"/>
        <v>2040_3</v>
      </c>
      <c r="BI14" s="30">
        <f>BI13</f>
        <v>2040</v>
      </c>
      <c r="BJ14" s="5" t="s">
        <v>23</v>
      </c>
      <c r="BK14" s="16">
        <f>BK12+BK13</f>
        <v>2.6681962768029712</v>
      </c>
      <c r="BL14" s="16">
        <f t="shared" ref="BL14" si="185">BL12+BL13</f>
        <v>3.5878896896672701</v>
      </c>
      <c r="BM14" s="16">
        <f t="shared" ref="BM14" si="186">BM12+BM13</f>
        <v>5.4136118198045775</v>
      </c>
      <c r="BN14" s="16">
        <f t="shared" ref="BN14" si="187">BN12+BN13</f>
        <v>4.016893861823374</v>
      </c>
      <c r="BO14" s="16">
        <f t="shared" ref="BO14" si="188">BO12+BO13</f>
        <v>3.1820415227124745</v>
      </c>
      <c r="BP14" s="16">
        <f t="shared" ref="BP14" si="189">BP12+BP13</f>
        <v>2.5887511217126571</v>
      </c>
      <c r="BQ14" s="16">
        <f t="shared" ref="BQ14" si="190">BQ12+BQ13</f>
        <v>3.1642647739646454</v>
      </c>
      <c r="BR14" s="16">
        <f t="shared" ref="BR14" si="191">BR12+BR13</f>
        <v>3.4457661223341289</v>
      </c>
      <c r="BS14" s="16">
        <f t="shared" ref="BS14" si="192">BS12+BS13</f>
        <v>3.5839037515898435</v>
      </c>
      <c r="BT14" s="16">
        <f t="shared" ref="BT14" si="193">BT12+BT13</f>
        <v>10.230303087078578</v>
      </c>
      <c r="BU14" s="16">
        <f t="shared" ref="BU14" si="194">BU12+BU13</f>
        <v>9.4951933832524027</v>
      </c>
      <c r="BV14" s="16">
        <f t="shared" ref="BV14" si="195">BV12+BV13</f>
        <v>16.48152177835885</v>
      </c>
      <c r="BW14" s="16">
        <f t="shared" ref="BW14" si="196">BW12+BW13</f>
        <v>18.255059978733627</v>
      </c>
      <c r="BX14" s="16">
        <f t="shared" ref="BX14" si="197">BX12+BX13</f>
        <v>20.146006141293284</v>
      </c>
      <c r="BY14" s="16">
        <f t="shared" ref="BY14" si="198">BY12+BY13</f>
        <v>22.392124564832642</v>
      </c>
      <c r="BZ14" s="16">
        <f t="shared" ref="BZ14" si="199">BZ12+BZ13</f>
        <v>29.038555245735676</v>
      </c>
      <c r="CA14" s="16">
        <f t="shared" ref="CA14" si="200">CA12+CA13</f>
        <v>37.146883531452637</v>
      </c>
      <c r="CB14" s="16">
        <f t="shared" ref="CB14" si="201">CB12+CB13</f>
        <v>25.639505905231722</v>
      </c>
      <c r="CC14" s="16">
        <f t="shared" ref="CC14" si="202">CC12+CC13</f>
        <v>10.41593193758281</v>
      </c>
      <c r="CD14" s="16">
        <f t="shared" ref="CD14" si="203">CD12+CD13</f>
        <v>7.1809874640534049E-3</v>
      </c>
      <c r="CE14" s="16">
        <f t="shared" ref="CE14" si="204">CE12+CE13</f>
        <v>9.9938056648067016E-6</v>
      </c>
      <c r="CF14" s="11">
        <f t="shared" si="2"/>
        <v>230.89959547523384</v>
      </c>
      <c r="CG14" s="11">
        <f t="shared" si="20"/>
        <v>5.400900905683109</v>
      </c>
      <c r="CH14" s="11">
        <f t="shared" si="21"/>
        <v>2.968823500286506</v>
      </c>
      <c r="CI14" s="11">
        <f t="shared" si="3"/>
        <v>144.78619830739845</v>
      </c>
      <c r="CJ14" s="11">
        <f t="shared" si="22"/>
        <v>102.24806760127257</v>
      </c>
      <c r="CK14" s="15">
        <f t="shared" si="23"/>
        <v>0.62705262869517731</v>
      </c>
      <c r="CL14" s="15">
        <f t="shared" si="24"/>
        <v>0.44282480179676037</v>
      </c>
      <c r="CM14" s="11">
        <f t="shared" si="25"/>
        <v>12.380823540723908</v>
      </c>
      <c r="CO14" s="7" t="str">
        <f t="shared" si="26"/>
        <v>2040_3</v>
      </c>
      <c r="CP14" s="30">
        <f>CP13</f>
        <v>2040</v>
      </c>
      <c r="CQ14" s="5" t="s">
        <v>23</v>
      </c>
      <c r="CR14" s="16">
        <f>CR12+CR13</f>
        <v>6.8702134171479186</v>
      </c>
      <c r="CS14" s="16">
        <f t="shared" ref="CS14" si="205">CS12+CS13</f>
        <v>8.3478098085921317</v>
      </c>
      <c r="CT14" s="16">
        <f t="shared" ref="CT14" si="206">CT12+CT13</f>
        <v>11.255942040521846</v>
      </c>
      <c r="CU14" s="16">
        <f t="shared" ref="CU14" si="207">CU12+CU13</f>
        <v>6.6675574297158082</v>
      </c>
      <c r="CV14" s="16">
        <f t="shared" ref="CV14" si="208">CV12+CV13</f>
        <v>3.7969712369141728</v>
      </c>
      <c r="CW14" s="16">
        <f t="shared" ref="CW14" si="209">CW12+CW13</f>
        <v>7.1296998251015724</v>
      </c>
      <c r="CX14" s="16">
        <f t="shared" ref="CX14" si="210">CX12+CX13</f>
        <v>6.5735114917244246</v>
      </c>
      <c r="CY14" s="16">
        <f t="shared" ref="CY14" si="211">CY12+CY13</f>
        <v>6.3223247694757418</v>
      </c>
      <c r="CZ14" s="16">
        <f t="shared" ref="CZ14" si="212">CZ12+CZ13</f>
        <v>7.3222351682198514</v>
      </c>
      <c r="DA14" s="16">
        <f t="shared" ref="DA14" si="213">DA12+DA13</f>
        <v>11.249793195696679</v>
      </c>
      <c r="DB14" s="16">
        <f t="shared" ref="DB14" si="214">DB12+DB13</f>
        <v>10.549949110377323</v>
      </c>
      <c r="DC14" s="16">
        <f t="shared" ref="DC14" si="215">DC12+DC13</f>
        <v>17.510087737586936</v>
      </c>
      <c r="DD14" s="16">
        <f t="shared" ref="DD14" si="216">DD12+DD13</f>
        <v>18.255059978733627</v>
      </c>
      <c r="DE14" s="16">
        <f t="shared" ref="DE14" si="217">DE12+DE13</f>
        <v>20.146006141293284</v>
      </c>
      <c r="DF14" s="16">
        <f t="shared" ref="DF14" si="218">DF12+DF13</f>
        <v>22.392124564832642</v>
      </c>
      <c r="DG14" s="16">
        <f t="shared" ref="DG14" si="219">DG12+DG13</f>
        <v>29.038555245735676</v>
      </c>
      <c r="DH14" s="16">
        <f t="shared" ref="DH14" si="220">DH12+DH13</f>
        <v>37.146883531452637</v>
      </c>
      <c r="DI14" s="16">
        <f t="shared" ref="DI14" si="221">DI12+DI13</f>
        <v>25.639505905231722</v>
      </c>
      <c r="DJ14" s="16">
        <f t="shared" ref="DJ14" si="222">DJ12+DJ13</f>
        <v>10.41593193758281</v>
      </c>
      <c r="DK14" s="16">
        <f t="shared" ref="DK14" si="223">DK12+DK13</f>
        <v>7.1809874640534049E-3</v>
      </c>
      <c r="DL14" s="16">
        <f t="shared" ref="DL14" si="224">DL12+DL13</f>
        <v>9.9938056648067016E-6</v>
      </c>
      <c r="DM14" s="11">
        <f t="shared" si="69"/>
        <v>266.63735351720652</v>
      </c>
      <c r="DN14" s="11">
        <f t="shared" si="34"/>
        <v>11.762251109468387</v>
      </c>
      <c r="DO14" s="11">
        <f t="shared" si="35"/>
        <v>5.8358883021519006</v>
      </c>
      <c r="DP14" s="11">
        <f t="shared" si="6"/>
        <v>144.78619830739845</v>
      </c>
      <c r="DQ14" s="11">
        <f t="shared" si="36"/>
        <v>102.24806760127257</v>
      </c>
      <c r="DR14" s="15">
        <f t="shared" si="37"/>
        <v>0.54300793342540876</v>
      </c>
      <c r="DS14" s="15">
        <f t="shared" si="38"/>
        <v>0.38347240644463693</v>
      </c>
      <c r="DT14" s="11">
        <f t="shared" si="70"/>
        <v>23.822507323215913</v>
      </c>
      <c r="DX14" s="30">
        <f>DX13</f>
        <v>2040</v>
      </c>
      <c r="DY14" s="5" t="s">
        <v>23</v>
      </c>
      <c r="DZ14" s="16">
        <f>DZ12+DZ13</f>
        <v>16.89223680006247</v>
      </c>
      <c r="EA14" s="16">
        <f t="shared" ref="EA14" si="225">EA12+EA13</f>
        <v>20.180577712604354</v>
      </c>
      <c r="EB14" s="16">
        <f t="shared" ref="EB14" si="226">EB12+EB13</f>
        <v>19.343809324770675</v>
      </c>
      <c r="EC14" s="16">
        <f t="shared" ref="EC14" si="227">EC12+EC13</f>
        <v>4.016893861823374</v>
      </c>
      <c r="ED14" s="16">
        <f t="shared" ref="ED14" si="228">ED12+ED13</f>
        <v>3.1820415227124745</v>
      </c>
      <c r="EE14" s="16">
        <f t="shared" ref="EE14" si="229">EE12+EE13</f>
        <v>16.588751121712654</v>
      </c>
      <c r="EF14" s="16">
        <f t="shared" ref="EF14" si="230">EF12+EF13</f>
        <v>29.09662828612387</v>
      </c>
      <c r="EG14" s="16">
        <f t="shared" ref="EG14" si="231">EG12+EG13</f>
        <v>39.321745936115718</v>
      </c>
      <c r="EH14" s="16">
        <f t="shared" ref="EH14" si="232">EH12+EH13</f>
        <v>37.703729440145636</v>
      </c>
      <c r="EI14" s="16">
        <f t="shared" ref="EI14" si="233">EI12+EI13</f>
        <v>35.413333590087632</v>
      </c>
      <c r="EJ14" s="16">
        <f t="shared" ref="EJ14" si="234">EJ12+EJ13</f>
        <v>23.465442412355223</v>
      </c>
      <c r="EK14" s="16">
        <f t="shared" ref="EK14" si="235">EK12+EK13</f>
        <v>16.48152177835885</v>
      </c>
      <c r="EL14" s="16">
        <f t="shared" ref="EL14" si="236">EL12+EL13</f>
        <v>18.255059978733627</v>
      </c>
      <c r="EM14" s="16">
        <f t="shared" ref="EM14" si="237">EM12+EM13</f>
        <v>20.146006141293284</v>
      </c>
      <c r="EN14" s="16">
        <f t="shared" ref="EN14" si="238">EN12+EN13</f>
        <v>22.392124564832642</v>
      </c>
      <c r="EO14" s="16">
        <f t="shared" ref="EO14" si="239">EO12+EO13</f>
        <v>29.038555245735676</v>
      </c>
      <c r="EP14" s="16">
        <f t="shared" ref="EP14" si="240">EP12+EP13</f>
        <v>37.146883531452637</v>
      </c>
      <c r="EQ14" s="16">
        <f t="shared" ref="EQ14" si="241">EQ12+EQ13</f>
        <v>25.639505905231722</v>
      </c>
      <c r="ER14" s="16">
        <f t="shared" ref="ER14" si="242">ER12+ER13</f>
        <v>10.41593193758281</v>
      </c>
      <c r="ES14" s="16">
        <f t="shared" ref="ES14" si="243">ES12+ES13</f>
        <v>7.1809874640534049E-3</v>
      </c>
      <c r="ET14" s="16">
        <f t="shared" ref="ET14" si="244">ET12+ET13</f>
        <v>9.9938056648067016E-6</v>
      </c>
      <c r="EU14" s="11">
        <f t="shared" si="71"/>
        <v>424.72797007300511</v>
      </c>
      <c r="EV14" s="11">
        <f t="shared" si="41"/>
        <v>23.714632222425017</v>
      </c>
      <c r="EW14" s="11">
        <f t="shared" si="42"/>
        <v>8.5409025022729459</v>
      </c>
      <c r="EX14" s="11">
        <f t="shared" si="10"/>
        <v>144.78619830739845</v>
      </c>
      <c r="EY14" s="11">
        <f t="shared" si="43"/>
        <v>102.24806760127257</v>
      </c>
      <c r="EZ14" s="15">
        <f t="shared" si="44"/>
        <v>0.34089160241203709</v>
      </c>
      <c r="FA14" s="15">
        <f t="shared" si="45"/>
        <v>0.24073777760315027</v>
      </c>
      <c r="FB14" s="11">
        <f t="shared" si="72"/>
        <v>88.189166866664721</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0.97317913260680422</v>
      </c>
      <c r="BL15" s="9">
        <f>IF(管理者入力シート!$B$14=1,BK12*管理者用人口入力シート!AM$3,IF(管理者入力シート!$B$14=2,BK12*管理者用人口入力シート!AM$7))</f>
        <v>1.3916364948035524</v>
      </c>
      <c r="BM15" s="9">
        <f>IF(管理者入力シート!$B$14=1,BL12*管理者用人口入力シート!AN$3,IF(管理者入力シート!$B$14=2,BL12*管理者用人口入力シート!AN$7))</f>
        <v>1.5787576506881149</v>
      </c>
      <c r="BN15" s="9">
        <f>IF(管理者入力シート!$B$14=1,BM12*管理者用人口入力シート!AO$3,IF(管理者入力シート!$B$14=2,BM12*管理者用人口入力シート!AO$7))</f>
        <v>1.3670063568604334</v>
      </c>
      <c r="BO15" s="9">
        <f>IF(管理者入力シート!$B$14=1,BN12*管理者用人口入力シート!AP$3,IF(管理者入力シート!$B$14=2,BN12*管理者用人口入力シート!AP$7))</f>
        <v>0.68378439331673213</v>
      </c>
      <c r="BP15" s="9">
        <f>IF(管理者入力シート!$B$14=1,BO12*管理者用人口入力シート!AQ$3,IF(管理者入力シート!$B$14=2,BO12*管理者用人口入力シート!AQ$7))</f>
        <v>0.91174913734847007</v>
      </c>
      <c r="BQ15" s="9">
        <f>IF(管理者入力シート!$B$14=1,BP12*管理者用人口入力シート!AR$3,IF(管理者入力シート!$B$14=2,BP12*管理者用人口入力シート!AR$7))</f>
        <v>0.89903332461052698</v>
      </c>
      <c r="BR15" s="9">
        <f>IF(管理者入力シート!$B$14=1,BQ12*管理者用人口入力シート!AS$3,IF(管理者入力シート!$B$14=2,BQ12*管理者用人口入力シート!AS$7))</f>
        <v>1.20288780009319</v>
      </c>
      <c r="BS15" s="9">
        <f>IF(管理者入力シート!$B$14=1,BR12*管理者用人口入力シート!AT$3,IF(管理者入力シート!$B$14=2,BR12*管理者用人口入力シート!AT$7))</f>
        <v>1.4025004634434732</v>
      </c>
      <c r="BT15" s="9">
        <f>IF(管理者入力シート!$B$14=1,BS12*管理者用人口入力シート!AU$3,IF(管理者入力シート!$B$14=2,BS12*管理者用人口入力シート!AU$7))</f>
        <v>1.1494384728303131</v>
      </c>
      <c r="BU15" s="9">
        <f>IF(管理者入力シート!$B$14=1,BT12*管理者用人口入力シート!AV$3,IF(管理者入力シート!$B$14=2,BT12*管理者用人口入力シート!AV$7))</f>
        <v>4.8853930674526378</v>
      </c>
      <c r="BV15" s="9">
        <f>IF(管理者入力シート!$B$14=1,BU12*管理者用人口入力シート!AW$3,IF(管理者入力シート!$B$14=2,BU12*管理者用人口入力シート!AW$7))</f>
        <v>6.5263853510364704</v>
      </c>
      <c r="BW15" s="9">
        <f>IF(管理者入力シート!$B$14=1,BV12*管理者用人口入力シート!AX$3,IF(管理者入力シート!$B$14=2,BV12*管理者用人口入力シート!AX$7))</f>
        <v>6.5406916349918731</v>
      </c>
      <c r="BX15" s="9">
        <f>IF(管理者入力シート!$B$14=1,BW12*管理者用人口入力シート!AY$3,IF(管理者入力シート!$B$14=2,BW12*管理者用人口入力シート!AY$7))</f>
        <v>10.400277680380359</v>
      </c>
      <c r="BY15" s="9">
        <f>IF(管理者入力シート!$B$14=1,BX12*管理者用人口入力シート!AZ$3,IF(管理者入力シート!$B$14=2,BX12*管理者用人口入力シート!AZ$7))</f>
        <v>8.4356301319139781</v>
      </c>
      <c r="BZ15" s="9">
        <f>IF(管理者入力シート!$B$14=1,BY12*管理者用人口入力シート!BA$3,IF(管理者入力シート!$B$14=2,BY12*管理者用人口入力シート!BA$7))</f>
        <v>10.134571275298251</v>
      </c>
      <c r="CA15" s="9">
        <f>IF(管理者入力シート!$B$14=1,BZ12*管理者用人口入力シート!BB$3,IF(管理者入力シート!$B$14=2,BZ12*管理者用人口入力シート!BB$7))</f>
        <v>10.572973313900022</v>
      </c>
      <c r="CB15" s="9">
        <f>IF(管理者入力シート!$B$14=1,CA12*管理者用人口入力シート!BC$3,IF(管理者入力シート!$B$14=2,CA12*管理者用人口入力シート!BC$7))</f>
        <v>11.092944533046596</v>
      </c>
      <c r="CC15" s="9">
        <f>IF(管理者入力シート!$B$14=1,CB12*管理者用人口入力シート!BD$3,IF(管理者入力シート!$B$14=2,CB12*管理者用人口入力シート!BD$7))</f>
        <v>5.6532982131138372</v>
      </c>
      <c r="CD15" s="9">
        <f>IF(管理者入力シート!$B$14=1,CC12*管理者用人口入力シート!BE$3,IF(管理者入力シート!$B$14=2,CC12*管理者用人口入力シート!BE$7))</f>
        <v>5.6479995186481937E-3</v>
      </c>
      <c r="CE15" s="9">
        <f>IF(管理者入力シート!$B$14=1,CD12*管理者用人口入力シート!BF$3,IF(管理者入力シート!$B$14=2,CD12*管理者用人口入力シート!BF$7))</f>
        <v>3.3557416445948363E-6</v>
      </c>
      <c r="CF15" s="9">
        <f t="shared" ref="CF15:CF20" si="252">SUM(BK15:CE15)</f>
        <v>85.807789782995926</v>
      </c>
      <c r="CG15" s="9">
        <f t="shared" ref="CG15:CG20" si="253">BL15*3/5+BM15*3/5</f>
        <v>1.7822364872950005</v>
      </c>
      <c r="CH15" s="9">
        <f t="shared" ref="CH15:CH20" si="254">BM15*2/5+BN15*1/5</f>
        <v>0.90490433164733264</v>
      </c>
      <c r="CI15" s="9">
        <f t="shared" ref="CI15:CI20" si="255">SUM(BX15:CE15)</f>
        <v>56.29534650291334</v>
      </c>
      <c r="CJ15" s="9">
        <f t="shared" ref="CJ15:CJ20" si="256">SUM(BZ15:CE15)</f>
        <v>37.459438690619002</v>
      </c>
      <c r="CK15" s="13">
        <f t="shared" ref="CK15:CK20" si="257">CI15/CF15</f>
        <v>0.65606335561470308</v>
      </c>
      <c r="CL15" s="13">
        <f t="shared" ref="CL15:CL20" si="258">CJ15/CF15</f>
        <v>0.43655056009894033</v>
      </c>
      <c r="CM15" s="9">
        <f t="shared" ref="CM15:CM20" si="259">SUM(BO15:BR15)</f>
        <v>3.6974546553689192</v>
      </c>
      <c r="CO15" s="7" t="str">
        <f t="shared" si="26"/>
        <v>2045_1</v>
      </c>
      <c r="CP15" s="28">
        <f>管理者入力シート!B12</f>
        <v>2045</v>
      </c>
      <c r="CQ15" s="3" t="s">
        <v>21</v>
      </c>
      <c r="CR15" s="9">
        <f>DT16*$AK$13+将来予測シート②!$G17</f>
        <v>3.0520472451418286</v>
      </c>
      <c r="CS15" s="9">
        <f>IF(管理者入力シート!$B$14=1,CR12*管理者用人口入力シート!AM$3,IF(管理者入力シート!$B$14=2,CR12*管理者用人口入力シート!AM$7))+将来予測シート②!$G18</f>
        <v>3.7322779557323256</v>
      </c>
      <c r="CT15" s="9">
        <f>IF(管理者入力シート!$B$14=1,CS12*管理者用人口入力シート!AN$3,IF(管理者入力シート!$B$14=2,CS12*管理者用人口入力シート!AN$7))+将来予測シート②!$G19</f>
        <v>4.8173880932947872</v>
      </c>
      <c r="CU15" s="9">
        <f>IF(管理者入力シート!$B$14=1,CT12*管理者用人口入力シート!AO$3,IF(管理者入力シート!$B$14=2,CT12*管理者用人口入力シート!AO$7))+将来予測シート②!$G20</f>
        <v>2.9755005396900001</v>
      </c>
      <c r="CV15" s="9">
        <f>IF(管理者入力シート!$B$14=1,CU12*管理者用人口入力シート!AP$3,IF(管理者入力シート!$B$14=2,CU12*管理者用人口入力シート!AP$7))+将来予測シート②!$G21</f>
        <v>1.1962891851785509</v>
      </c>
      <c r="CW15" s="9">
        <f>IF(管理者入力シート!$B$14=1,CV12*管理者用人口入力シート!AQ$3,IF(管理者入力シート!$B$14=2,CV12*管理者用人口入力シート!AQ$7))+将来予測シート②!$G22</f>
        <v>3.1109408425141982</v>
      </c>
      <c r="CX15" s="9">
        <f>IF(管理者入力シート!$B$14=1,CW12*管理者用人口入力シート!AR$3,IF(管理者入力シート!$B$14=2,CW12*管理者用人口入力シート!AR$7))+将来予測シート②!$G23</f>
        <v>2.7550715667871017</v>
      </c>
      <c r="CY15" s="9">
        <f>IF(管理者入力シート!$B$14=1,CX12*管理者用人口入力シート!AS$3,IF(管理者入力シート!$B$14=2,CX12*管理者用人口入力シート!AS$7))+将来予測シート②!$G24</f>
        <v>2.571105316132833</v>
      </c>
      <c r="CZ15" s="9">
        <f>IF(管理者入力シート!$B$14=1,CY12*管理者用人口入力シート!AT$3,IF(管理者入力シート!$B$14=2,CY12*管理者用人口入力シート!AT$7))+将来予測シート②!$G25</f>
        <v>2.6470185157347483</v>
      </c>
      <c r="DA15" s="9">
        <f>IF(管理者入力シート!$B$14=1,CZ12*管理者用人口入力シート!AU$3,IF(管理者入力シート!$B$14=2,CZ12*管理者用人口入力シート!AU$7))+将来予測シート②!$G26</f>
        <v>2.4364739547547782</v>
      </c>
      <c r="DB15" s="9">
        <f>IF(管理者入力シート!$B$14=1,DA12*管理者用人口入力シート!AV$3,IF(管理者入力シート!$B$14=2,DA12*管理者用人口入力シート!AV$7))+将来予測シート②!$G27</f>
        <v>4.8853930674526378</v>
      </c>
      <c r="DC15" s="9">
        <f>IF(管理者入力シート!$B$14=1,DB12*管理者用人口入力シート!AW$3,IF(管理者入力シート!$B$14=2,DB12*管理者用人口入力シート!AW$7))+将来予測シート②!$G28</f>
        <v>6.5263853510364704</v>
      </c>
      <c r="DD15" s="9">
        <f>IF(管理者入力シート!$B$14=1,DC12*管理者用人口入力シート!AX$3,IF(管理者入力シート!$B$14=2,DC12*管理者用人口入力シート!AX$7))+将来予測シート②!$G29</f>
        <v>6.5406916349918731</v>
      </c>
      <c r="DE15" s="9">
        <f>IF(管理者入力シート!$B$14=1,DD12*管理者用人口入力シート!AY$3,IF(管理者入力シート!$B$14=2,DD12*管理者用人口入力シート!AY$7))</f>
        <v>10.400277680380359</v>
      </c>
      <c r="DF15" s="9">
        <f>IF(管理者入力シート!$B$14=1,DE12*管理者用人口入力シート!AZ$3,IF(管理者入力シート!$B$14=2,DE12*管理者用人口入力シート!AZ$7))</f>
        <v>8.4356301319139781</v>
      </c>
      <c r="DG15" s="9">
        <f>IF(管理者入力シート!$B$14=1,DF12*管理者用人口入力シート!BA$3,IF(管理者入力シート!$B$14=2,DF12*管理者用人口入力シート!BA$7))</f>
        <v>10.134571275298251</v>
      </c>
      <c r="DH15" s="9">
        <f>IF(管理者入力シート!$B$14=1,DG12*管理者用人口入力シート!BB$3,IF(管理者入力シート!$B$14=2,DG12*管理者用人口入力シート!BB$7))</f>
        <v>10.572973313900022</v>
      </c>
      <c r="DI15" s="9">
        <f>IF(管理者入力シート!$B$14=1,DH12*管理者用人口入力シート!BC$3,IF(管理者入力シート!$B$14=2,DH12*管理者用人口入力シート!BC$7))</f>
        <v>11.092944533046596</v>
      </c>
      <c r="DJ15" s="9">
        <f>IF(管理者入力シート!$B$14=1,DI12*管理者用人口入力シート!BD$3,IF(管理者入力シート!$B$14=2,DI12*管理者用人口入力シート!BD$7))</f>
        <v>5.6532982131138372</v>
      </c>
      <c r="DK15" s="9">
        <f>IF(管理者入力シート!$B$14=1,DJ12*管理者用人口入力シート!BE$3,IF(管理者入力シート!$B$14=2,DJ12*管理者用人口入力シート!BE$7))</f>
        <v>5.6479995186481937E-3</v>
      </c>
      <c r="DL15" s="9">
        <f>IF(管理者入力シート!$B$14=1,DK12*管理者用人口入力シート!BF$3,IF(管理者入力シート!$B$14=2,DK12*管理者用人口入力シート!BF$7))</f>
        <v>3.3557416445948363E-6</v>
      </c>
      <c r="DM15" s="9">
        <f t="shared" ref="DM15:DM20" si="260">SUM(CR15:DL15)</f>
        <v>103.54192977135546</v>
      </c>
      <c r="DN15" s="9">
        <f t="shared" ref="DN15:DN20" si="261">CS15*3/5+CT15*3/5</f>
        <v>5.1297996294162678</v>
      </c>
      <c r="DO15" s="9">
        <f t="shared" ref="DO15:DO20" si="262">CT15*2/5+CU15*1/5</f>
        <v>2.5220553452559149</v>
      </c>
      <c r="DP15" s="9">
        <f t="shared" ref="DP15:DP20" si="263">SUM(DE15:DL15)</f>
        <v>56.29534650291334</v>
      </c>
      <c r="DQ15" s="9">
        <f t="shared" ref="DQ15:DQ20" si="264">SUM(DG15:DL15)</f>
        <v>37.459438690619002</v>
      </c>
      <c r="DR15" s="13">
        <f t="shared" ref="DR15:DR20" si="265">DP15/DM15</f>
        <v>0.54369612993718097</v>
      </c>
      <c r="DS15" s="13">
        <f t="shared" ref="DS15:DS20" si="266">DQ15/DM15</f>
        <v>0.36178037992278211</v>
      </c>
      <c r="DT15" s="9">
        <f t="shared" ref="DT15:DT20" si="267">SUM(CV15:CY15)</f>
        <v>9.6334069106126847</v>
      </c>
      <c r="DV15" s="62" t="s">
        <v>404</v>
      </c>
      <c r="DW15" s="210">
        <f>AK13+AK14</f>
        <v>0.37005437250598444</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1.2512303133516054</v>
      </c>
      <c r="BL16" s="10">
        <f>IF(管理者入力シート!$B$14=1,BK13*管理者用人口入力シート!AM$4,IF(管理者入力シート!$B$14=2,BK13*管理者用人口入力シート!AM$8))</f>
        <v>1.7208791320015338</v>
      </c>
      <c r="BM16" s="10">
        <f>IF(管理者入力シート!$B$14=1,BL13*管理者用人口入力シート!AN$4,IF(管理者入力シート!$B$14=2,BL13*管理者用人口入力シート!AN$8))</f>
        <v>1.9129834789341522</v>
      </c>
      <c r="BN16" s="10">
        <f>IF(管理者入力シート!$B$14=1,BM13*管理者用人口入力シート!AO$4,IF(管理者入力シート!$B$14=2,BM13*管理者用人口入力シート!AO$8))</f>
        <v>2.0239260145380373</v>
      </c>
      <c r="BO16" s="10">
        <f>IF(管理者入力シート!$B$14=1,BN13*管理者用人口入力シート!AP$4,IF(管理者入力シート!$B$14=2,BN13*管理者用人口入力シート!AP$8))</f>
        <v>1.3319509019996796</v>
      </c>
      <c r="BP16" s="10">
        <f>IF(管理者入力シート!$B$14=1,BO13*管理者用人口入力シート!AQ$4,IF(管理者入力シート!$B$14=2,BO13*管理者用人口入力シート!AQ$8))</f>
        <v>1.8954715895838212</v>
      </c>
      <c r="BQ16" s="10">
        <f>IF(管理者入力シート!$B$14=1,BP13*管理者用人口入力シート!AR$4,IF(管理者入力シート!$B$14=2,BP13*管理者用人口入力シート!AR$8))</f>
        <v>1.3112148884790957</v>
      </c>
      <c r="BR16" s="10">
        <f>IF(管理者入力シート!$B$14=1,BQ13*管理者用人口入力シート!AS$4,IF(管理者入力シート!$B$14=2,BQ13*管理者用人口入力シート!AS$8))</f>
        <v>1.4723967036447567</v>
      </c>
      <c r="BS16" s="10">
        <f>IF(管理者入力シート!$B$14=1,BR13*管理者用人口入力シート!AT$4,IF(管理者入力シート!$B$14=2,BR13*管理者用人口入力シート!AT$8))</f>
        <v>1.8855261712064892</v>
      </c>
      <c r="BT16" s="10">
        <f>IF(管理者入力シート!$B$14=1,BS13*管理者用人口入力シート!AU$4,IF(管理者入力シート!$B$14=2,BS13*管理者用人口入力シート!AU$8))</f>
        <v>2.5206252374453273</v>
      </c>
      <c r="BU16" s="10">
        <f>IF(管理者入力シート!$B$14=1,BT13*管理者用人口入力シート!AV$4,IF(管理者入力シート!$B$14=2,BT13*管理者用人口入力シート!AV$8))</f>
        <v>5.5855271227071048</v>
      </c>
      <c r="BV16" s="10">
        <f>IF(管理者入力シート!$B$14=1,BU13*管理者用人口入力シート!AW$4,IF(管理者入力シート!$B$14=2,BU13*管理者用人口入力シート!AW$8))</f>
        <v>3.1092890779363431</v>
      </c>
      <c r="BW16" s="10">
        <f>IF(管理者入力シート!$B$14=1,BV13*管理者用人口入力シート!AX$4,IF(管理者入力シート!$B$14=2,BV13*管理者用人口入力シート!AX$8))</f>
        <v>10.032957071650692</v>
      </c>
      <c r="BX16" s="10">
        <f>IF(管理者入力シート!$B$14=1,BW13*管理者用人口入力シート!AY$4,IF(管理者入力シート!$B$14=2,BW13*管理者用人口入力シート!AY$8))</f>
        <v>7.2551904436497265</v>
      </c>
      <c r="BY16" s="10">
        <f>IF(管理者入力シート!$B$14=1,BX13*管理者用人口入力シート!AZ$4,IF(管理者入力シート!$B$14=2,BX13*管理者用人口入力シート!AZ$8))</f>
        <v>10.327553103547165</v>
      </c>
      <c r="BZ16" s="10">
        <f>IF(管理者入力シート!$B$14=1,BY13*管理者用人口入力シート!BA$4,IF(管理者入力シート!$B$14=2,BY13*管理者用人口入力シート!BA$8))</f>
        <v>9.721251833707818</v>
      </c>
      <c r="CA16" s="10">
        <f>IF(管理者入力シート!$B$14=1,BZ13*管理者用人口入力シート!BB$4,IF(管理者入力シート!$B$14=2,BZ13*管理者用人口入力シート!BB$8))</f>
        <v>13.898869478814587</v>
      </c>
      <c r="CB16" s="10">
        <f>IF(管理者入力シート!$B$14=1,CA13*管理者用人口入力シート!BC$4,IF(管理者入力シート!$B$14=2,CA13*管理者用人口入力シート!BC$8))</f>
        <v>14.004271811446925</v>
      </c>
      <c r="CC16" s="10">
        <f>IF(管理者入力シート!$B$14=1,CB13*管理者用人口入力シート!BD$4,IF(管理者入力シート!$B$14=2,CB13*管理者用人口入力シート!BD$8))</f>
        <v>4.8669741486960731</v>
      </c>
      <c r="CD16" s="10">
        <f>IF(管理者入力シート!$B$14=1,CC13*管理者用人口入力シート!BE$4,IF(管理者入力シート!$B$14=2,CC13*管理者用人口入力シート!BE$8))</f>
        <v>4.7679324189346169E-3</v>
      </c>
      <c r="CE16" s="10">
        <f>IF(管理者入力シート!$B$14=1,CD13*管理者用人口入力シート!BF$4,IF(管理者入力シート!$B$14=2,CD13*管理者用人口入力シート!BF$8))</f>
        <v>3.8252458194585689E-6</v>
      </c>
      <c r="CF16" s="10">
        <f t="shared" si="252"/>
        <v>96.132860281005676</v>
      </c>
      <c r="CG16" s="10">
        <f t="shared" si="253"/>
        <v>2.1803175665614116</v>
      </c>
      <c r="CH16" s="10">
        <f t="shared" si="254"/>
        <v>1.1699785944812682</v>
      </c>
      <c r="CI16" s="10">
        <f t="shared" si="255"/>
        <v>60.078882577527054</v>
      </c>
      <c r="CJ16" s="10">
        <f t="shared" si="256"/>
        <v>42.496139030330163</v>
      </c>
      <c r="CK16" s="14">
        <f t="shared" si="257"/>
        <v>0.62495677754631096</v>
      </c>
      <c r="CL16" s="14">
        <f t="shared" si="258"/>
        <v>0.44205632606904471</v>
      </c>
      <c r="CM16" s="10">
        <f t="shared" si="259"/>
        <v>6.0110340837073526</v>
      </c>
      <c r="CO16" s="7" t="str">
        <f t="shared" si="26"/>
        <v>2045_2</v>
      </c>
      <c r="CP16" s="29">
        <f>CP15</f>
        <v>2045</v>
      </c>
      <c r="CQ16" s="4" t="s">
        <v>22</v>
      </c>
      <c r="CR16" s="10">
        <f>DT16*$AK$14+将来予測シート②!$H17</f>
        <v>3.6383464580394937</v>
      </c>
      <c r="CS16" s="10">
        <f>IF(管理者入力シート!$B$14=1,CR13*管理者用人口入力シート!AM$4,IF(管理者入力シート!$B$14=2,CR13*管理者用人口入力シート!AM$8))+将来予測シート②!$H18</f>
        <v>4.2876865605949464</v>
      </c>
      <c r="CT16" s="10">
        <f>IF(管理者入力シート!$B$14=1,CS13*管理者用人口入力シート!AN$4,IF(管理者入力シート!$B$14=2,CS13*管理者用人口入力シート!AN$8))+将来予測シート②!$H19</f>
        <v>5.3096173047651991</v>
      </c>
      <c r="CU16" s="10">
        <f>IF(管理者入力シート!$B$14=1,CT13*管理者用人口入力シート!AO$4,IF(管理者入力シート!$B$14=2,CT13*管理者用人口入力シート!AO$8))+将来予測シート②!$H20</f>
        <v>4.0453400062624647</v>
      </c>
      <c r="CV16" s="10">
        <f>IF(管理者入力シート!$B$14=1,CU13*管理者用人口入力シート!AP$4,IF(管理者入力シート!$B$14=2,CU13*管理者用人口入力シート!AP$8))+将来予測シート②!$H21</f>
        <v>2.1302403317858767</v>
      </c>
      <c r="CW16" s="10">
        <f>IF(管理者入力シート!$B$14=1,CV13*管理者用人口入力シート!AQ$4,IF(管理者入力シート!$B$14=2,CV13*管理者用人口入力シート!AQ$8))+将来予測シート②!$H22</f>
        <v>4.2372285878070084</v>
      </c>
      <c r="CX16" s="10">
        <f>IF(管理者入力シート!$B$14=1,CW13*管理者用人口入力シート!AR$4,IF(管理者入力シート!$B$14=2,CW13*管理者用人口入力シート!AR$8))+将来予測シート②!$H23</f>
        <v>3.3266703763325047</v>
      </c>
      <c r="CY16" s="10">
        <f>IF(管理者入力シート!$B$14=1,CX13*管理者用人口入力シート!AS$4,IF(管理者入力シート!$B$14=2,CX13*管理者用人口入力シート!AS$8))+将来予測シート②!$H24</f>
        <v>2.9807378347467259</v>
      </c>
      <c r="CZ16" s="10">
        <f>IF(管理者入力シート!$B$14=1,CY13*管理者用人口入力シート!AT$4,IF(管理者入力シート!$B$14=2,CY13*管理者用人口入力シート!AT$8))+将来予測シート②!$H25</f>
        <v>4.3793395355452223</v>
      </c>
      <c r="DA16" s="10">
        <f>IF(管理者入力シート!$B$14=1,CZ13*管理者用人口入力シート!AU$4,IF(管理者入力シート!$B$14=2,CZ13*管理者用人口入力シート!AU$8))+将来予測シート②!$H26</f>
        <v>5.0630432951282964</v>
      </c>
      <c r="DB16" s="10">
        <f>IF(管理者入力シート!$B$14=1,DA13*管理者用人口入力シート!AV$4,IF(管理者入力シート!$B$14=2,DA13*管理者用人口入力シート!AV$8))+将来予測シート②!$H27</f>
        <v>6.6402828498320252</v>
      </c>
      <c r="DC16" s="10">
        <f>IF(管理者入力シート!$B$14=1,DB13*管理者用人口入力シート!AW$4,IF(管理者入力シート!$B$14=2,DB13*管理者用人口入力シート!AW$8))+将来予測シート②!$H28</f>
        <v>4.1378550371644307</v>
      </c>
      <c r="DD16" s="10">
        <f>IF(管理者入力シート!$B$14=1,DC13*管理者用人口入力シート!AX$4,IF(管理者入力シート!$B$14=2,DC13*管理者用人口入力シート!AX$8))+将来予測シート②!$H29</f>
        <v>11.061230002872051</v>
      </c>
      <c r="DE16" s="10">
        <f>IF(管理者入力シート!$B$14=1,DD13*管理者用人口入力シート!AY$4,IF(管理者入力シート!$B$14=2,DD13*管理者用人口入力シート!AY$8))</f>
        <v>7.2551904436497265</v>
      </c>
      <c r="DF16" s="10">
        <f>IF(管理者入力シート!$B$14=1,DE13*管理者用人口入力シート!AZ$4,IF(管理者入力シート!$B$14=2,DE13*管理者用人口入力シート!AZ$8))</f>
        <v>10.327553103547165</v>
      </c>
      <c r="DG16" s="10">
        <f>IF(管理者入力シート!$B$14=1,DF13*管理者用人口入力シート!BA$4,IF(管理者入力シート!$B$14=2,DF13*管理者用人口入力シート!BA$8))</f>
        <v>9.721251833707818</v>
      </c>
      <c r="DH16" s="10">
        <f>IF(管理者入力シート!$B$14=1,DG13*管理者用人口入力シート!BB$4,IF(管理者入力シート!$B$14=2,DG13*管理者用人口入力シート!BB$8))</f>
        <v>13.898869478814587</v>
      </c>
      <c r="DI16" s="10">
        <f>IF(管理者入力シート!$B$14=1,DH13*管理者用人口入力シート!BC$4,IF(管理者入力シート!$B$14=2,DH13*管理者用人口入力シート!BC$8))</f>
        <v>14.004271811446925</v>
      </c>
      <c r="DJ16" s="10">
        <f>IF(管理者入力シート!$B$14=1,DI13*管理者用人口入力シート!BD$4,IF(管理者入力シート!$B$14=2,DI13*管理者用人口入力シート!BD$8))</f>
        <v>4.8669741486960731</v>
      </c>
      <c r="DK16" s="10">
        <f>IF(管理者入力シート!$B$14=1,DJ13*管理者用人口入力シート!BE$4,IF(管理者入力シート!$B$14=2,DJ13*管理者用人口入力シート!BE$8))</f>
        <v>4.7679324189346169E-3</v>
      </c>
      <c r="DL16" s="10">
        <f>IF(管理者入力シート!$B$14=1,DK13*管理者用人口入力シート!BF$4,IF(管理者入力シート!$B$14=2,DK13*管理者用人口入力シート!BF$8))</f>
        <v>3.8252458194585689E-6</v>
      </c>
      <c r="DM16" s="10">
        <f t="shared" si="260"/>
        <v>121.31650075840329</v>
      </c>
      <c r="DN16" s="10">
        <f t="shared" si="261"/>
        <v>5.7583823192160875</v>
      </c>
      <c r="DO16" s="10">
        <f t="shared" si="262"/>
        <v>2.9329149231585729</v>
      </c>
      <c r="DP16" s="10">
        <f t="shared" si="263"/>
        <v>60.078882577527054</v>
      </c>
      <c r="DQ16" s="10">
        <f t="shared" si="264"/>
        <v>42.496139030330163</v>
      </c>
      <c r="DR16" s="14">
        <f t="shared" si="265"/>
        <v>0.49522432811651584</v>
      </c>
      <c r="DS16" s="14">
        <f t="shared" si="266"/>
        <v>0.35029150004053805</v>
      </c>
      <c r="DT16" s="10">
        <f t="shared" si="267"/>
        <v>12.674877130672115</v>
      </c>
      <c r="DV16" s="211" t="s">
        <v>406</v>
      </c>
      <c r="DW16" s="7">
        <f>IF(DW10&lt;0,ABS(DW10)/DW15,0)</f>
        <v>9.7797982730037933</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2.2244094459584094</v>
      </c>
      <c r="BL17" s="16">
        <f t="shared" ref="BL17:CE17" si="268">BL15+BL16</f>
        <v>3.1125156268050862</v>
      </c>
      <c r="BM17" s="16">
        <f t="shared" si="268"/>
        <v>3.4917411296222669</v>
      </c>
      <c r="BN17" s="16">
        <f t="shared" si="268"/>
        <v>3.3909323713984705</v>
      </c>
      <c r="BO17" s="16">
        <f t="shared" si="268"/>
        <v>2.0157352953164116</v>
      </c>
      <c r="BP17" s="16">
        <f t="shared" si="268"/>
        <v>2.8072207269322913</v>
      </c>
      <c r="BQ17" s="16">
        <f t="shared" si="268"/>
        <v>2.2102482130896228</v>
      </c>
      <c r="BR17" s="16">
        <f t="shared" si="268"/>
        <v>2.6752845037379469</v>
      </c>
      <c r="BS17" s="16">
        <f t="shared" si="268"/>
        <v>3.2880266346499623</v>
      </c>
      <c r="BT17" s="16">
        <f t="shared" si="268"/>
        <v>3.6700637102756404</v>
      </c>
      <c r="BU17" s="16">
        <f t="shared" si="268"/>
        <v>10.470920190159742</v>
      </c>
      <c r="BV17" s="16">
        <f t="shared" si="268"/>
        <v>9.6356744289728127</v>
      </c>
      <c r="BW17" s="16">
        <f t="shared" si="268"/>
        <v>16.573648706642565</v>
      </c>
      <c r="BX17" s="16">
        <f t="shared" si="268"/>
        <v>17.655468124030087</v>
      </c>
      <c r="BY17" s="16">
        <f t="shared" si="268"/>
        <v>18.763183235461142</v>
      </c>
      <c r="BZ17" s="16">
        <f t="shared" si="268"/>
        <v>19.855823109006067</v>
      </c>
      <c r="CA17" s="16">
        <f t="shared" si="268"/>
        <v>24.471842792714611</v>
      </c>
      <c r="CB17" s="16">
        <f t="shared" si="268"/>
        <v>25.097216344493521</v>
      </c>
      <c r="CC17" s="16">
        <f t="shared" si="268"/>
        <v>10.52027236180991</v>
      </c>
      <c r="CD17" s="16">
        <f t="shared" si="268"/>
        <v>1.041593193758281E-2</v>
      </c>
      <c r="CE17" s="16">
        <f t="shared" si="268"/>
        <v>7.1809874640534052E-6</v>
      </c>
      <c r="CF17" s="11">
        <f t="shared" si="252"/>
        <v>181.9406500640016</v>
      </c>
      <c r="CG17" s="11">
        <f t="shared" si="253"/>
        <v>3.9625540538564117</v>
      </c>
      <c r="CH17" s="11">
        <f t="shared" si="254"/>
        <v>2.074882926128601</v>
      </c>
      <c r="CI17" s="11">
        <f t="shared" si="255"/>
        <v>116.3742290804404</v>
      </c>
      <c r="CJ17" s="11">
        <f t="shared" si="256"/>
        <v>79.955577720949165</v>
      </c>
      <c r="CK17" s="15">
        <f t="shared" si="257"/>
        <v>0.63962742267603867</v>
      </c>
      <c r="CL17" s="15">
        <f t="shared" si="258"/>
        <v>0.43945966826447547</v>
      </c>
      <c r="CM17" s="11">
        <f t="shared" si="259"/>
        <v>9.7084887390762731</v>
      </c>
      <c r="CO17" s="7" t="str">
        <f t="shared" si="26"/>
        <v>2045_3</v>
      </c>
      <c r="CP17" s="30">
        <f>CP16</f>
        <v>2045</v>
      </c>
      <c r="CQ17" s="5" t="s">
        <v>23</v>
      </c>
      <c r="CR17" s="16">
        <f>CR15+CR16</f>
        <v>6.6903937031813223</v>
      </c>
      <c r="CS17" s="16">
        <f>CS15+CS16</f>
        <v>8.0199645163272724</v>
      </c>
      <c r="CT17" s="16">
        <f t="shared" ref="CT17:DL17" si="269">CT15+CT16</f>
        <v>10.127005398059985</v>
      </c>
      <c r="CU17" s="16">
        <f t="shared" si="269"/>
        <v>7.0208405459524652</v>
      </c>
      <c r="CV17" s="16">
        <f t="shared" si="269"/>
        <v>3.3265295169644276</v>
      </c>
      <c r="CW17" s="16">
        <f t="shared" si="269"/>
        <v>7.3481694303212066</v>
      </c>
      <c r="CX17" s="16">
        <f t="shared" si="269"/>
        <v>6.0817419431196065</v>
      </c>
      <c r="CY17" s="16">
        <f t="shared" si="269"/>
        <v>5.5518431508795594</v>
      </c>
      <c r="CZ17" s="16">
        <f t="shared" si="269"/>
        <v>7.0263580512799706</v>
      </c>
      <c r="DA17" s="16">
        <f t="shared" si="269"/>
        <v>7.4995172498830751</v>
      </c>
      <c r="DB17" s="16">
        <f t="shared" si="269"/>
        <v>11.525675917284662</v>
      </c>
      <c r="DC17" s="16">
        <f t="shared" si="269"/>
        <v>10.664240388200902</v>
      </c>
      <c r="DD17" s="16">
        <f t="shared" si="269"/>
        <v>17.601921637863924</v>
      </c>
      <c r="DE17" s="16">
        <f t="shared" si="269"/>
        <v>17.655468124030087</v>
      </c>
      <c r="DF17" s="16">
        <f t="shared" si="269"/>
        <v>18.763183235461142</v>
      </c>
      <c r="DG17" s="16">
        <f t="shared" si="269"/>
        <v>19.855823109006067</v>
      </c>
      <c r="DH17" s="16">
        <f t="shared" si="269"/>
        <v>24.471842792714611</v>
      </c>
      <c r="DI17" s="16">
        <f t="shared" si="269"/>
        <v>25.097216344493521</v>
      </c>
      <c r="DJ17" s="16">
        <f t="shared" si="269"/>
        <v>10.52027236180991</v>
      </c>
      <c r="DK17" s="16">
        <f t="shared" si="269"/>
        <v>1.041593193758281E-2</v>
      </c>
      <c r="DL17" s="16">
        <f t="shared" si="269"/>
        <v>7.1809874640534052E-6</v>
      </c>
      <c r="DM17" s="11">
        <f t="shared" si="260"/>
        <v>224.85843052975872</v>
      </c>
      <c r="DN17" s="11">
        <f t="shared" si="261"/>
        <v>10.888181948632354</v>
      </c>
      <c r="DO17" s="11">
        <f t="shared" si="262"/>
        <v>5.4549702684144865</v>
      </c>
      <c r="DP17" s="11">
        <f t="shared" si="263"/>
        <v>116.3742290804404</v>
      </c>
      <c r="DQ17" s="11">
        <f t="shared" si="264"/>
        <v>79.955577720949165</v>
      </c>
      <c r="DR17" s="15">
        <f t="shared" si="265"/>
        <v>0.51754443365217273</v>
      </c>
      <c r="DS17" s="15">
        <f t="shared" si="266"/>
        <v>0.35558185446983942</v>
      </c>
      <c r="DT17" s="11">
        <f t="shared" si="267"/>
        <v>22.3082840412848</v>
      </c>
      <c r="DV17" s="62" t="s">
        <v>407</v>
      </c>
      <c r="DW17" s="7">
        <f>IF(DW9&gt;=0,0,IF(AND(DW10&lt;=0,DW9&lt;=0,DW16*2&gt;=ABS(DW9)),ROUND(DW16/3,0),ROUND(ABS(DW9)/6,0)))</f>
        <v>7</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0.82656673229446731</v>
      </c>
      <c r="BL18" s="9">
        <f>IF(管理者入力シート!$B$14=1,BK15*管理者用人口入力シート!AM$3,IF(管理者入力シート!$B$14=2,BK15*管理者用人口入力シート!AM$7))</f>
        <v>1.1601730319819574</v>
      </c>
      <c r="BM18" s="9">
        <f>IF(管理者入力シート!$B$14=1,BL15*管理者用人口入力シート!AN$3,IF(管理者入力シート!$B$14=2,BL15*管理者用人口入力シート!AN$7))</f>
        <v>1.369581643732348</v>
      </c>
      <c r="BN18" s="9">
        <f>IF(管理者入力シート!$B$14=1,BM15*管理者用人口入力シート!AO$3,IF(管理者入力シート!$B$14=2,BM15*管理者用人口入力シート!AO$7))</f>
        <v>0.88170937990839815</v>
      </c>
      <c r="BO18" s="9">
        <f>IF(管理者入力シート!$B$14=1,BN15*管理者用人口入力シート!AP$3,IF(管理者入力シート!$B$14=2,BN15*管理者用人口入力シート!AP$7))</f>
        <v>0.57722875289073916</v>
      </c>
      <c r="BP18" s="9">
        <f>IF(管理者入力シート!$B$14=1,BO15*管理者用人口入力シート!AQ$3,IF(管理者入力シート!$B$14=2,BO15*管理者用人口入力シート!AQ$7))</f>
        <v>0.57756786123298742</v>
      </c>
      <c r="BQ18" s="9">
        <f>IF(管理者入力シート!$B$14=1,BP15*管理者用人口入力シート!AR$3,IF(管理者入力シート!$B$14=2,BP15*管理者用人口入力シート!AR$7))</f>
        <v>0.7694832888898776</v>
      </c>
      <c r="BR18" s="9">
        <f>IF(管理者入力シート!$B$14=1,BQ15*管理者用人口入力シート!AS$3,IF(管理者入力シート!$B$14=2,BQ15*管理者用人口入力シート!AS$7))</f>
        <v>0.72874755209220754</v>
      </c>
      <c r="BS18" s="9">
        <f>IF(管理者入力シート!$B$14=1,BR15*管理者用人口入力シート!AT$3,IF(管理者入力シート!$B$14=2,BR15*管理者用人口入力シート!AT$7))</f>
        <v>1.0941356652340486</v>
      </c>
      <c r="BT18" s="9">
        <f>IF(管理者入力シート!$B$14=1,BS15*管理者用人口入力シート!AU$3,IF(管理者入力シート!$B$14=2,BS15*管理者用人口入力シート!AU$7))</f>
        <v>1.4504151679792487</v>
      </c>
      <c r="BU18" s="9">
        <f>IF(管理者入力シート!$B$14=1,BT15*管理者用人口入力シート!AV$3,IF(管理者入力シート!$B$14=2,BT15*管理者用人口入力シート!AV$7))</f>
        <v>1.1622533346592145</v>
      </c>
      <c r="BV18" s="9">
        <f>IF(管理者入力シート!$B$14=1,BU15*管理者用人口入力シート!AW$3,IF(管理者入力シート!$B$14=2,BU15*管理者用人口入力シート!AW$7))</f>
        <v>5.0555416112382368</v>
      </c>
      <c r="BW18" s="9">
        <f>IF(管理者入力シート!$B$14=1,BV15*管理者用人口入力シート!AX$3,IF(管理者入力シート!$B$14=2,BV15*管理者用人口入力シート!AX$7))</f>
        <v>6.6225603047216657</v>
      </c>
      <c r="BX18" s="9">
        <f>IF(管理者入力シート!$B$14=1,BW15*管理者用人口入力シート!AY$3,IF(管理者入力シート!$B$14=2,BW15*管理者用人口入力シート!AY$7))</f>
        <v>6.4108659818593488</v>
      </c>
      <c r="BY18" s="9">
        <f>IF(管理者入力シート!$B$14=1,BX15*管理者用人口入力シート!AZ$3,IF(管理者入力シート!$B$14=2,BX15*管理者用人口入力シート!AZ$7))</f>
        <v>9.3758268643390696</v>
      </c>
      <c r="BZ18" s="9">
        <f>IF(管理者入力シート!$B$14=1,BY15*管理者用人口入力シート!BA$3,IF(管理者入力シート!$B$14=2,BY15*管理者用人口入力シート!BA$7))</f>
        <v>7.5955585283747462</v>
      </c>
      <c r="CA18" s="9">
        <f>IF(管理者入力シート!$B$14=1,BZ15*管理者用人口入力シート!BB$3,IF(管理者入力シート!$B$14=2,BZ15*管理者用人口入力シート!BB$7))</f>
        <v>8.1127237751224026</v>
      </c>
      <c r="CB18" s="9">
        <f>IF(管理者入力シート!$B$14=1,CA15*管理者用人口入力シート!BC$3,IF(管理者入力シート!$B$14=2,CA15*管理者用人口入力シート!BC$7))</f>
        <v>6.8666693037519408</v>
      </c>
      <c r="CC18" s="9">
        <f>IF(管理者入力シート!$B$14=1,CB15*管理者用人口入力シート!BD$3,IF(管理者入力シート!$B$14=2,CB15*管理者用人口入力シート!BD$7))</f>
        <v>4.7399751473118537</v>
      </c>
      <c r="CD18" s="9">
        <f>IF(管理者入力シート!$B$14=1,CC15*管理者用人口入力シート!BE$3,IF(管理者入力シート!$B$14=2,CC15*管理者用人口入力シート!BE$7))</f>
        <v>5.6532982131138375E-3</v>
      </c>
      <c r="CE18" s="9">
        <f>IF(管理者入力シート!$B$14=1,CD15*管理者用人口入力シート!BF$3,IF(管理者入力シート!$B$14=2,CD15*管理者用人口入力シート!BF$7))</f>
        <v>5.6479995186481938E-6</v>
      </c>
      <c r="CF18" s="9">
        <f t="shared" si="252"/>
        <v>65.383242873827399</v>
      </c>
      <c r="CG18" s="9">
        <f t="shared" si="253"/>
        <v>1.5178528054285834</v>
      </c>
      <c r="CH18" s="9">
        <f t="shared" si="254"/>
        <v>0.7241745334746188</v>
      </c>
      <c r="CI18" s="9">
        <f t="shared" si="255"/>
        <v>43.10727854697199</v>
      </c>
      <c r="CJ18" s="9">
        <f t="shared" si="256"/>
        <v>27.320585700773577</v>
      </c>
      <c r="CK18" s="13">
        <f t="shared" si="257"/>
        <v>0.65930162916754975</v>
      </c>
      <c r="CL18" s="13">
        <f t="shared" si="258"/>
        <v>0.41785302318967538</v>
      </c>
      <c r="CM18" s="9">
        <f t="shared" si="259"/>
        <v>2.6530274551058115</v>
      </c>
      <c r="CO18" s="7" t="str">
        <f t="shared" si="26"/>
        <v>2050_1</v>
      </c>
      <c r="CP18" s="28">
        <f>管理者入力シート!B13</f>
        <v>2050</v>
      </c>
      <c r="CQ18" s="3" t="s">
        <v>21</v>
      </c>
      <c r="CR18" s="9">
        <f>DT19*$AK$13+将来予測シート②!$G17</f>
        <v>3.0609117740518479</v>
      </c>
      <c r="CS18" s="9">
        <f>IF(管理者入力シート!$B$14=1,CR15*管理者用人口入力シート!AM$3,IF(管理者入力シート!$B$14=2,CR15*管理者用人口入力シート!AM$7))+将来予測シート②!$G18</f>
        <v>3.6384903739803214</v>
      </c>
      <c r="CT18" s="9">
        <f>IF(管理者入力シート!$B$14=1,CS15*管理者用人口入力シート!AN$3,IF(管理者入力シート!$B$14=2,CS15*管理者用人口入力シート!AN$7))+将来予測シート②!$G19</f>
        <v>4.6731282892947288</v>
      </c>
      <c r="CU18" s="9">
        <f>IF(管理者入力シート!$B$14=1,CT15*管理者用人口入力シート!AO$3,IF(管理者入力シート!$B$14=2,CT15*管理者用人口入力シート!AO$7))+将来予測シート②!$G20</f>
        <v>2.6904295707867023</v>
      </c>
      <c r="CV18" s="9">
        <f>IF(管理者入力シート!$B$14=1,CU15*管理者用人口入力シート!AP$3,IF(管理者入力シート!$B$14=2,CU15*管理者用人口入力シート!AP$7))+将来予測シート②!$G21</f>
        <v>1.2564275631428796</v>
      </c>
      <c r="CW18" s="9">
        <f>IF(管理者入力シート!$B$14=1,CV15*管理者用人口入力シート!AQ$3,IF(管理者入力シート!$B$14=2,CV15*管理者用人口入力シート!AQ$7))+将来予測シート②!$G22</f>
        <v>3.0104620591708695</v>
      </c>
      <c r="CX18" s="9">
        <f>IF(管理者入力シート!$B$14=1,CW15*管理者用人口入力シート!AR$3,IF(管理者入力シート!$B$14=2,CW15*管理者用人口入力シート!AR$7))+将来予測シート②!$G23</f>
        <v>2.6255215310664521</v>
      </c>
      <c r="CY18" s="9">
        <f>IF(管理者入力シート!$B$14=1,CX15*管理者用人口入力シート!AS$3,IF(管理者入力シート!$B$14=2,CX15*管理者用人口入力シート!AS$7))+将来予測シート②!$G24</f>
        <v>2.2332338581606277</v>
      </c>
      <c r="CZ18" s="9">
        <f>IF(管理者入力シート!$B$14=1,CY15*管理者用人口入力シート!AT$3,IF(管理者入力シート!$B$14=2,CY15*管理者用人口入力シート!AT$7))+将来予測シート②!$G25</f>
        <v>2.338653717525323</v>
      </c>
      <c r="DA18" s="9">
        <f>IF(管理者入力シート!$B$14=1,CZ15*管理者用人口入力シート!AU$3,IF(管理者入力シート!$B$14=2,CZ15*管理者用人口入力シート!AU$7))+将来予測シート②!$G26</f>
        <v>2.7374506499037143</v>
      </c>
      <c r="DB18" s="9">
        <f>IF(管理者入力シート!$B$14=1,DA15*管理者用人口入力シート!AV$3,IF(管理者入力シート!$B$14=2,DA15*管理者用人口入力シート!AV$7))+将来予測シート②!$G27</f>
        <v>2.4636377202088937</v>
      </c>
      <c r="DC18" s="9">
        <f>IF(管理者入力シート!$B$14=1,DB15*管理者用人口入力シート!AW$3,IF(管理者入力シート!$B$14=2,DB15*管理者用人口入力シート!AW$7))+将来予測シート②!$G28</f>
        <v>5.0555416112382368</v>
      </c>
      <c r="DD18" s="9">
        <f>IF(管理者入力シート!$B$14=1,DC15*管理者用人口入力シート!AX$3,IF(管理者入力シート!$B$14=2,DC15*管理者用人口入力シート!AX$7))+将来予測シート②!$G29</f>
        <v>6.6225603047216657</v>
      </c>
      <c r="DE18" s="9">
        <f>IF(管理者入力シート!$B$14=1,DD15*管理者用人口入力シート!AY$3,IF(管理者入力シート!$B$14=2,DD15*管理者用人口入力シート!AY$7))</f>
        <v>6.4108659818593488</v>
      </c>
      <c r="DF18" s="9">
        <f>IF(管理者入力シート!$B$14=1,DE15*管理者用人口入力シート!AZ$3,IF(管理者入力シート!$B$14=2,DE15*管理者用人口入力シート!AZ$7))</f>
        <v>9.3758268643390696</v>
      </c>
      <c r="DG18" s="9">
        <f>IF(管理者入力シート!$B$14=1,DF15*管理者用人口入力シート!BA$3,IF(管理者入力シート!$B$14=2,DF15*管理者用人口入力シート!BA$7))</f>
        <v>7.5955585283747462</v>
      </c>
      <c r="DH18" s="9">
        <f>IF(管理者入力シート!$B$14=1,DG15*管理者用人口入力シート!BB$3,IF(管理者入力シート!$B$14=2,DG15*管理者用人口入力シート!BB$7))</f>
        <v>8.1127237751224026</v>
      </c>
      <c r="DI18" s="9">
        <f>IF(管理者入力シート!$B$14=1,DH15*管理者用人口入力シート!BC$3,IF(管理者入力シート!$B$14=2,DH15*管理者用人口入力シート!BC$7))</f>
        <v>6.8666693037519408</v>
      </c>
      <c r="DJ18" s="9">
        <f>IF(管理者入力シート!$B$14=1,DI15*管理者用人口入力シート!BD$3,IF(管理者入力シート!$B$14=2,DI15*管理者用人口入力シート!BD$7))</f>
        <v>4.7399751473118537</v>
      </c>
      <c r="DK18" s="9">
        <f>IF(管理者入力シート!$B$14=1,DJ15*管理者用人口入力シート!BE$3,IF(管理者入力シート!$B$14=2,DJ15*管理者用人口入力シート!BE$7))</f>
        <v>5.6532982131138375E-3</v>
      </c>
      <c r="DL18" s="9">
        <f>IF(管理者入力シート!$B$14=1,DK15*管理者用人口入力シート!BF$3,IF(管理者入力シート!$B$14=2,DK15*管理者用人口入力シート!BF$7))</f>
        <v>5.6479995186481938E-6</v>
      </c>
      <c r="DM18" s="9">
        <f t="shared" si="260"/>
        <v>85.513727570224248</v>
      </c>
      <c r="DN18" s="9">
        <f t="shared" si="261"/>
        <v>4.9869711979650297</v>
      </c>
      <c r="DO18" s="9">
        <f t="shared" si="262"/>
        <v>2.4073372298752318</v>
      </c>
      <c r="DP18" s="9">
        <f t="shared" si="263"/>
        <v>43.10727854697199</v>
      </c>
      <c r="DQ18" s="9">
        <f t="shared" si="264"/>
        <v>27.320585700773577</v>
      </c>
      <c r="DR18" s="13">
        <f t="shared" si="265"/>
        <v>0.50409776034581233</v>
      </c>
      <c r="DS18" s="13">
        <f t="shared" si="266"/>
        <v>0.3194877182536312</v>
      </c>
      <c r="DT18" s="9">
        <f t="shared" si="267"/>
        <v>9.1256450115408292</v>
      </c>
      <c r="DX18" s="309">
        <f>DX1</f>
        <v>7</v>
      </c>
      <c r="DY18" s="310"/>
      <c r="DZ18" s="313" t="s">
        <v>0</v>
      </c>
      <c r="EA18" s="313" t="s">
        <v>1</v>
      </c>
      <c r="EB18" s="313" t="s">
        <v>2</v>
      </c>
      <c r="EC18" s="313" t="s">
        <v>3</v>
      </c>
      <c r="ED18" s="313" t="s">
        <v>4</v>
      </c>
      <c r="EE18" s="313" t="s">
        <v>5</v>
      </c>
      <c r="EF18" s="313" t="s">
        <v>6</v>
      </c>
      <c r="EG18" s="313" t="s">
        <v>7</v>
      </c>
      <c r="EH18" s="313" t="s">
        <v>8</v>
      </c>
      <c r="EI18" s="313" t="s">
        <v>9</v>
      </c>
      <c r="EJ18" s="313" t="s">
        <v>10</v>
      </c>
      <c r="EK18" s="313" t="s">
        <v>11</v>
      </c>
      <c r="EL18" s="313" t="s">
        <v>12</v>
      </c>
      <c r="EM18" s="313" t="s">
        <v>13</v>
      </c>
      <c r="EN18" s="313" t="s">
        <v>14</v>
      </c>
      <c r="EO18" s="313" t="s">
        <v>15</v>
      </c>
      <c r="EP18" s="313" t="s">
        <v>16</v>
      </c>
      <c r="EQ18" s="313" t="s">
        <v>17</v>
      </c>
      <c r="ER18" s="313" t="s">
        <v>18</v>
      </c>
      <c r="ES18" s="313" t="s">
        <v>19</v>
      </c>
      <c r="ET18" s="313" t="s">
        <v>20</v>
      </c>
      <c r="EU18" s="313" t="s">
        <v>23</v>
      </c>
      <c r="EV18" s="314" t="s">
        <v>50</v>
      </c>
      <c r="EW18" s="314" t="s">
        <v>51</v>
      </c>
      <c r="EX18" s="315" t="s">
        <v>79</v>
      </c>
      <c r="EY18" s="315" t="s">
        <v>80</v>
      </c>
      <c r="EZ18" s="314" t="s">
        <v>48</v>
      </c>
      <c r="FA18" s="314" t="s">
        <v>49</v>
      </c>
      <c r="FB18" s="314"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1.0627286558071722</v>
      </c>
      <c r="BL19" s="10">
        <f>IF(管理者入力シート!$B$14=1,BK16*管理者用人口入力シート!AM$4,IF(管理者入力シート!$B$14=2,BK16*管理者用人口入力シート!AM$8))</f>
        <v>1.4346545004416065</v>
      </c>
      <c r="BM19" s="10">
        <f>IF(管理者入力シート!$B$14=1,BL16*管理者用人口入力シート!AN$4,IF(管理者入力シート!$B$14=2,BL16*管理者用人口入力シート!AN$8))</f>
        <v>1.6595245358713022</v>
      </c>
      <c r="BN19" s="10">
        <f>IF(管理者入力シート!$B$14=1,BM16*管理者用人口入力シート!AO$4,IF(管理者入力シート!$B$14=2,BM16*管理者用人口入力シート!AO$8))</f>
        <v>1.3054178880025515</v>
      </c>
      <c r="BO19" s="10">
        <f>IF(管理者入力シート!$B$14=1,BN16*管理者用人口入力シート!AP$4,IF(管理者入力シート!$B$14=2,BN16*管理者用人口入力シート!AP$8))</f>
        <v>1.1243900352034499</v>
      </c>
      <c r="BP19" s="10">
        <f>IF(管理者入力シート!$B$14=1,BO16*管理者用人口入力シート!AQ$4,IF(管理者入力シート!$B$14=2,BO16*管理者用人口入力シート!AQ$8))</f>
        <v>1.2007288267994269</v>
      </c>
      <c r="BQ19" s="10">
        <f>IF(管理者入力シート!$B$14=1,BP16*管理者用人口入力シート!AR$4,IF(管理者入力シート!$B$14=2,BP16*管理者用人口入力シート!AR$8))</f>
        <v>1.6313556958281972</v>
      </c>
      <c r="BR19" s="10">
        <f>IF(管理者入力シート!$B$14=1,BQ16*管理者用人口入力シート!AS$4,IF(管理者入力シート!$B$14=2,BQ16*管理者用人口入力シート!AS$8))</f>
        <v>1.1489789335233247</v>
      </c>
      <c r="BS19" s="10">
        <f>IF(管理者入力シート!$B$14=1,BR16*管理者用人口入力シート!AT$4,IF(管理者入力シート!$B$14=2,BR16*管理者用人口入力シート!AT$8))</f>
        <v>1.4582151399040129</v>
      </c>
      <c r="BT19" s="10">
        <f>IF(管理者入力シート!$B$14=1,BS16*管理者用人口入力シート!AU$4,IF(管理者入力シート!$B$14=2,BS16*管理者用人口入力シート!AU$8))</f>
        <v>1.9222752810855774</v>
      </c>
      <c r="BU19" s="10">
        <f>IF(管理者入力シート!$B$14=1,BT16*管理者用人口入力シート!AV$4,IF(管理者入力シート!$B$14=2,BT16*管理者用人口入力シート!AV$8))</f>
        <v>2.6078172634110293</v>
      </c>
      <c r="BV19" s="10">
        <f>IF(管理者入力シート!$B$14=1,BU16*管理者用人口入力シート!AW$4,IF(管理者入力シート!$B$14=2,BU16*管理者用人口入力シート!AW$8))</f>
        <v>5.4468375141435095</v>
      </c>
      <c r="BW19" s="10">
        <f>IF(管理者入力シート!$B$14=1,BV16*管理者用人口入力シート!AX$4,IF(管理者入力シート!$B$14=2,BV16*管理者用人口入力シート!AX$8))</f>
        <v>3.108403273022553</v>
      </c>
      <c r="BX19" s="10">
        <f>IF(管理者入力シート!$B$14=1,BW16*管理者用人口入力シート!AY$4,IF(管理者入力シート!$B$14=2,BW16*管理者用人口入力シート!AY$8))</f>
        <v>9.5224252567148913</v>
      </c>
      <c r="BY19" s="10">
        <f>IF(管理者入力シート!$B$14=1,BX16*管理者用人口入力シート!AZ$4,IF(管理者入力シート!$B$14=2,BX16*管理者用人口入力シート!AZ$8))</f>
        <v>6.9451065345599217</v>
      </c>
      <c r="BZ19" s="10">
        <f>IF(管理者入力シート!$B$14=1,BY16*管理者用人口入力シート!BA$4,IF(管理者入力シート!$B$14=2,BY16*管理者用人口入力シート!BA$8))</f>
        <v>9.014973168438873</v>
      </c>
      <c r="CA19" s="10">
        <f>IF(管理者入力シート!$B$14=1,BZ16*管理者用人口入力シート!BB$4,IF(管理者入力シート!$B$14=2,BZ16*管理者用人口入力シート!BB$8))</f>
        <v>8.5350190505980574</v>
      </c>
      <c r="CB19" s="10">
        <f>IF(管理者入力シート!$B$14=1,CA16*管理者用人口入力シート!BC$4,IF(管理者入力シート!$B$14=2,CA16*管理者用人口入力シート!BC$8))</f>
        <v>9.6999293621460794</v>
      </c>
      <c r="CC19" s="10">
        <f>IF(管理者入力シート!$B$14=1,CB16*管理者用人口入力シート!BD$4,IF(管理者入力シート!$B$14=2,CB16*管理者用人口入力シート!BD$8))</f>
        <v>5.4926099253200507</v>
      </c>
      <c r="CD19" s="10">
        <f>IF(管理者入力シート!$B$14=1,CC16*管理者用人口入力シート!BE$4,IF(管理者入力シート!$B$14=2,CC16*管理者用人口入力シート!BE$8))</f>
        <v>4.8669741486960733E-3</v>
      </c>
      <c r="CE19" s="10">
        <f>IF(管理者入力シート!$B$14=1,CD16*管理者用人口入力シート!BF$4,IF(管理者入力シート!$B$14=2,CD16*管理者用人口入力シート!BF$8))</f>
        <v>4.7679324189346172E-6</v>
      </c>
      <c r="CF19" s="10">
        <f t="shared" si="252"/>
        <v>74.326262582902714</v>
      </c>
      <c r="CG19" s="10">
        <f t="shared" si="253"/>
        <v>1.8565074217877453</v>
      </c>
      <c r="CH19" s="10">
        <f t="shared" si="254"/>
        <v>0.9248933919490312</v>
      </c>
      <c r="CI19" s="10">
        <f t="shared" si="255"/>
        <v>49.214935039858993</v>
      </c>
      <c r="CJ19" s="10">
        <f t="shared" si="256"/>
        <v>32.747403248584178</v>
      </c>
      <c r="CK19" s="14">
        <f t="shared" si="257"/>
        <v>0.66214731280165184</v>
      </c>
      <c r="CL19" s="14">
        <f t="shared" si="258"/>
        <v>0.44058993565105031</v>
      </c>
      <c r="CM19" s="10">
        <f t="shared" si="259"/>
        <v>5.1054534913543987</v>
      </c>
      <c r="CO19" s="7" t="str">
        <f t="shared" si="26"/>
        <v>2050_2</v>
      </c>
      <c r="CP19" s="29">
        <f>CP18</f>
        <v>2050</v>
      </c>
      <c r="CQ19" s="4" t="s">
        <v>22</v>
      </c>
      <c r="CR19" s="10">
        <f>DT19*$AK$14+将来予測シート②!$H17</f>
        <v>3.6497437094952327</v>
      </c>
      <c r="CS19" s="10">
        <f>IF(管理者入力シート!$B$14=1,CR16*管理者用人口入力シート!AM$4,IF(管理者入力シート!$B$14=2,CR16*管理者用人口入力シート!AM$8))+将来予測シート②!$H18</f>
        <v>4.1717100876578126</v>
      </c>
      <c r="CT19" s="10">
        <f>IF(管理者入力シート!$B$14=1,CS16*管理者用人口入力シート!AN$4,IF(管理者入力シート!$B$14=2,CS16*管理者用人口入力シート!AN$8))+将来予測シート②!$H19</f>
        <v>5.1348174413370753</v>
      </c>
      <c r="CU19" s="10">
        <f>IF(管理者入力シート!$B$14=1,CT16*管理者用人口入力シート!AO$4,IF(管理者入力シート!$B$14=2,CT16*管理者用人口入力シート!AO$8))+将来予測シート②!$H20</f>
        <v>3.62327719210113</v>
      </c>
      <c r="CV19" s="10">
        <f>IF(管理者入力シート!$B$14=1,CU16*管理者用人口入力シート!AP$4,IF(管理者入力シート!$B$14=2,CU16*管理者用人口入力シート!AP$8))+将来予測シート②!$H21</f>
        <v>2.2473845186922925</v>
      </c>
      <c r="CW19" s="10">
        <f>IF(管理者入力シート!$B$14=1,CV16*管理者用人口入力シート!AQ$4,IF(管理者入力シート!$B$14=2,CV16*管理者用人口入力シート!AQ$8))+将来予測シート②!$H22</f>
        <v>3.9203718174190576</v>
      </c>
      <c r="CX19" s="10">
        <f>IF(管理者入力シート!$B$14=1,CW16*管理者用人口入力シート!AR$4,IF(管理者入力シート!$B$14=2,CW16*管理者用人口入力シート!AR$8))+将来予測シート②!$H23</f>
        <v>3.6468111836816064</v>
      </c>
      <c r="CY19" s="10">
        <f>IF(管理者入力シート!$B$14=1,CX16*管理者用人口入力シート!AS$4,IF(管理者入力シート!$B$14=2,CX16*管理者用人口入力シート!AS$8))+将来予測シート②!$H24</f>
        <v>2.9150631332562815</v>
      </c>
      <c r="CZ19" s="10">
        <f>IF(管理者入力シート!$B$14=1,CY16*管理者用人口入力シート!AT$4,IF(管理者入力シート!$B$14=2,CY16*管理者用人口入力シート!AT$8))+将来予測シート②!$H25</f>
        <v>3.9520285042427461</v>
      </c>
      <c r="DA19" s="10">
        <f>IF(管理者入力シート!$B$14=1,CZ16*管理者用人口入力シート!AU$4,IF(管理者入力シート!$B$14=2,CZ16*管理者用人口入力シート!AU$8))+将来予測シート②!$H26</f>
        <v>4.4646933387685461</v>
      </c>
      <c r="DB19" s="10">
        <f>IF(管理者入力シート!$B$14=1,DA16*管理者用人口入力シート!AV$4,IF(管理者入力シート!$B$14=2,DA16*管理者用人口入力シート!AV$8))+将来予測シート②!$H27</f>
        <v>5.2381811918279739</v>
      </c>
      <c r="DC19" s="10">
        <f>IF(管理者入力シート!$B$14=1,DB16*管理者用人口入力シート!AW$4,IF(管理者入力シート!$B$14=2,DB16*管理者用人口入力シート!AW$8))+将来予測シート②!$H28</f>
        <v>6.4754034733715971</v>
      </c>
      <c r="DD19" s="10">
        <f>IF(管理者入力シート!$B$14=1,DC16*管理者用人口入力シート!AX$4,IF(管理者入力シート!$B$14=2,DC16*管理者用人口入力シート!AX$8))+将来予測シート②!$H29</f>
        <v>4.1366762042439147</v>
      </c>
      <c r="DE19" s="10">
        <f>IF(管理者入力シート!$B$14=1,DD16*管理者用人口入力シート!AY$4,IF(管理者入力シート!$B$14=2,DD16*管理者用人口入力シート!AY$8))</f>
        <v>10.498374028460958</v>
      </c>
      <c r="DF19" s="10">
        <f>IF(管理者入力シート!$B$14=1,DE16*管理者用人口入力シート!AZ$4,IF(管理者入力シート!$B$14=2,DE16*管理者用人口入力シート!AZ$8))</f>
        <v>6.9451065345599217</v>
      </c>
      <c r="DG19" s="10">
        <f>IF(管理者入力シート!$B$14=1,DF16*管理者用人口入力シート!BA$4,IF(管理者入力シート!$B$14=2,DF16*管理者用人口入力シート!BA$8))</f>
        <v>9.014973168438873</v>
      </c>
      <c r="DH19" s="10">
        <f>IF(管理者入力シート!$B$14=1,DG16*管理者用人口入力シート!BB$4,IF(管理者入力シート!$B$14=2,DG16*管理者用人口入力シート!BB$8))</f>
        <v>8.5350190505980574</v>
      </c>
      <c r="DI19" s="10">
        <f>IF(管理者入力シート!$B$14=1,DH16*管理者用人口入力シート!BC$4,IF(管理者入力シート!$B$14=2,DH16*管理者用人口入力シート!BC$8))</f>
        <v>9.6999293621460794</v>
      </c>
      <c r="DJ19" s="10">
        <f>IF(管理者入力シート!$B$14=1,DI16*管理者用人口入力シート!BD$4,IF(管理者入力シート!$B$14=2,DI16*管理者用人口入力シート!BD$8))</f>
        <v>5.4926099253200507</v>
      </c>
      <c r="DK19" s="10">
        <f>IF(管理者入力シート!$B$14=1,DJ16*管理者用人口入力シート!BE$4,IF(管理者入力シート!$B$14=2,DJ16*管理者用人口入力シート!BE$8))</f>
        <v>4.8669741486960733E-3</v>
      </c>
      <c r="DL19" s="10">
        <f>IF(管理者入力シート!$B$14=1,DK16*管理者用人口入力シート!BF$4,IF(管理者入力シート!$B$14=2,DK16*管理者用人口入力シート!BF$8))</f>
        <v>4.7679324189346172E-6</v>
      </c>
      <c r="DM19" s="10">
        <f t="shared" si="260"/>
        <v>103.76704560770033</v>
      </c>
      <c r="DN19" s="10">
        <f t="shared" si="261"/>
        <v>5.5839165173969327</v>
      </c>
      <c r="DO19" s="10">
        <f t="shared" si="262"/>
        <v>2.7785824149550562</v>
      </c>
      <c r="DP19" s="10">
        <f t="shared" si="263"/>
        <v>50.190883811605062</v>
      </c>
      <c r="DQ19" s="10">
        <f t="shared" si="264"/>
        <v>32.747403248584178</v>
      </c>
      <c r="DR19" s="14">
        <f t="shared" si="265"/>
        <v>0.48368808726959173</v>
      </c>
      <c r="DS19" s="14">
        <f t="shared" si="266"/>
        <v>0.31558577250419534</v>
      </c>
      <c r="DT19" s="10">
        <f t="shared" si="267"/>
        <v>12.729630653049238</v>
      </c>
      <c r="DX19" s="311"/>
      <c r="DY19" s="312"/>
      <c r="DZ19" s="313"/>
      <c r="EA19" s="313"/>
      <c r="EB19" s="313"/>
      <c r="EC19" s="313"/>
      <c r="ED19" s="313"/>
      <c r="EE19" s="313"/>
      <c r="EF19" s="313"/>
      <c r="EG19" s="313"/>
      <c r="EH19" s="313"/>
      <c r="EI19" s="313"/>
      <c r="EJ19" s="313"/>
      <c r="EK19" s="313"/>
      <c r="EL19" s="313"/>
      <c r="EM19" s="313"/>
      <c r="EN19" s="313"/>
      <c r="EO19" s="313"/>
      <c r="EP19" s="313"/>
      <c r="EQ19" s="313"/>
      <c r="ER19" s="313"/>
      <c r="ES19" s="313"/>
      <c r="ET19" s="313"/>
      <c r="EU19" s="313"/>
      <c r="EV19" s="314"/>
      <c r="EW19" s="314"/>
      <c r="EX19" s="316"/>
      <c r="EY19" s="316"/>
      <c r="EZ19" s="314"/>
      <c r="FA19" s="314"/>
      <c r="FB19" s="314"/>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1.8892953881016394</v>
      </c>
      <c r="BL20" s="16">
        <f t="shared" ref="BL20:CE20" si="276">BL18+BL19</f>
        <v>2.5948275324235639</v>
      </c>
      <c r="BM20" s="16">
        <f t="shared" si="276"/>
        <v>3.0291061796036503</v>
      </c>
      <c r="BN20" s="16">
        <f t="shared" si="276"/>
        <v>2.1871272679109497</v>
      </c>
      <c r="BO20" s="16">
        <f t="shared" si="276"/>
        <v>1.7016187880941891</v>
      </c>
      <c r="BP20" s="16">
        <f t="shared" si="276"/>
        <v>1.7782966880324143</v>
      </c>
      <c r="BQ20" s="16">
        <f t="shared" si="276"/>
        <v>2.4008389847180749</v>
      </c>
      <c r="BR20" s="16">
        <f t="shared" si="276"/>
        <v>1.8777264856155322</v>
      </c>
      <c r="BS20" s="16">
        <f t="shared" si="276"/>
        <v>2.5523508051380617</v>
      </c>
      <c r="BT20" s="16">
        <f t="shared" si="276"/>
        <v>3.3726904490648262</v>
      </c>
      <c r="BU20" s="16">
        <f t="shared" si="276"/>
        <v>3.7700705980702436</v>
      </c>
      <c r="BV20" s="16">
        <f t="shared" si="276"/>
        <v>10.502379125381747</v>
      </c>
      <c r="BW20" s="16">
        <f t="shared" si="276"/>
        <v>9.7309635777442196</v>
      </c>
      <c r="BX20" s="16">
        <f t="shared" si="276"/>
        <v>15.93329123857424</v>
      </c>
      <c r="BY20" s="16">
        <f t="shared" si="276"/>
        <v>16.32093339889899</v>
      </c>
      <c r="BZ20" s="16">
        <f t="shared" si="276"/>
        <v>16.61053169681362</v>
      </c>
      <c r="CA20" s="16">
        <f t="shared" si="276"/>
        <v>16.64774282572046</v>
      </c>
      <c r="CB20" s="16">
        <f t="shared" si="276"/>
        <v>16.56659866589802</v>
      </c>
      <c r="CC20" s="16">
        <f t="shared" si="276"/>
        <v>10.232585072631904</v>
      </c>
      <c r="CD20" s="16">
        <f t="shared" si="276"/>
        <v>1.0520272361809911E-2</v>
      </c>
      <c r="CE20" s="16">
        <f t="shared" si="276"/>
        <v>1.041593193758281E-5</v>
      </c>
      <c r="CF20" s="11">
        <f t="shared" si="252"/>
        <v>139.70950545673011</v>
      </c>
      <c r="CG20" s="11">
        <f t="shared" si="253"/>
        <v>3.3743602272163287</v>
      </c>
      <c r="CH20" s="11">
        <f t="shared" si="254"/>
        <v>1.64906792542365</v>
      </c>
      <c r="CI20" s="11">
        <f t="shared" si="255"/>
        <v>92.322213586830998</v>
      </c>
      <c r="CJ20" s="11">
        <f t="shared" si="256"/>
        <v>60.067988949357755</v>
      </c>
      <c r="CK20" s="15">
        <f t="shared" si="257"/>
        <v>0.66081554927144459</v>
      </c>
      <c r="CL20" s="15">
        <f t="shared" si="258"/>
        <v>0.42994919173886564</v>
      </c>
      <c r="CM20" s="11">
        <f t="shared" si="259"/>
        <v>7.7584809464602102</v>
      </c>
      <c r="CO20" s="7" t="str">
        <f t="shared" si="26"/>
        <v>2050_3</v>
      </c>
      <c r="CP20" s="30">
        <f>CP19</f>
        <v>2050</v>
      </c>
      <c r="CQ20" s="5" t="s">
        <v>23</v>
      </c>
      <c r="CR20" s="16">
        <f>CR18+CR19</f>
        <v>6.7106554835470806</v>
      </c>
      <c r="CS20" s="16">
        <f t="shared" ref="CS20:DL20" si="277">CS18+CS19</f>
        <v>7.810200461638134</v>
      </c>
      <c r="CT20" s="16">
        <f t="shared" si="277"/>
        <v>9.8079457306318041</v>
      </c>
      <c r="CU20" s="16">
        <f t="shared" si="277"/>
        <v>6.3137067628878327</v>
      </c>
      <c r="CV20" s="16">
        <f t="shared" si="277"/>
        <v>3.5038120818351723</v>
      </c>
      <c r="CW20" s="16">
        <f t="shared" si="277"/>
        <v>6.9308338765899276</v>
      </c>
      <c r="CX20" s="16">
        <f t="shared" si="277"/>
        <v>6.2723327147480585</v>
      </c>
      <c r="CY20" s="16">
        <f t="shared" si="277"/>
        <v>5.1482969914169097</v>
      </c>
      <c r="CZ20" s="16">
        <f t="shared" si="277"/>
        <v>6.2906822217680691</v>
      </c>
      <c r="DA20" s="16">
        <f t="shared" si="277"/>
        <v>7.20214398867226</v>
      </c>
      <c r="DB20" s="16">
        <f t="shared" si="277"/>
        <v>7.7018189120368676</v>
      </c>
      <c r="DC20" s="16">
        <f t="shared" si="277"/>
        <v>11.530945084609833</v>
      </c>
      <c r="DD20" s="16">
        <f t="shared" si="277"/>
        <v>10.75923650896558</v>
      </c>
      <c r="DE20" s="16">
        <f t="shared" si="277"/>
        <v>16.909240010320307</v>
      </c>
      <c r="DF20" s="16">
        <f t="shared" si="277"/>
        <v>16.32093339889899</v>
      </c>
      <c r="DG20" s="16">
        <f t="shared" si="277"/>
        <v>16.61053169681362</v>
      </c>
      <c r="DH20" s="16">
        <f t="shared" si="277"/>
        <v>16.64774282572046</v>
      </c>
      <c r="DI20" s="16">
        <f t="shared" si="277"/>
        <v>16.56659866589802</v>
      </c>
      <c r="DJ20" s="16">
        <f t="shared" si="277"/>
        <v>10.232585072631904</v>
      </c>
      <c r="DK20" s="16">
        <f t="shared" si="277"/>
        <v>1.0520272361809911E-2</v>
      </c>
      <c r="DL20" s="16">
        <f t="shared" si="277"/>
        <v>1.041593193758281E-5</v>
      </c>
      <c r="DM20" s="11">
        <f t="shared" si="260"/>
        <v>189.2807731779246</v>
      </c>
      <c r="DN20" s="11">
        <f t="shared" si="261"/>
        <v>10.570887715361962</v>
      </c>
      <c r="DO20" s="11">
        <f t="shared" si="262"/>
        <v>5.185919644830288</v>
      </c>
      <c r="DP20" s="11">
        <f t="shared" si="263"/>
        <v>93.298162358577059</v>
      </c>
      <c r="DQ20" s="11">
        <f t="shared" si="264"/>
        <v>60.067988949357755</v>
      </c>
      <c r="DR20" s="15">
        <f t="shared" si="265"/>
        <v>0.49290881895794275</v>
      </c>
      <c r="DS20" s="15">
        <f t="shared" si="266"/>
        <v>0.31734860303478174</v>
      </c>
      <c r="DT20" s="11">
        <f t="shared" si="267"/>
        <v>21.855275664590071</v>
      </c>
      <c r="DX20" s="28">
        <f>DX3</f>
        <v>2025</v>
      </c>
      <c r="DY20" s="3" t="s">
        <v>21</v>
      </c>
      <c r="DZ20" s="9">
        <f t="shared" ref="DZ20:ET20" si="278">ROUND(DZ3,0)</f>
        <v>2</v>
      </c>
      <c r="EA20" s="9">
        <f t="shared" si="278"/>
        <v>5</v>
      </c>
      <c r="EB20" s="9">
        <f t="shared" si="278"/>
        <v>5</v>
      </c>
      <c r="EC20" s="9">
        <f t="shared" si="278"/>
        <v>5</v>
      </c>
      <c r="ED20" s="9">
        <f t="shared" si="278"/>
        <v>3</v>
      </c>
      <c r="EE20" s="9">
        <f t="shared" si="278"/>
        <v>9</v>
      </c>
      <c r="EF20" s="9">
        <f t="shared" si="278"/>
        <v>13</v>
      </c>
      <c r="EG20" s="9">
        <f t="shared" si="278"/>
        <v>14</v>
      </c>
      <c r="EH20" s="9">
        <f t="shared" si="278"/>
        <v>6</v>
      </c>
      <c r="EI20" s="9">
        <f t="shared" si="278"/>
        <v>10</v>
      </c>
      <c r="EJ20" s="9">
        <f t="shared" si="278"/>
        <v>9</v>
      </c>
      <c r="EK20" s="9">
        <f t="shared" si="278"/>
        <v>13</v>
      </c>
      <c r="EL20" s="9">
        <f t="shared" si="278"/>
        <v>17</v>
      </c>
      <c r="EM20" s="9">
        <f t="shared" si="278"/>
        <v>26</v>
      </c>
      <c r="EN20" s="9">
        <f t="shared" si="278"/>
        <v>28</v>
      </c>
      <c r="EO20" s="9">
        <f t="shared" si="278"/>
        <v>25</v>
      </c>
      <c r="EP20" s="9">
        <f t="shared" si="278"/>
        <v>12</v>
      </c>
      <c r="EQ20" s="9">
        <f t="shared" si="278"/>
        <v>12</v>
      </c>
      <c r="ER20" s="9">
        <f t="shared" si="278"/>
        <v>5</v>
      </c>
      <c r="ES20" s="9">
        <f t="shared" si="278"/>
        <v>0</v>
      </c>
      <c r="ET20" s="9">
        <f t="shared" si="278"/>
        <v>0</v>
      </c>
      <c r="EU20" s="9">
        <f t="shared" ref="EU20:EU21" si="279">SUM(DZ20:ET20)</f>
        <v>219</v>
      </c>
      <c r="EV20" s="9">
        <f>EA20*3/5+EB20*3/5</f>
        <v>6</v>
      </c>
      <c r="EW20" s="9">
        <f>EB20*2/5+EC20*1/5</f>
        <v>3</v>
      </c>
      <c r="EX20" s="9">
        <f t="shared" ref="EX20:EX31" si="280">SUM(EM20:ET20)</f>
        <v>108</v>
      </c>
      <c r="EY20" s="9">
        <f>SUM(EO20:ET20)</f>
        <v>54</v>
      </c>
      <c r="EZ20" s="13">
        <f>EX20/EU20</f>
        <v>0.49315068493150682</v>
      </c>
      <c r="FA20" s="13">
        <f>EY20/EU20</f>
        <v>0.24657534246575341</v>
      </c>
      <c r="FB20" s="9">
        <f>SUM(ED20:EG20)</f>
        <v>39</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3</v>
      </c>
      <c r="EA21" s="10">
        <f t="shared" si="281"/>
        <v>6</v>
      </c>
      <c r="EB21" s="10">
        <f t="shared" si="281"/>
        <v>4</v>
      </c>
      <c r="EC21" s="10">
        <f t="shared" si="281"/>
        <v>4</v>
      </c>
      <c r="ED21" s="10">
        <f t="shared" si="281"/>
        <v>3</v>
      </c>
      <c r="EE21" s="10">
        <f t="shared" si="281"/>
        <v>10</v>
      </c>
      <c r="EF21" s="10">
        <f t="shared" si="281"/>
        <v>13</v>
      </c>
      <c r="EG21" s="10">
        <f t="shared" si="281"/>
        <v>10</v>
      </c>
      <c r="EH21" s="10">
        <f t="shared" si="281"/>
        <v>10</v>
      </c>
      <c r="EI21" s="10">
        <f t="shared" si="281"/>
        <v>8</v>
      </c>
      <c r="EJ21" s="10">
        <f t="shared" si="281"/>
        <v>12</v>
      </c>
      <c r="EK21" s="10">
        <f t="shared" si="281"/>
        <v>12</v>
      </c>
      <c r="EL21" s="10">
        <f t="shared" si="281"/>
        <v>20</v>
      </c>
      <c r="EM21" s="10">
        <f t="shared" si="281"/>
        <v>27</v>
      </c>
      <c r="EN21" s="10">
        <f t="shared" si="281"/>
        <v>23</v>
      </c>
      <c r="EO21" s="10">
        <f t="shared" si="281"/>
        <v>20</v>
      </c>
      <c r="EP21" s="10">
        <f t="shared" si="281"/>
        <v>14</v>
      </c>
      <c r="EQ21" s="10">
        <f t="shared" si="281"/>
        <v>12</v>
      </c>
      <c r="ER21" s="10">
        <f t="shared" si="281"/>
        <v>8</v>
      </c>
      <c r="ES21" s="10">
        <f t="shared" si="281"/>
        <v>0</v>
      </c>
      <c r="ET21" s="10">
        <f t="shared" si="281"/>
        <v>0</v>
      </c>
      <c r="EU21" s="10">
        <f t="shared" si="279"/>
        <v>219</v>
      </c>
      <c r="EV21" s="10">
        <f t="shared" ref="EV21:EV31" si="282">EA21*3/5+EB21*3/5</f>
        <v>6</v>
      </c>
      <c r="EW21" s="10">
        <f t="shared" ref="EW21:EW31" si="283">EB21*2/5+EC21*1/5</f>
        <v>2.4000000000000004</v>
      </c>
      <c r="EX21" s="10">
        <f t="shared" si="280"/>
        <v>104</v>
      </c>
      <c r="EY21" s="10">
        <f t="shared" ref="EY21:EY31" si="284">SUM(EO21:ET21)</f>
        <v>54</v>
      </c>
      <c r="EZ21" s="14">
        <f t="shared" ref="EZ21:EZ31" si="285">EX21/EU21</f>
        <v>0.47488584474885842</v>
      </c>
      <c r="FA21" s="14">
        <f t="shared" ref="FA21:FA31" si="286">EY21/EU21</f>
        <v>0.24657534246575341</v>
      </c>
      <c r="FB21" s="10">
        <f>SUM(ED21:EG21)</f>
        <v>36</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5</v>
      </c>
      <c r="EA22" s="16">
        <f t="shared" ref="EA22:ET22" si="287">EA20+EA21</f>
        <v>11</v>
      </c>
      <c r="EB22" s="16">
        <f t="shared" si="287"/>
        <v>9</v>
      </c>
      <c r="EC22" s="16">
        <f t="shared" si="287"/>
        <v>9</v>
      </c>
      <c r="ED22" s="16">
        <f t="shared" si="287"/>
        <v>6</v>
      </c>
      <c r="EE22" s="16">
        <f t="shared" si="287"/>
        <v>19</v>
      </c>
      <c r="EF22" s="16">
        <f t="shared" si="287"/>
        <v>26</v>
      </c>
      <c r="EG22" s="16">
        <f t="shared" si="287"/>
        <v>24</v>
      </c>
      <c r="EH22" s="16">
        <f t="shared" si="287"/>
        <v>16</v>
      </c>
      <c r="EI22" s="16">
        <f t="shared" si="287"/>
        <v>18</v>
      </c>
      <c r="EJ22" s="16">
        <f t="shared" si="287"/>
        <v>21</v>
      </c>
      <c r="EK22" s="16">
        <f t="shared" si="287"/>
        <v>25</v>
      </c>
      <c r="EL22" s="16">
        <f t="shared" si="287"/>
        <v>37</v>
      </c>
      <c r="EM22" s="16">
        <f t="shared" si="287"/>
        <v>53</v>
      </c>
      <c r="EN22" s="16">
        <f t="shared" si="287"/>
        <v>51</v>
      </c>
      <c r="EO22" s="16">
        <f t="shared" si="287"/>
        <v>45</v>
      </c>
      <c r="EP22" s="16">
        <f t="shared" si="287"/>
        <v>26</v>
      </c>
      <c r="EQ22" s="16">
        <f t="shared" si="287"/>
        <v>24</v>
      </c>
      <c r="ER22" s="16">
        <f t="shared" si="287"/>
        <v>13</v>
      </c>
      <c r="ES22" s="16">
        <f t="shared" si="287"/>
        <v>0</v>
      </c>
      <c r="ET22" s="16">
        <f t="shared" si="287"/>
        <v>0</v>
      </c>
      <c r="EU22" s="11">
        <f>SUM(DZ22:ET22)</f>
        <v>438</v>
      </c>
      <c r="EV22" s="11">
        <f t="shared" si="282"/>
        <v>12</v>
      </c>
      <c r="EW22" s="11">
        <f t="shared" si="283"/>
        <v>5.4</v>
      </c>
      <c r="EX22" s="11">
        <f t="shared" si="280"/>
        <v>212</v>
      </c>
      <c r="EY22" s="11">
        <f t="shared" si="284"/>
        <v>108</v>
      </c>
      <c r="EZ22" s="15">
        <f t="shared" si="285"/>
        <v>0.48401826484018262</v>
      </c>
      <c r="FA22" s="15">
        <f t="shared" si="286"/>
        <v>0.24657534246575341</v>
      </c>
      <c r="FB22" s="11">
        <f>SUM(ED22:EG22)</f>
        <v>75</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7</v>
      </c>
      <c r="EA23" s="9">
        <f t="shared" si="288"/>
        <v>3</v>
      </c>
      <c r="EB23" s="9">
        <f t="shared" si="288"/>
        <v>5</v>
      </c>
      <c r="EC23" s="9">
        <f t="shared" si="288"/>
        <v>3</v>
      </c>
      <c r="ED23" s="9">
        <f t="shared" si="288"/>
        <v>2</v>
      </c>
      <c r="EE23" s="9">
        <f t="shared" si="288"/>
        <v>9</v>
      </c>
      <c r="EF23" s="9">
        <f t="shared" si="288"/>
        <v>14</v>
      </c>
      <c r="EG23" s="9">
        <f t="shared" si="288"/>
        <v>18</v>
      </c>
      <c r="EH23" s="9">
        <f t="shared" si="288"/>
        <v>12</v>
      </c>
      <c r="EI23" s="9">
        <f t="shared" si="288"/>
        <v>6</v>
      </c>
      <c r="EJ23" s="9">
        <f t="shared" si="288"/>
        <v>10</v>
      </c>
      <c r="EK23" s="9">
        <f t="shared" si="288"/>
        <v>9</v>
      </c>
      <c r="EL23" s="9">
        <f t="shared" si="288"/>
        <v>13</v>
      </c>
      <c r="EM23" s="9">
        <f t="shared" si="288"/>
        <v>16</v>
      </c>
      <c r="EN23" s="9">
        <f t="shared" si="288"/>
        <v>24</v>
      </c>
      <c r="EO23" s="9">
        <f t="shared" si="288"/>
        <v>25</v>
      </c>
      <c r="EP23" s="9">
        <f t="shared" si="288"/>
        <v>20</v>
      </c>
      <c r="EQ23" s="9">
        <f t="shared" si="288"/>
        <v>8</v>
      </c>
      <c r="ER23" s="9">
        <f t="shared" si="288"/>
        <v>5</v>
      </c>
      <c r="ES23" s="9">
        <f t="shared" si="288"/>
        <v>0</v>
      </c>
      <c r="ET23" s="9">
        <f t="shared" si="288"/>
        <v>0</v>
      </c>
      <c r="EU23" s="9">
        <f t="shared" ref="EU23:EU31" si="289">SUM(DZ23:ET23)</f>
        <v>209</v>
      </c>
      <c r="EV23" s="9">
        <f t="shared" si="282"/>
        <v>4.8</v>
      </c>
      <c r="EW23" s="9">
        <f t="shared" si="283"/>
        <v>2.6</v>
      </c>
      <c r="EX23" s="9">
        <f t="shared" si="280"/>
        <v>98</v>
      </c>
      <c r="EY23" s="9">
        <f t="shared" si="284"/>
        <v>58</v>
      </c>
      <c r="EZ23" s="13">
        <f t="shared" si="285"/>
        <v>0.46889952153110048</v>
      </c>
      <c r="FA23" s="13">
        <f t="shared" si="286"/>
        <v>0.27751196172248804</v>
      </c>
      <c r="FB23" s="9">
        <f t="shared" ref="FB23:FB31" si="290">SUM(ED23:EG23)</f>
        <v>43</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10</v>
      </c>
      <c r="EA24" s="10">
        <f t="shared" si="291"/>
        <v>4</v>
      </c>
      <c r="EB24" s="10">
        <f t="shared" si="291"/>
        <v>6</v>
      </c>
      <c r="EC24" s="10">
        <f t="shared" si="291"/>
        <v>3</v>
      </c>
      <c r="ED24" s="10">
        <f t="shared" si="291"/>
        <v>2</v>
      </c>
      <c r="EE24" s="10">
        <f t="shared" si="291"/>
        <v>10</v>
      </c>
      <c r="EF24" s="10">
        <f t="shared" si="291"/>
        <v>16</v>
      </c>
      <c r="EG24" s="10">
        <f t="shared" si="291"/>
        <v>18</v>
      </c>
      <c r="EH24" s="10">
        <f t="shared" si="291"/>
        <v>10</v>
      </c>
      <c r="EI24" s="10">
        <f t="shared" si="291"/>
        <v>10</v>
      </c>
      <c r="EJ24" s="10">
        <f t="shared" si="291"/>
        <v>8</v>
      </c>
      <c r="EK24" s="10">
        <f t="shared" si="291"/>
        <v>11</v>
      </c>
      <c r="EL24" s="10">
        <f t="shared" si="291"/>
        <v>12</v>
      </c>
      <c r="EM24" s="10">
        <f t="shared" si="291"/>
        <v>19</v>
      </c>
      <c r="EN24" s="10">
        <f t="shared" si="291"/>
        <v>26</v>
      </c>
      <c r="EO24" s="10">
        <f t="shared" si="291"/>
        <v>20</v>
      </c>
      <c r="EP24" s="10">
        <f t="shared" si="291"/>
        <v>17</v>
      </c>
      <c r="EQ24" s="10">
        <f t="shared" si="291"/>
        <v>10</v>
      </c>
      <c r="ER24" s="10">
        <f t="shared" si="291"/>
        <v>5</v>
      </c>
      <c r="ES24" s="10">
        <f t="shared" si="291"/>
        <v>0</v>
      </c>
      <c r="ET24" s="10">
        <f t="shared" si="291"/>
        <v>0</v>
      </c>
      <c r="EU24" s="10">
        <f t="shared" si="289"/>
        <v>217</v>
      </c>
      <c r="EV24" s="10">
        <f t="shared" si="282"/>
        <v>6</v>
      </c>
      <c r="EW24" s="10">
        <f t="shared" si="283"/>
        <v>3</v>
      </c>
      <c r="EX24" s="10">
        <f t="shared" si="280"/>
        <v>97</v>
      </c>
      <c r="EY24" s="10">
        <f t="shared" si="284"/>
        <v>52</v>
      </c>
      <c r="EZ24" s="14">
        <f t="shared" si="285"/>
        <v>0.44700460829493088</v>
      </c>
      <c r="FA24" s="14">
        <f t="shared" si="286"/>
        <v>0.23963133640552994</v>
      </c>
      <c r="FB24" s="10">
        <f t="shared" si="290"/>
        <v>46</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17</v>
      </c>
      <c r="EA25" s="16">
        <f t="shared" ref="EA25:ET25" si="292">EA23+EA24</f>
        <v>7</v>
      </c>
      <c r="EB25" s="16">
        <f t="shared" si="292"/>
        <v>11</v>
      </c>
      <c r="EC25" s="16">
        <f t="shared" si="292"/>
        <v>6</v>
      </c>
      <c r="ED25" s="16">
        <f t="shared" si="292"/>
        <v>4</v>
      </c>
      <c r="EE25" s="16">
        <f t="shared" si="292"/>
        <v>19</v>
      </c>
      <c r="EF25" s="16">
        <f t="shared" si="292"/>
        <v>30</v>
      </c>
      <c r="EG25" s="16">
        <f t="shared" si="292"/>
        <v>36</v>
      </c>
      <c r="EH25" s="16">
        <f t="shared" si="292"/>
        <v>22</v>
      </c>
      <c r="EI25" s="16">
        <f t="shared" si="292"/>
        <v>16</v>
      </c>
      <c r="EJ25" s="16">
        <f t="shared" si="292"/>
        <v>18</v>
      </c>
      <c r="EK25" s="16">
        <f t="shared" si="292"/>
        <v>20</v>
      </c>
      <c r="EL25" s="16">
        <f t="shared" si="292"/>
        <v>25</v>
      </c>
      <c r="EM25" s="16">
        <f t="shared" si="292"/>
        <v>35</v>
      </c>
      <c r="EN25" s="16">
        <f t="shared" si="292"/>
        <v>50</v>
      </c>
      <c r="EO25" s="16">
        <f t="shared" si="292"/>
        <v>45</v>
      </c>
      <c r="EP25" s="16">
        <f t="shared" si="292"/>
        <v>37</v>
      </c>
      <c r="EQ25" s="16">
        <f t="shared" si="292"/>
        <v>18</v>
      </c>
      <c r="ER25" s="16">
        <f t="shared" si="292"/>
        <v>10</v>
      </c>
      <c r="ES25" s="16">
        <f t="shared" si="292"/>
        <v>0</v>
      </c>
      <c r="ET25" s="16">
        <f t="shared" si="292"/>
        <v>0</v>
      </c>
      <c r="EU25" s="11">
        <f t="shared" si="289"/>
        <v>426</v>
      </c>
      <c r="EV25" s="11">
        <f t="shared" si="282"/>
        <v>10.8</v>
      </c>
      <c r="EW25" s="11">
        <f t="shared" si="283"/>
        <v>5.6000000000000005</v>
      </c>
      <c r="EX25" s="11">
        <f t="shared" si="280"/>
        <v>195</v>
      </c>
      <c r="EY25" s="11">
        <f t="shared" si="284"/>
        <v>110</v>
      </c>
      <c r="EZ25" s="15">
        <f t="shared" si="285"/>
        <v>0.45774647887323944</v>
      </c>
      <c r="FA25" s="15">
        <f t="shared" si="286"/>
        <v>0.25821596244131456</v>
      </c>
      <c r="FB25" s="11">
        <f t="shared" si="290"/>
        <v>89</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8</v>
      </c>
      <c r="EA26" s="9">
        <f t="shared" si="293"/>
        <v>9</v>
      </c>
      <c r="EB26" s="9">
        <f t="shared" si="293"/>
        <v>3</v>
      </c>
      <c r="EC26" s="9">
        <f t="shared" si="293"/>
        <v>3</v>
      </c>
      <c r="ED26" s="9">
        <f t="shared" si="293"/>
        <v>1</v>
      </c>
      <c r="EE26" s="9">
        <f t="shared" si="293"/>
        <v>9</v>
      </c>
      <c r="EF26" s="9">
        <f t="shared" si="293"/>
        <v>15</v>
      </c>
      <c r="EG26" s="9">
        <f t="shared" si="293"/>
        <v>19</v>
      </c>
      <c r="EH26" s="9">
        <f t="shared" si="293"/>
        <v>16</v>
      </c>
      <c r="EI26" s="9">
        <f t="shared" si="293"/>
        <v>13</v>
      </c>
      <c r="EJ26" s="9">
        <f t="shared" si="293"/>
        <v>6</v>
      </c>
      <c r="EK26" s="9">
        <f t="shared" si="293"/>
        <v>10</v>
      </c>
      <c r="EL26" s="9">
        <f t="shared" si="293"/>
        <v>10</v>
      </c>
      <c r="EM26" s="9">
        <f t="shared" si="293"/>
        <v>12</v>
      </c>
      <c r="EN26" s="9">
        <f t="shared" si="293"/>
        <v>15</v>
      </c>
      <c r="EO26" s="9">
        <f t="shared" si="293"/>
        <v>21</v>
      </c>
      <c r="EP26" s="9">
        <f t="shared" si="293"/>
        <v>20</v>
      </c>
      <c r="EQ26" s="9">
        <f t="shared" si="293"/>
        <v>13</v>
      </c>
      <c r="ER26" s="9">
        <f t="shared" si="293"/>
        <v>3</v>
      </c>
      <c r="ES26" s="9">
        <f t="shared" si="293"/>
        <v>0</v>
      </c>
      <c r="ET26" s="9">
        <f t="shared" si="293"/>
        <v>0</v>
      </c>
      <c r="EU26" s="9">
        <f t="shared" si="289"/>
        <v>206</v>
      </c>
      <c r="EV26" s="9">
        <f t="shared" si="282"/>
        <v>7.2</v>
      </c>
      <c r="EW26" s="9">
        <f t="shared" si="283"/>
        <v>1.7999999999999998</v>
      </c>
      <c r="EX26" s="9">
        <f t="shared" si="280"/>
        <v>84</v>
      </c>
      <c r="EY26" s="9">
        <f t="shared" si="284"/>
        <v>57</v>
      </c>
      <c r="EZ26" s="13">
        <f t="shared" si="285"/>
        <v>0.40776699029126212</v>
      </c>
      <c r="FA26" s="13">
        <f t="shared" si="286"/>
        <v>0.27669902912621358</v>
      </c>
      <c r="FB26" s="9">
        <f t="shared" si="290"/>
        <v>44</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10</v>
      </c>
      <c r="EA27" s="10">
        <f t="shared" si="294"/>
        <v>11</v>
      </c>
      <c r="EB27" s="10">
        <f t="shared" si="294"/>
        <v>4</v>
      </c>
      <c r="EC27" s="10">
        <f t="shared" si="294"/>
        <v>4</v>
      </c>
      <c r="ED27" s="10">
        <f t="shared" si="294"/>
        <v>2</v>
      </c>
      <c r="EE27" s="10">
        <f t="shared" si="294"/>
        <v>9</v>
      </c>
      <c r="EF27" s="10">
        <f t="shared" si="294"/>
        <v>15</v>
      </c>
      <c r="EG27" s="10">
        <f t="shared" si="294"/>
        <v>21</v>
      </c>
      <c r="EH27" s="10">
        <f t="shared" si="294"/>
        <v>18</v>
      </c>
      <c r="EI27" s="10">
        <f t="shared" si="294"/>
        <v>10</v>
      </c>
      <c r="EJ27" s="10">
        <f t="shared" si="294"/>
        <v>10</v>
      </c>
      <c r="EK27" s="10">
        <f t="shared" si="294"/>
        <v>8</v>
      </c>
      <c r="EL27" s="10">
        <f t="shared" si="294"/>
        <v>11</v>
      </c>
      <c r="EM27" s="10">
        <f t="shared" si="294"/>
        <v>12</v>
      </c>
      <c r="EN27" s="10">
        <f t="shared" si="294"/>
        <v>18</v>
      </c>
      <c r="EO27" s="10">
        <f t="shared" si="294"/>
        <v>23</v>
      </c>
      <c r="EP27" s="10">
        <f t="shared" si="294"/>
        <v>18</v>
      </c>
      <c r="EQ27" s="10">
        <f t="shared" si="294"/>
        <v>12</v>
      </c>
      <c r="ER27" s="10">
        <f t="shared" si="294"/>
        <v>4</v>
      </c>
      <c r="ES27" s="10">
        <f t="shared" si="294"/>
        <v>0</v>
      </c>
      <c r="ET27" s="10">
        <f t="shared" si="294"/>
        <v>0</v>
      </c>
      <c r="EU27" s="10">
        <f t="shared" si="289"/>
        <v>220</v>
      </c>
      <c r="EV27" s="10">
        <f t="shared" si="282"/>
        <v>9</v>
      </c>
      <c r="EW27" s="10">
        <f t="shared" si="283"/>
        <v>2.4000000000000004</v>
      </c>
      <c r="EX27" s="10">
        <f t="shared" si="280"/>
        <v>87</v>
      </c>
      <c r="EY27" s="10">
        <f t="shared" si="284"/>
        <v>57</v>
      </c>
      <c r="EZ27" s="14">
        <f t="shared" si="285"/>
        <v>0.39545454545454545</v>
      </c>
      <c r="FA27" s="14">
        <f t="shared" si="286"/>
        <v>0.25909090909090909</v>
      </c>
      <c r="FB27" s="10">
        <f t="shared" si="290"/>
        <v>47</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18</v>
      </c>
      <c r="EA28" s="16">
        <f t="shared" ref="EA28:ET28" si="295">EA26+EA27</f>
        <v>20</v>
      </c>
      <c r="EB28" s="16">
        <f t="shared" si="295"/>
        <v>7</v>
      </c>
      <c r="EC28" s="16">
        <f t="shared" si="295"/>
        <v>7</v>
      </c>
      <c r="ED28" s="16">
        <f t="shared" si="295"/>
        <v>3</v>
      </c>
      <c r="EE28" s="16">
        <f t="shared" si="295"/>
        <v>18</v>
      </c>
      <c r="EF28" s="16">
        <f t="shared" si="295"/>
        <v>30</v>
      </c>
      <c r="EG28" s="16">
        <f t="shared" si="295"/>
        <v>40</v>
      </c>
      <c r="EH28" s="16">
        <f t="shared" si="295"/>
        <v>34</v>
      </c>
      <c r="EI28" s="16">
        <f t="shared" si="295"/>
        <v>23</v>
      </c>
      <c r="EJ28" s="16">
        <f t="shared" si="295"/>
        <v>16</v>
      </c>
      <c r="EK28" s="16">
        <f t="shared" si="295"/>
        <v>18</v>
      </c>
      <c r="EL28" s="16">
        <f t="shared" si="295"/>
        <v>21</v>
      </c>
      <c r="EM28" s="16">
        <f t="shared" si="295"/>
        <v>24</v>
      </c>
      <c r="EN28" s="16">
        <f t="shared" si="295"/>
        <v>33</v>
      </c>
      <c r="EO28" s="16">
        <f t="shared" si="295"/>
        <v>44</v>
      </c>
      <c r="EP28" s="16">
        <f t="shared" si="295"/>
        <v>38</v>
      </c>
      <c r="EQ28" s="16">
        <f t="shared" si="295"/>
        <v>25</v>
      </c>
      <c r="ER28" s="16">
        <f t="shared" si="295"/>
        <v>7</v>
      </c>
      <c r="ES28" s="16">
        <f t="shared" si="295"/>
        <v>0</v>
      </c>
      <c r="ET28" s="16">
        <f t="shared" si="295"/>
        <v>0</v>
      </c>
      <c r="EU28" s="11">
        <f t="shared" si="289"/>
        <v>426</v>
      </c>
      <c r="EV28" s="11">
        <f t="shared" si="282"/>
        <v>16.2</v>
      </c>
      <c r="EW28" s="11">
        <f t="shared" si="283"/>
        <v>4.1999999999999993</v>
      </c>
      <c r="EX28" s="11">
        <f t="shared" si="280"/>
        <v>171</v>
      </c>
      <c r="EY28" s="11">
        <f t="shared" si="284"/>
        <v>114</v>
      </c>
      <c r="EZ28" s="15">
        <f t="shared" si="285"/>
        <v>0.40140845070422537</v>
      </c>
      <c r="FA28" s="15">
        <f t="shared" si="286"/>
        <v>0.26760563380281688</v>
      </c>
      <c r="FB28" s="11">
        <f t="shared" si="290"/>
        <v>91</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7</v>
      </c>
      <c r="EA29" s="9">
        <f t="shared" si="296"/>
        <v>9</v>
      </c>
      <c r="EB29" s="9">
        <f t="shared" si="296"/>
        <v>9</v>
      </c>
      <c r="EC29" s="9">
        <f t="shared" si="296"/>
        <v>2</v>
      </c>
      <c r="ED29" s="9">
        <f t="shared" si="296"/>
        <v>1</v>
      </c>
      <c r="EE29" s="9">
        <f t="shared" si="296"/>
        <v>8</v>
      </c>
      <c r="EF29" s="9">
        <f t="shared" si="296"/>
        <v>14</v>
      </c>
      <c r="EG29" s="9">
        <f t="shared" si="296"/>
        <v>19</v>
      </c>
      <c r="EH29" s="9">
        <f t="shared" si="296"/>
        <v>17</v>
      </c>
      <c r="EI29" s="9">
        <f t="shared" si="296"/>
        <v>17</v>
      </c>
      <c r="EJ29" s="9">
        <f t="shared" si="296"/>
        <v>13</v>
      </c>
      <c r="EK29" s="9">
        <f t="shared" si="296"/>
        <v>6</v>
      </c>
      <c r="EL29" s="9">
        <f t="shared" si="296"/>
        <v>11</v>
      </c>
      <c r="EM29" s="9">
        <f t="shared" si="296"/>
        <v>9</v>
      </c>
      <c r="EN29" s="9">
        <f t="shared" si="296"/>
        <v>11</v>
      </c>
      <c r="EO29" s="9">
        <f t="shared" si="296"/>
        <v>13</v>
      </c>
      <c r="EP29" s="9">
        <f t="shared" si="296"/>
        <v>17</v>
      </c>
      <c r="EQ29" s="9">
        <f t="shared" si="296"/>
        <v>13</v>
      </c>
      <c r="ER29" s="9">
        <f t="shared" si="296"/>
        <v>6</v>
      </c>
      <c r="ES29" s="9">
        <f t="shared" si="296"/>
        <v>0</v>
      </c>
      <c r="ET29" s="9">
        <f t="shared" si="296"/>
        <v>0</v>
      </c>
      <c r="EU29" s="9">
        <f t="shared" si="289"/>
        <v>202</v>
      </c>
      <c r="EV29" s="9">
        <f t="shared" si="282"/>
        <v>10.8</v>
      </c>
      <c r="EW29" s="9">
        <f t="shared" si="283"/>
        <v>4</v>
      </c>
      <c r="EX29" s="9">
        <f t="shared" si="280"/>
        <v>69</v>
      </c>
      <c r="EY29" s="9">
        <f t="shared" si="284"/>
        <v>49</v>
      </c>
      <c r="EZ29" s="13">
        <f t="shared" si="285"/>
        <v>0.34158415841584161</v>
      </c>
      <c r="FA29" s="13">
        <f t="shared" si="286"/>
        <v>0.24257425742574257</v>
      </c>
      <c r="FB29" s="9">
        <f t="shared" si="290"/>
        <v>42</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10</v>
      </c>
      <c r="EA30" s="10">
        <f t="shared" si="297"/>
        <v>11</v>
      </c>
      <c r="EB30" s="10">
        <f t="shared" si="297"/>
        <v>11</v>
      </c>
      <c r="EC30" s="10">
        <f t="shared" si="297"/>
        <v>2</v>
      </c>
      <c r="ED30" s="10">
        <f t="shared" si="297"/>
        <v>2</v>
      </c>
      <c r="EE30" s="10">
        <f t="shared" si="297"/>
        <v>9</v>
      </c>
      <c r="EF30" s="10">
        <f t="shared" si="297"/>
        <v>15</v>
      </c>
      <c r="EG30" s="10">
        <f t="shared" si="297"/>
        <v>20</v>
      </c>
      <c r="EH30" s="10">
        <f t="shared" si="297"/>
        <v>21</v>
      </c>
      <c r="EI30" s="10">
        <f t="shared" si="297"/>
        <v>19</v>
      </c>
      <c r="EJ30" s="10">
        <f t="shared" si="297"/>
        <v>11</v>
      </c>
      <c r="EK30" s="10">
        <f t="shared" si="297"/>
        <v>10</v>
      </c>
      <c r="EL30" s="10">
        <f t="shared" si="297"/>
        <v>8</v>
      </c>
      <c r="EM30" s="10">
        <f t="shared" si="297"/>
        <v>11</v>
      </c>
      <c r="EN30" s="10">
        <f t="shared" si="297"/>
        <v>11</v>
      </c>
      <c r="EO30" s="10">
        <f t="shared" si="297"/>
        <v>16</v>
      </c>
      <c r="EP30" s="10">
        <f t="shared" si="297"/>
        <v>20</v>
      </c>
      <c r="EQ30" s="10">
        <f t="shared" si="297"/>
        <v>12</v>
      </c>
      <c r="ER30" s="10">
        <f t="shared" si="297"/>
        <v>5</v>
      </c>
      <c r="ES30" s="10">
        <f t="shared" si="297"/>
        <v>0</v>
      </c>
      <c r="ET30" s="10">
        <f t="shared" si="297"/>
        <v>0</v>
      </c>
      <c r="EU30" s="10">
        <f t="shared" si="289"/>
        <v>224</v>
      </c>
      <c r="EV30" s="10">
        <f t="shared" si="282"/>
        <v>13.2</v>
      </c>
      <c r="EW30" s="10">
        <f t="shared" si="283"/>
        <v>4.8000000000000007</v>
      </c>
      <c r="EX30" s="10">
        <f t="shared" si="280"/>
        <v>75</v>
      </c>
      <c r="EY30" s="10">
        <f t="shared" si="284"/>
        <v>53</v>
      </c>
      <c r="EZ30" s="14">
        <f t="shared" si="285"/>
        <v>0.33482142857142855</v>
      </c>
      <c r="FA30" s="14">
        <f t="shared" si="286"/>
        <v>0.23660714285714285</v>
      </c>
      <c r="FB30" s="10">
        <f t="shared" si="290"/>
        <v>46</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17</v>
      </c>
      <c r="EA31" s="16">
        <f t="shared" ref="EA31:ET31" si="298">EA29+EA30</f>
        <v>20</v>
      </c>
      <c r="EB31" s="16">
        <f t="shared" si="298"/>
        <v>20</v>
      </c>
      <c r="EC31" s="16">
        <f t="shared" si="298"/>
        <v>4</v>
      </c>
      <c r="ED31" s="16">
        <f t="shared" si="298"/>
        <v>3</v>
      </c>
      <c r="EE31" s="16">
        <f t="shared" si="298"/>
        <v>17</v>
      </c>
      <c r="EF31" s="16">
        <f t="shared" si="298"/>
        <v>29</v>
      </c>
      <c r="EG31" s="16">
        <f t="shared" si="298"/>
        <v>39</v>
      </c>
      <c r="EH31" s="16">
        <f t="shared" si="298"/>
        <v>38</v>
      </c>
      <c r="EI31" s="16">
        <f t="shared" si="298"/>
        <v>36</v>
      </c>
      <c r="EJ31" s="16">
        <f t="shared" si="298"/>
        <v>24</v>
      </c>
      <c r="EK31" s="16">
        <f t="shared" si="298"/>
        <v>16</v>
      </c>
      <c r="EL31" s="16">
        <f t="shared" si="298"/>
        <v>19</v>
      </c>
      <c r="EM31" s="16">
        <f t="shared" si="298"/>
        <v>20</v>
      </c>
      <c r="EN31" s="16">
        <f t="shared" si="298"/>
        <v>22</v>
      </c>
      <c r="EO31" s="16">
        <f t="shared" si="298"/>
        <v>29</v>
      </c>
      <c r="EP31" s="16">
        <f t="shared" si="298"/>
        <v>37</v>
      </c>
      <c r="EQ31" s="16">
        <f t="shared" si="298"/>
        <v>25</v>
      </c>
      <c r="ER31" s="16">
        <f t="shared" si="298"/>
        <v>11</v>
      </c>
      <c r="ES31" s="16">
        <f t="shared" si="298"/>
        <v>0</v>
      </c>
      <c r="ET31" s="16">
        <f t="shared" si="298"/>
        <v>0</v>
      </c>
      <c r="EU31" s="11">
        <f t="shared" si="289"/>
        <v>426</v>
      </c>
      <c r="EV31" s="11">
        <f t="shared" si="282"/>
        <v>24</v>
      </c>
      <c r="EW31" s="11">
        <f t="shared" si="283"/>
        <v>8.8000000000000007</v>
      </c>
      <c r="EX31" s="11">
        <f t="shared" si="280"/>
        <v>144</v>
      </c>
      <c r="EY31" s="11">
        <f t="shared" si="284"/>
        <v>102</v>
      </c>
      <c r="EZ31" s="15">
        <f t="shared" si="285"/>
        <v>0.3380281690140845</v>
      </c>
      <c r="FA31" s="15">
        <f t="shared" si="286"/>
        <v>0.23943661971830985</v>
      </c>
      <c r="FB31" s="11">
        <f t="shared" si="290"/>
        <v>88</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306</v>
      </c>
      <c r="D4" s="17">
        <f>SUM(C41:C61)</f>
        <v>311</v>
      </c>
      <c r="E4" s="17">
        <f>C4+D4</f>
        <v>617</v>
      </c>
      <c r="F4" s="85"/>
      <c r="G4" s="1" t="s">
        <v>58</v>
      </c>
      <c r="H4" s="1">
        <f>B4</f>
        <v>2010</v>
      </c>
      <c r="I4" s="17">
        <f>C4</f>
        <v>306</v>
      </c>
      <c r="J4" s="17">
        <f>D4</f>
        <v>311</v>
      </c>
      <c r="K4" s="17">
        <f>I4+J4</f>
        <v>617</v>
      </c>
      <c r="N4" s="1" t="s">
        <v>58</v>
      </c>
      <c r="O4" s="1">
        <f>H4</f>
        <v>2010</v>
      </c>
      <c r="P4" s="17">
        <f>I4</f>
        <v>306</v>
      </c>
      <c r="Q4" s="17">
        <f t="shared" ref="Q4:R4" si="0">J4</f>
        <v>311</v>
      </c>
      <c r="R4" s="17">
        <f t="shared" si="0"/>
        <v>617</v>
      </c>
      <c r="S4" s="1"/>
      <c r="T4" s="1"/>
      <c r="U4" s="1"/>
    </row>
    <row r="5" spans="1:21" x14ac:dyDescent="0.15">
      <c r="A5" s="1" t="s">
        <v>61</v>
      </c>
      <c r="B5" s="1">
        <f>管理者入力シート!B6</f>
        <v>2015</v>
      </c>
      <c r="C5" s="17">
        <f>SUM(B65:B85)</f>
        <v>271</v>
      </c>
      <c r="D5" s="17">
        <f>SUM(C65:C85)</f>
        <v>268</v>
      </c>
      <c r="E5" s="17">
        <f t="shared" ref="E5" si="1">C5+D5</f>
        <v>539</v>
      </c>
      <c r="F5" s="85"/>
      <c r="G5" s="1" t="s">
        <v>57</v>
      </c>
      <c r="H5" s="1">
        <f t="shared" ref="H5:H6" si="2">B5</f>
        <v>2015</v>
      </c>
      <c r="I5" s="17">
        <f t="shared" ref="I5" si="3">C5</f>
        <v>271</v>
      </c>
      <c r="J5" s="17">
        <f>D5</f>
        <v>268</v>
      </c>
      <c r="K5" s="17">
        <f t="shared" ref="K5:K10" si="4">I5+J5</f>
        <v>539</v>
      </c>
      <c r="N5" s="1" t="s">
        <v>57</v>
      </c>
      <c r="O5" s="1">
        <f t="shared" ref="O5:O10" si="5">H5</f>
        <v>2015</v>
      </c>
      <c r="P5" s="17">
        <f t="shared" ref="P5:P10" si="6">I5</f>
        <v>271</v>
      </c>
      <c r="Q5" s="17">
        <f t="shared" ref="Q5:Q10" si="7">J5</f>
        <v>268</v>
      </c>
      <c r="R5" s="17">
        <f t="shared" ref="R5:R10" si="8">K5</f>
        <v>539</v>
      </c>
      <c r="S5" s="1"/>
      <c r="T5" s="1"/>
      <c r="U5" s="1"/>
    </row>
    <row r="6" spans="1:21" x14ac:dyDescent="0.15">
      <c r="A6" s="1" t="s">
        <v>62</v>
      </c>
      <c r="B6" s="1">
        <f>管理者入力シート!B5</f>
        <v>2020</v>
      </c>
      <c r="C6" s="17">
        <f>SUM(B89:B109)</f>
        <v>239</v>
      </c>
      <c r="D6" s="17">
        <f>SUM(C89:C109)</f>
        <v>235</v>
      </c>
      <c r="E6" s="17">
        <f>C6+D6</f>
        <v>474</v>
      </c>
      <c r="F6" s="85"/>
      <c r="G6" s="1" t="s">
        <v>62</v>
      </c>
      <c r="H6" s="1">
        <f t="shared" si="2"/>
        <v>2020</v>
      </c>
      <c r="I6" s="17">
        <f>C6</f>
        <v>239</v>
      </c>
      <c r="J6" s="17">
        <f>D6</f>
        <v>235</v>
      </c>
      <c r="K6" s="17">
        <f t="shared" si="4"/>
        <v>474</v>
      </c>
      <c r="N6" s="1" t="s">
        <v>62</v>
      </c>
      <c r="O6" s="1">
        <f t="shared" si="5"/>
        <v>2020</v>
      </c>
      <c r="P6" s="17">
        <f t="shared" si="6"/>
        <v>239</v>
      </c>
      <c r="Q6" s="17">
        <f t="shared" si="7"/>
        <v>235</v>
      </c>
      <c r="R6" s="17">
        <f t="shared" si="8"/>
        <v>474</v>
      </c>
      <c r="S6" s="1"/>
      <c r="T6" s="1"/>
      <c r="U6" s="1"/>
    </row>
    <row r="7" spans="1:21" x14ac:dyDescent="0.15">
      <c r="G7" s="1" t="s">
        <v>106</v>
      </c>
      <c r="H7" s="1">
        <f>管理者入力シート!B8</f>
        <v>2025</v>
      </c>
      <c r="I7" s="17">
        <f>SUM(H69:H89)</f>
        <v>198</v>
      </c>
      <c r="J7" s="17">
        <f>SUM(I69:I89)</f>
        <v>198</v>
      </c>
      <c r="K7" s="17">
        <f t="shared" si="4"/>
        <v>396</v>
      </c>
      <c r="N7" s="1" t="s">
        <v>106</v>
      </c>
      <c r="O7" s="1">
        <f t="shared" si="5"/>
        <v>2025</v>
      </c>
      <c r="P7" s="17">
        <f t="shared" si="6"/>
        <v>198</v>
      </c>
      <c r="Q7" s="17">
        <f t="shared" si="7"/>
        <v>198</v>
      </c>
      <c r="R7" s="17">
        <f t="shared" si="8"/>
        <v>396</v>
      </c>
      <c r="S7" s="235">
        <f>SUM(O69:O89)</f>
        <v>202</v>
      </c>
      <c r="T7" s="235">
        <f>SUM(P69:P89)</f>
        <v>203</v>
      </c>
      <c r="U7" s="235">
        <f>S7+T7</f>
        <v>405</v>
      </c>
    </row>
    <row r="8" spans="1:21" x14ac:dyDescent="0.15">
      <c r="A8" s="69" t="s">
        <v>71</v>
      </c>
      <c r="G8" s="1" t="s">
        <v>107</v>
      </c>
      <c r="H8" s="1">
        <f>管理者入力シート!B9</f>
        <v>2030</v>
      </c>
      <c r="I8" s="17">
        <f>SUM(H93:H113)</f>
        <v>166</v>
      </c>
      <c r="J8" s="17">
        <f>SUM(I93:I113)</f>
        <v>170</v>
      </c>
      <c r="K8" s="17">
        <f t="shared" si="4"/>
        <v>336</v>
      </c>
      <c r="N8" s="1" t="s">
        <v>107</v>
      </c>
      <c r="O8" s="1">
        <f t="shared" si="5"/>
        <v>2030</v>
      </c>
      <c r="P8" s="17">
        <f t="shared" si="6"/>
        <v>166</v>
      </c>
      <c r="Q8" s="17">
        <f t="shared" si="7"/>
        <v>170</v>
      </c>
      <c r="R8" s="17">
        <f t="shared" si="8"/>
        <v>336</v>
      </c>
      <c r="S8" s="235">
        <f>SUM(O93:O113)</f>
        <v>174</v>
      </c>
      <c r="T8" s="235">
        <f>SUM(P93:P113)</f>
        <v>180</v>
      </c>
      <c r="U8" s="235">
        <f t="shared" ref="U8:U10" si="9">S8+T8</f>
        <v>354</v>
      </c>
    </row>
    <row r="9" spans="1:21" x14ac:dyDescent="0.15">
      <c r="A9" s="2" t="s">
        <v>72</v>
      </c>
      <c r="G9" s="1" t="s">
        <v>108</v>
      </c>
      <c r="H9" s="1">
        <f>管理者入力シート!B10</f>
        <v>2035</v>
      </c>
      <c r="I9" s="17">
        <f>SUM(H117:H137)</f>
        <v>136</v>
      </c>
      <c r="J9" s="17">
        <f>SUM(I117:I137)</f>
        <v>145</v>
      </c>
      <c r="K9" s="17">
        <f t="shared" si="4"/>
        <v>281</v>
      </c>
      <c r="N9" s="1" t="s">
        <v>108</v>
      </c>
      <c r="O9" s="1">
        <f t="shared" si="5"/>
        <v>2035</v>
      </c>
      <c r="P9" s="17">
        <f t="shared" si="6"/>
        <v>136</v>
      </c>
      <c r="Q9" s="17">
        <f t="shared" si="7"/>
        <v>145</v>
      </c>
      <c r="R9" s="17">
        <f t="shared" si="8"/>
        <v>281</v>
      </c>
      <c r="S9" s="235">
        <f>SUM(O117:O137)</f>
        <v>148</v>
      </c>
      <c r="T9" s="235">
        <f>SUM(P117:P137)</f>
        <v>160</v>
      </c>
      <c r="U9" s="235">
        <f t="shared" si="9"/>
        <v>308</v>
      </c>
    </row>
    <row r="10" spans="1:21" x14ac:dyDescent="0.15">
      <c r="A10" s="1" t="s">
        <v>58</v>
      </c>
      <c r="B10" s="1">
        <f>B4</f>
        <v>2010</v>
      </c>
      <c r="C10" s="17">
        <f>ROUND(VLOOKUP(B10&amp;"_3",管理者用人口入力シート!A:AA,26,FALSE),0)</f>
        <v>25</v>
      </c>
      <c r="D10" s="12"/>
      <c r="E10" s="12"/>
      <c r="G10" s="1" t="s">
        <v>109</v>
      </c>
      <c r="H10" s="1">
        <f>管理者入力シート!B11</f>
        <v>2040</v>
      </c>
      <c r="I10" s="17">
        <f>SUM(H141:H161)</f>
        <v>110</v>
      </c>
      <c r="J10" s="17">
        <f>SUM(I141:I161)</f>
        <v>120</v>
      </c>
      <c r="K10" s="17">
        <f t="shared" si="4"/>
        <v>230</v>
      </c>
      <c r="N10" s="1" t="s">
        <v>109</v>
      </c>
      <c r="O10" s="1">
        <f t="shared" si="5"/>
        <v>2040</v>
      </c>
      <c r="P10" s="17">
        <f t="shared" si="6"/>
        <v>110</v>
      </c>
      <c r="Q10" s="17">
        <f t="shared" si="7"/>
        <v>120</v>
      </c>
      <c r="R10" s="17">
        <f t="shared" si="8"/>
        <v>230</v>
      </c>
      <c r="S10" s="235">
        <f>SUM(O141:O161)</f>
        <v>124</v>
      </c>
      <c r="T10" s="235">
        <f>SUM(P141:P161)</f>
        <v>139</v>
      </c>
      <c r="U10" s="235">
        <f t="shared" si="9"/>
        <v>263</v>
      </c>
    </row>
    <row r="11" spans="1:21" x14ac:dyDescent="0.15">
      <c r="A11" s="1" t="s">
        <v>61</v>
      </c>
      <c r="B11" s="1">
        <f t="shared" ref="B11:B12" si="10">B5</f>
        <v>2015</v>
      </c>
      <c r="C11" s="17">
        <f>ROUND(VLOOKUP(B11&amp;"_3",管理者用人口入力シート!A:AA,26,FALSE),0)</f>
        <v>20</v>
      </c>
      <c r="D11" s="12"/>
      <c r="E11" s="12"/>
      <c r="I11" s="12"/>
      <c r="J11" s="12"/>
      <c r="K11" s="12"/>
      <c r="P11" s="12"/>
    </row>
    <row r="12" spans="1:21" x14ac:dyDescent="0.15">
      <c r="A12" s="1" t="s">
        <v>62</v>
      </c>
      <c r="B12" s="1">
        <f t="shared" si="10"/>
        <v>2020</v>
      </c>
      <c r="C12" s="17">
        <f>ROUND(VLOOKUP(B12&amp;"_3",管理者用人口入力シート!A:AA,26,FALSE),0)</f>
        <v>15</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15</v>
      </c>
      <c r="D14" s="12"/>
      <c r="E14" s="12"/>
      <c r="G14" s="1" t="s">
        <v>58</v>
      </c>
      <c r="H14" s="1">
        <f>H4</f>
        <v>2010</v>
      </c>
      <c r="I14" s="17">
        <f>C10</f>
        <v>25</v>
      </c>
      <c r="J14" s="12"/>
      <c r="K14" s="12"/>
      <c r="N14" s="1" t="s">
        <v>58</v>
      </c>
      <c r="O14" s="1">
        <f>O4</f>
        <v>2010</v>
      </c>
      <c r="P14" s="17">
        <f>I14</f>
        <v>25</v>
      </c>
      <c r="Q14" s="17"/>
    </row>
    <row r="15" spans="1:21" x14ac:dyDescent="0.15">
      <c r="A15" s="1" t="s">
        <v>61</v>
      </c>
      <c r="B15" s="1">
        <f t="shared" ref="B15:B16" si="11">B5</f>
        <v>2015</v>
      </c>
      <c r="C15" s="17">
        <f>ROUND(VLOOKUP(B15&amp;"_3",管理者用人口入力シート!A:AA,27,FALSE),0)</f>
        <v>10</v>
      </c>
      <c r="D15" s="12"/>
      <c r="E15" s="12"/>
      <c r="G15" s="1" t="s">
        <v>57</v>
      </c>
      <c r="H15" s="1">
        <f t="shared" ref="H15:H20" si="12">H5</f>
        <v>2015</v>
      </c>
      <c r="I15" s="17">
        <f>C11</f>
        <v>20</v>
      </c>
      <c r="J15" s="12"/>
      <c r="K15" s="12"/>
      <c r="N15" s="1" t="s">
        <v>57</v>
      </c>
      <c r="O15" s="1">
        <f t="shared" ref="O15:O20" si="13">O5</f>
        <v>2015</v>
      </c>
      <c r="P15" s="17">
        <f t="shared" ref="P15:P20" si="14">I15</f>
        <v>20</v>
      </c>
      <c r="Q15" s="17"/>
    </row>
    <row r="16" spans="1:21" x14ac:dyDescent="0.15">
      <c r="A16" s="1" t="s">
        <v>62</v>
      </c>
      <c r="B16" s="1">
        <f t="shared" si="11"/>
        <v>2020</v>
      </c>
      <c r="C16" s="17">
        <f>ROUND(VLOOKUP(B16&amp;"_3",管理者用人口入力シート!A:AA,27,FALSE),0)</f>
        <v>8</v>
      </c>
      <c r="D16" s="12"/>
      <c r="E16" s="12"/>
      <c r="G16" s="1" t="s">
        <v>62</v>
      </c>
      <c r="H16" s="1">
        <f t="shared" si="12"/>
        <v>2020</v>
      </c>
      <c r="I16" s="17">
        <f>C12</f>
        <v>15</v>
      </c>
      <c r="J16" s="12"/>
      <c r="K16" s="12"/>
      <c r="N16" s="1" t="s">
        <v>62</v>
      </c>
      <c r="O16" s="1">
        <f t="shared" si="13"/>
        <v>2020</v>
      </c>
      <c r="P16" s="17">
        <f t="shared" si="14"/>
        <v>15</v>
      </c>
      <c r="Q16" s="17"/>
    </row>
    <row r="17" spans="1:17" x14ac:dyDescent="0.15">
      <c r="G17" s="1" t="s">
        <v>106</v>
      </c>
      <c r="H17" s="1">
        <f t="shared" si="12"/>
        <v>2025</v>
      </c>
      <c r="I17" s="17">
        <f>ROUND(VLOOKUP(H17&amp;"_3",管理者用人口入力シート!BH:CM,26,FALSE),0)</f>
        <v>12</v>
      </c>
      <c r="J17" s="12"/>
      <c r="K17" s="12"/>
      <c r="N17" s="1" t="s">
        <v>106</v>
      </c>
      <c r="O17" s="1">
        <f t="shared" si="13"/>
        <v>2025</v>
      </c>
      <c r="P17" s="17">
        <f t="shared" si="14"/>
        <v>12</v>
      </c>
      <c r="Q17" s="17">
        <f>ROUND(VLOOKUP(H17&amp;"_3",管理者用人口入力シート!CO:DT,26,FALSE),0)</f>
        <v>13</v>
      </c>
    </row>
    <row r="18" spans="1:17" x14ac:dyDescent="0.15">
      <c r="A18" s="69" t="s">
        <v>110</v>
      </c>
      <c r="G18" s="1" t="s">
        <v>107</v>
      </c>
      <c r="H18" s="1">
        <f t="shared" si="12"/>
        <v>2030</v>
      </c>
      <c r="I18" s="17">
        <f>ROUND(VLOOKUP(H18&amp;"_3",管理者用人口入力シート!BH:CM,26,FALSE),0)</f>
        <v>10</v>
      </c>
      <c r="J18" s="12"/>
      <c r="K18" s="12"/>
      <c r="N18" s="1" t="s">
        <v>107</v>
      </c>
      <c r="O18" s="1">
        <f t="shared" si="13"/>
        <v>2030</v>
      </c>
      <c r="P18" s="17">
        <f t="shared" si="14"/>
        <v>10</v>
      </c>
      <c r="Q18" s="17">
        <f>ROUND(VLOOKUP(H18&amp;"_3",管理者用人口入力シート!CO:DT,26,FALSE),0)</f>
        <v>13</v>
      </c>
    </row>
    <row r="19" spans="1:17" x14ac:dyDescent="0.15">
      <c r="A19" s="2" t="s">
        <v>84</v>
      </c>
      <c r="G19" s="1" t="s">
        <v>108</v>
      </c>
      <c r="H19" s="1">
        <f t="shared" si="12"/>
        <v>2035</v>
      </c>
      <c r="I19" s="17">
        <f>ROUND(VLOOKUP(H19&amp;"_3",管理者用人口入力シート!BH:CM,26,FALSE),0)</f>
        <v>7</v>
      </c>
      <c r="J19" s="12"/>
      <c r="K19" s="12"/>
      <c r="N19" s="1" t="s">
        <v>108</v>
      </c>
      <c r="O19" s="1">
        <f t="shared" si="13"/>
        <v>2035</v>
      </c>
      <c r="P19" s="17">
        <f t="shared" si="14"/>
        <v>7</v>
      </c>
      <c r="Q19" s="17">
        <f>ROUND(VLOOKUP(H19&amp;"_3",管理者用人口入力シート!CO:DT,26,FALSE),0)</f>
        <v>12</v>
      </c>
    </row>
    <row r="20" spans="1:17" x14ac:dyDescent="0.15">
      <c r="A20" s="1" t="s">
        <v>58</v>
      </c>
      <c r="B20" s="1">
        <f>B4</f>
        <v>2010</v>
      </c>
      <c r="C20" s="17">
        <f>SUM(B54:C61)</f>
        <v>225</v>
      </c>
      <c r="D20" s="12"/>
      <c r="E20" s="12"/>
      <c r="G20" s="1" t="s">
        <v>109</v>
      </c>
      <c r="H20" s="1">
        <f t="shared" si="12"/>
        <v>2040</v>
      </c>
      <c r="I20" s="17">
        <f>ROUND(VLOOKUP(H20&amp;"_3",管理者用人口入力シート!BH:CM,26,FALSE),0)</f>
        <v>5</v>
      </c>
      <c r="J20" s="12"/>
      <c r="K20" s="12"/>
      <c r="N20" s="1" t="s">
        <v>109</v>
      </c>
      <c r="O20" s="1">
        <f t="shared" si="13"/>
        <v>2040</v>
      </c>
      <c r="P20" s="17">
        <f t="shared" si="14"/>
        <v>5</v>
      </c>
      <c r="Q20" s="17">
        <f>ROUND(VLOOKUP(H20&amp;"_3",管理者用人口入力シート!CO:DT,26,FALSE),0)</f>
        <v>12</v>
      </c>
    </row>
    <row r="21" spans="1:17" x14ac:dyDescent="0.15">
      <c r="A21" s="1" t="s">
        <v>61</v>
      </c>
      <c r="B21" s="1">
        <f t="shared" ref="B21:B22" si="15">B5</f>
        <v>2015</v>
      </c>
      <c r="C21" s="17">
        <f>SUM(B78:C85)</f>
        <v>226</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226</v>
      </c>
      <c r="D22" s="12"/>
      <c r="E22" s="12"/>
      <c r="G22" s="1" t="s">
        <v>58</v>
      </c>
      <c r="H22" s="1">
        <f>H4</f>
        <v>2010</v>
      </c>
      <c r="I22" s="17">
        <f>C14</f>
        <v>15</v>
      </c>
      <c r="J22" s="12"/>
      <c r="K22" s="12"/>
      <c r="N22" s="1" t="s">
        <v>58</v>
      </c>
      <c r="O22" s="1">
        <f>O4</f>
        <v>2010</v>
      </c>
      <c r="P22" s="17">
        <f>I22</f>
        <v>15</v>
      </c>
      <c r="Q22" s="17"/>
    </row>
    <row r="23" spans="1:17" x14ac:dyDescent="0.15">
      <c r="A23" s="2" t="s">
        <v>86</v>
      </c>
      <c r="G23" s="1" t="s">
        <v>57</v>
      </c>
      <c r="H23" s="1">
        <f t="shared" ref="H23:H28" si="16">H5</f>
        <v>2015</v>
      </c>
      <c r="I23" s="17">
        <f t="shared" ref="I23:I24" si="17">C15</f>
        <v>10</v>
      </c>
      <c r="J23" s="12"/>
      <c r="K23" s="12"/>
      <c r="N23" s="1" t="s">
        <v>57</v>
      </c>
      <c r="O23" s="1">
        <f t="shared" ref="O23:O28" si="18">O5</f>
        <v>2015</v>
      </c>
      <c r="P23" s="17">
        <f t="shared" ref="P23:P28" si="19">I23</f>
        <v>10</v>
      </c>
      <c r="Q23" s="17"/>
    </row>
    <row r="24" spans="1:17" x14ac:dyDescent="0.15">
      <c r="A24" s="1" t="s">
        <v>58</v>
      </c>
      <c r="B24" s="1">
        <f>B4</f>
        <v>2010</v>
      </c>
      <c r="C24" s="17">
        <f>SUM(B56:C61)</f>
        <v>138</v>
      </c>
      <c r="D24" s="12"/>
      <c r="E24" s="12"/>
      <c r="G24" s="1" t="s">
        <v>62</v>
      </c>
      <c r="H24" s="1">
        <f t="shared" si="16"/>
        <v>2020</v>
      </c>
      <c r="I24" s="17">
        <f t="shared" si="17"/>
        <v>8</v>
      </c>
      <c r="J24" s="12"/>
      <c r="K24" s="12"/>
      <c r="N24" s="1" t="s">
        <v>62</v>
      </c>
      <c r="O24" s="1">
        <f t="shared" si="18"/>
        <v>2020</v>
      </c>
      <c r="P24" s="17">
        <f t="shared" si="19"/>
        <v>8</v>
      </c>
      <c r="Q24" s="17"/>
    </row>
    <row r="25" spans="1:17" x14ac:dyDescent="0.15">
      <c r="A25" s="1" t="s">
        <v>61</v>
      </c>
      <c r="B25" s="1">
        <f t="shared" ref="B25:B26" si="20">B5</f>
        <v>2015</v>
      </c>
      <c r="C25" s="17">
        <f>SUM(B80:C85)</f>
        <v>136</v>
      </c>
      <c r="D25" s="12"/>
      <c r="E25" s="12"/>
      <c r="G25" s="1" t="s">
        <v>106</v>
      </c>
      <c r="H25" s="1">
        <f t="shared" si="16"/>
        <v>2025</v>
      </c>
      <c r="I25" s="17">
        <f>ROUND(VLOOKUP(H25&amp;"_3",管理者用人口入力シート!BH:CM,27,FALSE),0)</f>
        <v>6</v>
      </c>
      <c r="J25" s="12"/>
      <c r="K25" s="12"/>
      <c r="N25" s="1" t="s">
        <v>106</v>
      </c>
      <c r="O25" s="1">
        <f t="shared" si="18"/>
        <v>2025</v>
      </c>
      <c r="P25" s="17">
        <f t="shared" si="19"/>
        <v>6</v>
      </c>
      <c r="Q25" s="17">
        <f>ROUND(VLOOKUP(H17&amp;"_3",管理者用人口入力シート!CO:DT,27,FALSE),0)</f>
        <v>6</v>
      </c>
    </row>
    <row r="26" spans="1:17" x14ac:dyDescent="0.15">
      <c r="A26" s="1" t="s">
        <v>62</v>
      </c>
      <c r="B26" s="1">
        <f t="shared" si="20"/>
        <v>2020</v>
      </c>
      <c r="C26" s="17">
        <f>SUM(B104:C109)</f>
        <v>120</v>
      </c>
      <c r="D26" s="12"/>
      <c r="E26" s="12"/>
      <c r="G26" s="1" t="s">
        <v>107</v>
      </c>
      <c r="H26" s="1">
        <f t="shared" si="16"/>
        <v>2030</v>
      </c>
      <c r="I26" s="17">
        <f>ROUND(VLOOKUP(H26&amp;"_3",管理者用人口入力シート!BH:CM,27,FALSE),0)</f>
        <v>5</v>
      </c>
      <c r="J26" s="12"/>
      <c r="K26" s="12"/>
      <c r="N26" s="1" t="s">
        <v>107</v>
      </c>
      <c r="O26" s="1">
        <f t="shared" si="18"/>
        <v>2030</v>
      </c>
      <c r="P26" s="17">
        <f t="shared" si="19"/>
        <v>5</v>
      </c>
      <c r="Q26" s="17">
        <f>ROUND(VLOOKUP(H18&amp;"_3",管理者用人口入力シート!CO:DT,27,FALSE),0)</f>
        <v>6</v>
      </c>
    </row>
    <row r="27" spans="1:17" x14ac:dyDescent="0.15">
      <c r="G27" s="1" t="s">
        <v>108</v>
      </c>
      <c r="H27" s="1">
        <f t="shared" si="16"/>
        <v>2035</v>
      </c>
      <c r="I27" s="17">
        <f>ROUND(VLOOKUP(H27&amp;"_3",管理者用人口入力シート!BH:CM,27,FALSE),0)</f>
        <v>4</v>
      </c>
      <c r="J27" s="12"/>
      <c r="K27" s="12"/>
      <c r="N27" s="1" t="s">
        <v>108</v>
      </c>
      <c r="O27" s="1">
        <f t="shared" si="18"/>
        <v>2035</v>
      </c>
      <c r="P27" s="17">
        <f t="shared" si="19"/>
        <v>4</v>
      </c>
      <c r="Q27" s="17">
        <f>ROUND(VLOOKUP(H19&amp;"_3",管理者用人口入力シート!CO:DT,27,FALSE),0)</f>
        <v>6</v>
      </c>
    </row>
    <row r="28" spans="1:17" x14ac:dyDescent="0.15">
      <c r="A28" s="69" t="s">
        <v>85</v>
      </c>
      <c r="G28" s="1" t="s">
        <v>109</v>
      </c>
      <c r="H28" s="1">
        <f t="shared" si="16"/>
        <v>2040</v>
      </c>
      <c r="I28" s="17">
        <f>ROUND(VLOOKUP(H28&amp;"_3",管理者用人口入力シート!BH:CM,27,FALSE),0)</f>
        <v>3</v>
      </c>
      <c r="J28" s="12"/>
      <c r="K28" s="12"/>
      <c r="N28" s="1" t="s">
        <v>109</v>
      </c>
      <c r="O28" s="1">
        <f t="shared" si="18"/>
        <v>2040</v>
      </c>
      <c r="P28" s="17">
        <f t="shared" si="19"/>
        <v>3</v>
      </c>
      <c r="Q28" s="17">
        <f>ROUND(VLOOKUP(H20&amp;"_3",管理者用人口入力シート!CO:DT,27,FALSE),0)</f>
        <v>6</v>
      </c>
    </row>
    <row r="29" spans="1:17" x14ac:dyDescent="0.15">
      <c r="A29" s="2" t="s">
        <v>84</v>
      </c>
    </row>
    <row r="30" spans="1:17" x14ac:dyDescent="0.15">
      <c r="A30" s="1" t="s">
        <v>58</v>
      </c>
      <c r="B30" s="1">
        <f>B4</f>
        <v>2010</v>
      </c>
      <c r="C30" s="38">
        <f>ROUND((SUM(B54:C61)/SUM(B41:C61)),2)</f>
        <v>0.36</v>
      </c>
      <c r="D30" s="204"/>
      <c r="E30" s="204"/>
      <c r="G30" s="69" t="s">
        <v>110</v>
      </c>
      <c r="N30" s="69" t="s">
        <v>110</v>
      </c>
    </row>
    <row r="31" spans="1:17" x14ac:dyDescent="0.15">
      <c r="A31" s="1" t="s">
        <v>61</v>
      </c>
      <c r="B31" s="1">
        <f t="shared" ref="B31:B32" si="21">B5</f>
        <v>2015</v>
      </c>
      <c r="C31" s="38">
        <f>ROUND((SUM(B78:C85)/SUM(B65:C85)),2)</f>
        <v>0.42</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0.48</v>
      </c>
      <c r="D32" s="204"/>
      <c r="E32" s="204"/>
      <c r="G32" s="1" t="s">
        <v>58</v>
      </c>
      <c r="H32" s="1">
        <f>H4</f>
        <v>2010</v>
      </c>
      <c r="I32" s="17">
        <f>C20</f>
        <v>225</v>
      </c>
      <c r="J32" s="12"/>
      <c r="K32" s="12"/>
      <c r="N32" s="1" t="s">
        <v>58</v>
      </c>
      <c r="O32" s="1">
        <f>O4</f>
        <v>2010</v>
      </c>
      <c r="P32" s="17">
        <f>I32</f>
        <v>225</v>
      </c>
      <c r="Q32" s="17"/>
    </row>
    <row r="33" spans="1:17" x14ac:dyDescent="0.15">
      <c r="A33" s="2" t="s">
        <v>86</v>
      </c>
      <c r="G33" s="1" t="s">
        <v>57</v>
      </c>
      <c r="H33" s="1">
        <f t="shared" ref="H33:H38" si="22">H5</f>
        <v>2015</v>
      </c>
      <c r="I33" s="17">
        <f>C21</f>
        <v>226</v>
      </c>
      <c r="J33" s="12"/>
      <c r="K33" s="12"/>
      <c r="N33" s="1" t="s">
        <v>57</v>
      </c>
      <c r="O33" s="1">
        <f t="shared" ref="O33:O38" si="23">O5</f>
        <v>2015</v>
      </c>
      <c r="P33" s="17">
        <f t="shared" ref="P33:P38" si="24">I33</f>
        <v>226</v>
      </c>
      <c r="Q33" s="17"/>
    </row>
    <row r="34" spans="1:17" x14ac:dyDescent="0.15">
      <c r="A34" s="1" t="s">
        <v>58</v>
      </c>
      <c r="B34" s="1">
        <f>B4</f>
        <v>2010</v>
      </c>
      <c r="C34" s="38">
        <f>ROUND((SUM(B56:C61)/SUM(B41:C61)),2)</f>
        <v>0.22</v>
      </c>
      <c r="D34" s="204"/>
      <c r="E34" s="204"/>
      <c r="G34" s="1" t="s">
        <v>62</v>
      </c>
      <c r="H34" s="1">
        <f t="shared" si="22"/>
        <v>2020</v>
      </c>
      <c r="I34" s="17">
        <f>C22</f>
        <v>226</v>
      </c>
      <c r="J34" s="12"/>
      <c r="K34" s="12"/>
      <c r="N34" s="1" t="s">
        <v>62</v>
      </c>
      <c r="O34" s="1">
        <f t="shared" si="23"/>
        <v>2020</v>
      </c>
      <c r="P34" s="17">
        <f t="shared" si="24"/>
        <v>226</v>
      </c>
      <c r="Q34" s="17"/>
    </row>
    <row r="35" spans="1:17" x14ac:dyDescent="0.15">
      <c r="A35" s="1" t="s">
        <v>61</v>
      </c>
      <c r="B35" s="1">
        <f t="shared" ref="B35:B36" si="25">B5</f>
        <v>2015</v>
      </c>
      <c r="C35" s="38">
        <f>ROUND((SUM(B80:C85)/SUM(B65:C85)),2)</f>
        <v>0.25</v>
      </c>
      <c r="D35" s="204"/>
      <c r="E35" s="204"/>
      <c r="G35" s="1" t="s">
        <v>106</v>
      </c>
      <c r="H35" s="1">
        <f t="shared" si="22"/>
        <v>2025</v>
      </c>
      <c r="I35" s="17">
        <f>SUM(H82:I89)</f>
        <v>212</v>
      </c>
      <c r="J35" s="12"/>
      <c r="K35" s="12"/>
      <c r="N35" s="1" t="s">
        <v>106</v>
      </c>
      <c r="O35" s="1">
        <f t="shared" si="23"/>
        <v>2025</v>
      </c>
      <c r="P35" s="17">
        <f t="shared" si="24"/>
        <v>212</v>
      </c>
      <c r="Q35" s="17">
        <f>SUM(O82:P89)</f>
        <v>212</v>
      </c>
    </row>
    <row r="36" spans="1:17" x14ac:dyDescent="0.15">
      <c r="A36" s="1" t="s">
        <v>62</v>
      </c>
      <c r="B36" s="1">
        <f t="shared" si="25"/>
        <v>2020</v>
      </c>
      <c r="C36" s="38">
        <f>ROUND((SUM(B104:C109)/SUM(B89:C109)),2)</f>
        <v>0.25</v>
      </c>
      <c r="D36" s="204"/>
      <c r="E36" s="204"/>
      <c r="G36" s="1" t="s">
        <v>107</v>
      </c>
      <c r="H36" s="1">
        <f t="shared" si="22"/>
        <v>2030</v>
      </c>
      <c r="I36" s="17">
        <f>SUM(H106:I113)</f>
        <v>195</v>
      </c>
      <c r="J36" s="12"/>
      <c r="K36" s="12"/>
      <c r="N36" s="1" t="s">
        <v>107</v>
      </c>
      <c r="O36" s="1">
        <f t="shared" si="23"/>
        <v>2030</v>
      </c>
      <c r="P36" s="17">
        <f t="shared" si="24"/>
        <v>195</v>
      </c>
      <c r="Q36" s="17">
        <f>SUM(O106:P113)</f>
        <v>195</v>
      </c>
    </row>
    <row r="37" spans="1:17" x14ac:dyDescent="0.15">
      <c r="G37" s="1" t="s">
        <v>108</v>
      </c>
      <c r="H37" s="1">
        <f t="shared" si="22"/>
        <v>2035</v>
      </c>
      <c r="I37" s="17">
        <f>SUM(H130:I137)</f>
        <v>171</v>
      </c>
      <c r="J37" s="12"/>
      <c r="K37" s="12"/>
      <c r="N37" s="1" t="s">
        <v>108</v>
      </c>
      <c r="O37" s="1">
        <f t="shared" si="23"/>
        <v>2035</v>
      </c>
      <c r="P37" s="17">
        <f t="shared" si="24"/>
        <v>171</v>
      </c>
      <c r="Q37" s="17">
        <f>SUM(O130:P137)</f>
        <v>171</v>
      </c>
    </row>
    <row r="38" spans="1:17" x14ac:dyDescent="0.15">
      <c r="A38" s="69" t="s">
        <v>113</v>
      </c>
      <c r="G38" s="1" t="s">
        <v>109</v>
      </c>
      <c r="H38" s="1">
        <f t="shared" si="22"/>
        <v>2040</v>
      </c>
      <c r="I38" s="17">
        <f>SUM(H154:I161)</f>
        <v>144</v>
      </c>
      <c r="J38" s="12"/>
      <c r="K38" s="12"/>
      <c r="N38" s="1" t="s">
        <v>109</v>
      </c>
      <c r="O38" s="1">
        <f t="shared" si="23"/>
        <v>2040</v>
      </c>
      <c r="P38" s="17">
        <f t="shared" si="24"/>
        <v>144</v>
      </c>
      <c r="Q38" s="17">
        <f>SUM(O154:P161)</f>
        <v>144</v>
      </c>
    </row>
    <row r="39" spans="1:17" x14ac:dyDescent="0.15">
      <c r="A39" s="2" t="s">
        <v>383</v>
      </c>
      <c r="B39" s="317">
        <f>管理者入力シート!B7</f>
        <v>2010</v>
      </c>
      <c r="C39" s="318"/>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138</v>
      </c>
      <c r="J40" s="12"/>
      <c r="K40" s="12"/>
      <c r="N40" s="1" t="s">
        <v>58</v>
      </c>
      <c r="O40" s="1">
        <f>O4</f>
        <v>2010</v>
      </c>
      <c r="P40" s="17">
        <f>I40</f>
        <v>138</v>
      </c>
      <c r="Q40" s="17"/>
    </row>
    <row r="41" spans="1:17" x14ac:dyDescent="0.15">
      <c r="A41" s="2" t="s">
        <v>0</v>
      </c>
      <c r="B41" s="17">
        <f>ROUND(VLOOKUP(B$39&amp;"_1",管理者用人口入力シート!A:X,D41,FALSE),0)</f>
        <v>8</v>
      </c>
      <c r="C41" s="17">
        <f>ROUND(VLOOKUP(B$39&amp;"_2",管理者用人口入力シート!A:X,D41,FALSE),0)</f>
        <v>5</v>
      </c>
      <c r="D41" s="2">
        <v>4</v>
      </c>
      <c r="G41" s="1" t="s">
        <v>57</v>
      </c>
      <c r="H41" s="1">
        <f t="shared" ref="H41:H46" si="26">H5</f>
        <v>2015</v>
      </c>
      <c r="I41" s="17">
        <f>C25</f>
        <v>136</v>
      </c>
      <c r="J41" s="12"/>
      <c r="K41" s="12"/>
      <c r="N41" s="1" t="s">
        <v>57</v>
      </c>
      <c r="O41" s="1">
        <f t="shared" ref="O41:O46" si="27">O5</f>
        <v>2015</v>
      </c>
      <c r="P41" s="17">
        <f t="shared" ref="P41:P46" si="28">I41</f>
        <v>136</v>
      </c>
      <c r="Q41" s="17"/>
    </row>
    <row r="42" spans="1:17" x14ac:dyDescent="0.15">
      <c r="A42" s="2" t="s">
        <v>1</v>
      </c>
      <c r="B42" s="17">
        <f>ROUND(VLOOKUP(B$39&amp;"_1",管理者用人口入力シート!A:X,D42,FALSE),0)</f>
        <v>10</v>
      </c>
      <c r="C42" s="17">
        <f>ROUND(VLOOKUP(B$39&amp;"_2",管理者用人口入力シート!A:X,D42,FALSE),0)</f>
        <v>9</v>
      </c>
      <c r="D42" s="2">
        <v>5</v>
      </c>
      <c r="G42" s="1" t="s">
        <v>62</v>
      </c>
      <c r="H42" s="1">
        <f t="shared" si="26"/>
        <v>2020</v>
      </c>
      <c r="I42" s="17">
        <f>C26</f>
        <v>120</v>
      </c>
      <c r="J42" s="12"/>
      <c r="K42" s="12"/>
      <c r="N42" s="1" t="s">
        <v>62</v>
      </c>
      <c r="O42" s="1">
        <f t="shared" si="27"/>
        <v>2020</v>
      </c>
      <c r="P42" s="17">
        <f t="shared" si="28"/>
        <v>120</v>
      </c>
      <c r="Q42" s="17"/>
    </row>
    <row r="43" spans="1:17" x14ac:dyDescent="0.15">
      <c r="A43" s="2" t="s">
        <v>2</v>
      </c>
      <c r="B43" s="17">
        <f>ROUND(VLOOKUP(B$39&amp;"_1",管理者用人口入力シート!A:X,D43,FALSE),0)</f>
        <v>14</v>
      </c>
      <c r="C43" s="17">
        <f>ROUND(VLOOKUP(B$39&amp;"_2",管理者用人口入力シート!A:X,D43,FALSE),0)</f>
        <v>10</v>
      </c>
      <c r="D43" s="2">
        <v>6</v>
      </c>
      <c r="G43" s="1" t="s">
        <v>106</v>
      </c>
      <c r="H43" s="1">
        <f t="shared" si="26"/>
        <v>2025</v>
      </c>
      <c r="I43" s="17">
        <f>SUM(H84:I89)</f>
        <v>108</v>
      </c>
      <c r="J43" s="12"/>
      <c r="K43" s="12"/>
      <c r="N43" s="1" t="s">
        <v>106</v>
      </c>
      <c r="O43" s="1">
        <f t="shared" si="27"/>
        <v>2025</v>
      </c>
      <c r="P43" s="17">
        <f t="shared" si="28"/>
        <v>108</v>
      </c>
      <c r="Q43" s="17">
        <f>SUM(O84:P89)</f>
        <v>108</v>
      </c>
    </row>
    <row r="44" spans="1:17" x14ac:dyDescent="0.15">
      <c r="A44" s="2" t="s">
        <v>3</v>
      </c>
      <c r="B44" s="17">
        <f>ROUND(VLOOKUP(B$39&amp;"_1",管理者用人口入力シート!A:X,D44,FALSE),0)</f>
        <v>15</v>
      </c>
      <c r="C44" s="17">
        <f>ROUND(VLOOKUP(B$39&amp;"_2",管理者用人口入力シート!A:X,D44,FALSE),0)</f>
        <v>11</v>
      </c>
      <c r="D44" s="2">
        <v>7</v>
      </c>
      <c r="G44" s="1" t="s">
        <v>107</v>
      </c>
      <c r="H44" s="1">
        <f t="shared" si="26"/>
        <v>2030</v>
      </c>
      <c r="I44" s="17">
        <f>SUM(H108:I113)</f>
        <v>110</v>
      </c>
      <c r="J44" s="12"/>
      <c r="K44" s="12"/>
      <c r="N44" s="1" t="s">
        <v>107</v>
      </c>
      <c r="O44" s="1">
        <f t="shared" si="27"/>
        <v>2030</v>
      </c>
      <c r="P44" s="17">
        <f t="shared" si="28"/>
        <v>110</v>
      </c>
      <c r="Q44" s="17">
        <f>SUM(O108:P113)</f>
        <v>110</v>
      </c>
    </row>
    <row r="45" spans="1:17" x14ac:dyDescent="0.15">
      <c r="A45" s="2" t="s">
        <v>4</v>
      </c>
      <c r="B45" s="17">
        <f>ROUND(VLOOKUP(B$39&amp;"_1",管理者用人口入力シート!A:X,D45,FALSE),0)</f>
        <v>12</v>
      </c>
      <c r="C45" s="17">
        <f>ROUND(VLOOKUP(B$39&amp;"_2",管理者用人口入力シート!A:X,D45,FALSE),0)</f>
        <v>4</v>
      </c>
      <c r="D45" s="2">
        <v>8</v>
      </c>
      <c r="G45" s="1" t="s">
        <v>108</v>
      </c>
      <c r="H45" s="1">
        <f t="shared" si="26"/>
        <v>2035</v>
      </c>
      <c r="I45" s="17">
        <f>SUM(H132:I137)</f>
        <v>114</v>
      </c>
      <c r="J45" s="12"/>
      <c r="K45" s="12"/>
      <c r="N45" s="1" t="s">
        <v>108</v>
      </c>
      <c r="O45" s="1">
        <f t="shared" si="27"/>
        <v>2035</v>
      </c>
      <c r="P45" s="17">
        <f t="shared" si="28"/>
        <v>114</v>
      </c>
      <c r="Q45" s="17">
        <f>SUM(O132:P137)</f>
        <v>114</v>
      </c>
    </row>
    <row r="46" spans="1:17" x14ac:dyDescent="0.15">
      <c r="A46" s="2" t="s">
        <v>5</v>
      </c>
      <c r="B46" s="17">
        <f>ROUND(VLOOKUP(B$39&amp;"_1",管理者用人口入力シート!A:X,D46,FALSE),0)</f>
        <v>11</v>
      </c>
      <c r="C46" s="17">
        <f>ROUND(VLOOKUP(B$39&amp;"_2",管理者用人口入力シート!A:X,D46,FALSE),0)</f>
        <v>13</v>
      </c>
      <c r="D46" s="2">
        <v>9</v>
      </c>
      <c r="G46" s="1" t="s">
        <v>109</v>
      </c>
      <c r="H46" s="1">
        <f t="shared" si="26"/>
        <v>2040</v>
      </c>
      <c r="I46" s="17">
        <f>SUM(H156:I161)</f>
        <v>102</v>
      </c>
      <c r="J46" s="12"/>
      <c r="K46" s="12"/>
      <c r="N46" s="1" t="s">
        <v>109</v>
      </c>
      <c r="O46" s="1">
        <f t="shared" si="27"/>
        <v>2040</v>
      </c>
      <c r="P46" s="17">
        <f t="shared" si="28"/>
        <v>102</v>
      </c>
      <c r="Q46" s="17">
        <f>SUM(O156:P161)</f>
        <v>102</v>
      </c>
    </row>
    <row r="47" spans="1:17" x14ac:dyDescent="0.15">
      <c r="A47" s="2" t="s">
        <v>6</v>
      </c>
      <c r="B47" s="17">
        <f>ROUND(VLOOKUP(B$39&amp;"_1",管理者用人口入力シート!A:X,D47,FALSE),0)</f>
        <v>10</v>
      </c>
      <c r="C47" s="17">
        <f>ROUND(VLOOKUP(B$39&amp;"_2",管理者用人口入力シート!A:X,D47,FALSE),0)</f>
        <v>9</v>
      </c>
      <c r="D47" s="2">
        <v>10</v>
      </c>
    </row>
    <row r="48" spans="1:17" x14ac:dyDescent="0.15">
      <c r="A48" s="2" t="s">
        <v>7</v>
      </c>
      <c r="B48" s="17">
        <f>ROUND(VLOOKUP(B$39&amp;"_1",管理者用人口入力シート!A:X,D48,FALSE),0)</f>
        <v>10</v>
      </c>
      <c r="C48" s="17">
        <f>ROUND(VLOOKUP(B$39&amp;"_2",管理者用人口入力シート!A:X,D48,FALSE),0)</f>
        <v>11</v>
      </c>
      <c r="D48" s="2">
        <v>11</v>
      </c>
      <c r="G48" s="69" t="s">
        <v>85</v>
      </c>
      <c r="N48" s="69" t="s">
        <v>85</v>
      </c>
    </row>
    <row r="49" spans="1:17" x14ac:dyDescent="0.15">
      <c r="A49" s="2" t="s">
        <v>8</v>
      </c>
      <c r="B49" s="17">
        <f>ROUND(VLOOKUP(B$39&amp;"_1",管理者用人口入力シート!A:X,D49,FALSE),0)</f>
        <v>11</v>
      </c>
      <c r="C49" s="17">
        <f>ROUND(VLOOKUP(B$39&amp;"_2",管理者用人口入力シート!A:X,D49,FALSE),0)</f>
        <v>12</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17</v>
      </c>
      <c r="C50" s="17">
        <f>ROUND(VLOOKUP(B$39&amp;"_2",管理者用人口入力シート!A:X,D50,FALSE),0)</f>
        <v>21</v>
      </c>
      <c r="D50" s="2">
        <v>13</v>
      </c>
      <c r="G50" s="1" t="s">
        <v>58</v>
      </c>
      <c r="H50" s="1">
        <f>H4</f>
        <v>2010</v>
      </c>
      <c r="I50" s="38">
        <f>C30</f>
        <v>0.36</v>
      </c>
      <c r="J50" s="204"/>
      <c r="K50" s="204"/>
      <c r="N50" s="1" t="s">
        <v>58</v>
      </c>
      <c r="O50" s="1">
        <f>O4</f>
        <v>2010</v>
      </c>
      <c r="P50" s="38">
        <f t="shared" ref="P50:P56" si="29">I50</f>
        <v>0.36</v>
      </c>
      <c r="Q50" s="1"/>
    </row>
    <row r="51" spans="1:17" x14ac:dyDescent="0.15">
      <c r="A51" s="2" t="s">
        <v>10</v>
      </c>
      <c r="B51" s="17">
        <f>ROUND(VLOOKUP(B$39&amp;"_1",管理者用人口入力シート!A:X,D51,FALSE),0)</f>
        <v>26</v>
      </c>
      <c r="C51" s="17">
        <f>ROUND(VLOOKUP(B$39&amp;"_2",管理者用人口入力シート!A:X,D51,FALSE),0)</f>
        <v>30</v>
      </c>
      <c r="D51" s="2">
        <v>14</v>
      </c>
      <c r="G51" s="1" t="s">
        <v>57</v>
      </c>
      <c r="H51" s="1">
        <f t="shared" ref="H51:H56" si="30">H5</f>
        <v>2015</v>
      </c>
      <c r="I51" s="38">
        <f t="shared" ref="I51:I52" si="31">C31</f>
        <v>0.42</v>
      </c>
      <c r="J51" s="204"/>
      <c r="K51" s="204"/>
      <c r="N51" s="1" t="s">
        <v>57</v>
      </c>
      <c r="O51" s="1">
        <f t="shared" ref="O51:O56" si="32">O5</f>
        <v>2015</v>
      </c>
      <c r="P51" s="38">
        <f t="shared" si="29"/>
        <v>0.42</v>
      </c>
      <c r="Q51" s="1"/>
    </row>
    <row r="52" spans="1:17" x14ac:dyDescent="0.15">
      <c r="A52" s="2" t="s">
        <v>11</v>
      </c>
      <c r="B52" s="17">
        <f>ROUND(VLOOKUP(B$39&amp;"_1",管理者用人口入力シート!A:X,D52,FALSE),0)</f>
        <v>31</v>
      </c>
      <c r="C52" s="17">
        <f>ROUND(VLOOKUP(B$39&amp;"_2",管理者用人口入力シート!A:X,D52,FALSE),0)</f>
        <v>26</v>
      </c>
      <c r="D52" s="2">
        <v>15</v>
      </c>
      <c r="G52" s="1" t="s">
        <v>62</v>
      </c>
      <c r="H52" s="1">
        <f t="shared" si="30"/>
        <v>2020</v>
      </c>
      <c r="I52" s="38">
        <f t="shared" si="31"/>
        <v>0.48</v>
      </c>
      <c r="J52" s="204"/>
      <c r="K52" s="204"/>
      <c r="N52" s="1" t="s">
        <v>62</v>
      </c>
      <c r="O52" s="1">
        <f t="shared" si="32"/>
        <v>2020</v>
      </c>
      <c r="P52" s="38">
        <f t="shared" si="29"/>
        <v>0.48</v>
      </c>
      <c r="Q52" s="1"/>
    </row>
    <row r="53" spans="1:17" x14ac:dyDescent="0.15">
      <c r="A53" s="2" t="s">
        <v>12</v>
      </c>
      <c r="B53" s="17">
        <f>ROUND(VLOOKUP(B$39&amp;"_1",管理者用人口入力シート!A:X,D53,FALSE),0)</f>
        <v>32</v>
      </c>
      <c r="C53" s="17">
        <f>ROUND(VLOOKUP(B$39&amp;"_2",管理者用人口入力シート!A:X,D53,FALSE),0)</f>
        <v>24</v>
      </c>
      <c r="D53" s="2">
        <v>16</v>
      </c>
      <c r="G53" s="1" t="s">
        <v>106</v>
      </c>
      <c r="H53" s="1">
        <f t="shared" si="30"/>
        <v>2025</v>
      </c>
      <c r="I53" s="38">
        <f>ROUND((SUM(H82:I89)/SUM(H69:I89)),2)</f>
        <v>0.54</v>
      </c>
      <c r="J53" s="204"/>
      <c r="K53" s="204"/>
      <c r="L53" s="70"/>
      <c r="M53" s="70"/>
      <c r="N53" s="1" t="s">
        <v>106</v>
      </c>
      <c r="O53" s="1">
        <f t="shared" si="32"/>
        <v>2025</v>
      </c>
      <c r="P53" s="38">
        <f t="shared" si="29"/>
        <v>0.54</v>
      </c>
      <c r="Q53" s="38">
        <f>ROUND((SUM(O82:P89)/SUM(O69:P89)),2)</f>
        <v>0.52</v>
      </c>
    </row>
    <row r="54" spans="1:17" x14ac:dyDescent="0.15">
      <c r="A54" s="2" t="s">
        <v>13</v>
      </c>
      <c r="B54" s="17">
        <f>ROUND(VLOOKUP(B$39&amp;"_1",管理者用人口入力シート!A:X,D54,FALSE),0)</f>
        <v>19</v>
      </c>
      <c r="C54" s="17">
        <f>ROUND(VLOOKUP(B$39&amp;"_2",管理者用人口入力シート!A:X,D54,FALSE),0)</f>
        <v>18</v>
      </c>
      <c r="D54" s="2">
        <v>17</v>
      </c>
      <c r="G54" s="1" t="s">
        <v>107</v>
      </c>
      <c r="H54" s="1">
        <f t="shared" si="30"/>
        <v>2030</v>
      </c>
      <c r="I54" s="38">
        <f>ROUND((SUM(H106:I113)/SUM(H93:I113)),2)</f>
        <v>0.57999999999999996</v>
      </c>
      <c r="J54" s="204"/>
      <c r="K54" s="204"/>
      <c r="N54" s="1" t="s">
        <v>107</v>
      </c>
      <c r="O54" s="1">
        <f t="shared" si="32"/>
        <v>2030</v>
      </c>
      <c r="P54" s="38">
        <f t="shared" si="29"/>
        <v>0.57999999999999996</v>
      </c>
      <c r="Q54" s="38">
        <f>ROUND((SUM(O106:P113)/SUM(O93:P113)),2)</f>
        <v>0.55000000000000004</v>
      </c>
    </row>
    <row r="55" spans="1:17" x14ac:dyDescent="0.15">
      <c r="A55" s="2" t="s">
        <v>14</v>
      </c>
      <c r="B55" s="17">
        <f>ROUND(VLOOKUP(B$39&amp;"_1",管理者用人口入力シート!A:X,D55,FALSE),0)</f>
        <v>23</v>
      </c>
      <c r="C55" s="17">
        <f>ROUND(VLOOKUP(B$39&amp;"_2",管理者用人口入力シート!A:X,D55,FALSE),0)</f>
        <v>27</v>
      </c>
      <c r="D55" s="2">
        <v>18</v>
      </c>
      <c r="G55" s="1" t="s">
        <v>108</v>
      </c>
      <c r="H55" s="1">
        <f t="shared" si="30"/>
        <v>2035</v>
      </c>
      <c r="I55" s="38">
        <f>ROUND((SUM(H130:I137)/SUM(H117:I137)),2)</f>
        <v>0.61</v>
      </c>
      <c r="J55" s="204"/>
      <c r="K55" s="204"/>
      <c r="N55" s="1" t="s">
        <v>108</v>
      </c>
      <c r="O55" s="1">
        <f t="shared" si="32"/>
        <v>2035</v>
      </c>
      <c r="P55" s="38">
        <f t="shared" si="29"/>
        <v>0.61</v>
      </c>
      <c r="Q55" s="38">
        <f>ROUND((SUM(O130:P137)/SUM(O117:P137)),2)</f>
        <v>0.56000000000000005</v>
      </c>
    </row>
    <row r="56" spans="1:17" x14ac:dyDescent="0.15">
      <c r="A56" s="2" t="s">
        <v>15</v>
      </c>
      <c r="B56" s="17">
        <f>ROUND(VLOOKUP(B$39&amp;"_1",管理者用人口入力シート!A:X,D56,FALSE),0)</f>
        <v>23</v>
      </c>
      <c r="C56" s="17">
        <f>ROUND(VLOOKUP(B$39&amp;"_2",管理者用人口入力シート!A:X,D56,FALSE),0)</f>
        <v>29</v>
      </c>
      <c r="D56" s="2">
        <v>19</v>
      </c>
      <c r="G56" s="1" t="s">
        <v>109</v>
      </c>
      <c r="H56" s="1">
        <f t="shared" si="30"/>
        <v>2040</v>
      </c>
      <c r="I56" s="38">
        <f>ROUND((SUM(H154:I161)/SUM(H141:I161)),2)</f>
        <v>0.63</v>
      </c>
      <c r="J56" s="204"/>
      <c r="K56" s="204"/>
      <c r="N56" s="1" t="s">
        <v>109</v>
      </c>
      <c r="O56" s="1">
        <f t="shared" si="32"/>
        <v>2040</v>
      </c>
      <c r="P56" s="38">
        <f t="shared" si="29"/>
        <v>0.63</v>
      </c>
      <c r="Q56" s="38">
        <f>ROUND((SUM(O154:P161)/SUM(O141:P161)),2)</f>
        <v>0.55000000000000004</v>
      </c>
    </row>
    <row r="57" spans="1:17" x14ac:dyDescent="0.15">
      <c r="A57" s="2" t="s">
        <v>16</v>
      </c>
      <c r="B57" s="17">
        <f>ROUND(VLOOKUP(B$39&amp;"_1",管理者用人口入力シート!A:X,D57,FALSE),0)</f>
        <v>28</v>
      </c>
      <c r="C57" s="17">
        <f>ROUND(VLOOKUP(B$39&amp;"_2",管理者用人口入力シート!A:X,D57,FALSE),0)</f>
        <v>29</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4</v>
      </c>
      <c r="C58" s="17">
        <f>ROUND(VLOOKUP(B$39&amp;"_2",管理者用人口入力シート!A:X,D58,FALSE),0)</f>
        <v>18</v>
      </c>
      <c r="D58" s="2">
        <v>21</v>
      </c>
      <c r="G58" s="1" t="s">
        <v>58</v>
      </c>
      <c r="H58" s="1">
        <f>H4</f>
        <v>2010</v>
      </c>
      <c r="I58" s="38">
        <f>C34</f>
        <v>0.22</v>
      </c>
      <c r="J58" s="204"/>
      <c r="K58" s="204"/>
      <c r="N58" s="1" t="s">
        <v>58</v>
      </c>
      <c r="O58" s="1">
        <f>O4</f>
        <v>2010</v>
      </c>
      <c r="P58" s="38">
        <f t="shared" ref="P58:P64" si="33">I58</f>
        <v>0.22</v>
      </c>
      <c r="Q58" s="1"/>
    </row>
    <row r="59" spans="1:17" x14ac:dyDescent="0.15">
      <c r="A59" s="2" t="s">
        <v>18</v>
      </c>
      <c r="B59" s="17">
        <f>ROUND(VLOOKUP(B$39&amp;"_1",管理者用人口入力シート!A:X,D59,FALSE),0)</f>
        <v>2</v>
      </c>
      <c r="C59" s="17">
        <f>ROUND(VLOOKUP(B$39&amp;"_2",管理者用人口入力シート!A:X,D59,FALSE),0)</f>
        <v>4</v>
      </c>
      <c r="D59" s="2">
        <v>22</v>
      </c>
      <c r="G59" s="1" t="s">
        <v>57</v>
      </c>
      <c r="H59" s="1">
        <f t="shared" ref="H59:H64" si="34">H5</f>
        <v>2015</v>
      </c>
      <c r="I59" s="38">
        <f t="shared" ref="I59:I60" si="35">C35</f>
        <v>0.25</v>
      </c>
      <c r="J59" s="204"/>
      <c r="K59" s="204"/>
      <c r="N59" s="1" t="s">
        <v>57</v>
      </c>
      <c r="O59" s="1">
        <f t="shared" ref="O59:O64" si="36">O5</f>
        <v>2015</v>
      </c>
      <c r="P59" s="38">
        <f t="shared" si="33"/>
        <v>0.25</v>
      </c>
      <c r="Q59" s="1"/>
    </row>
    <row r="60" spans="1:17" x14ac:dyDescent="0.15">
      <c r="A60" s="2" t="s">
        <v>19</v>
      </c>
      <c r="B60" s="17">
        <f>ROUND(VLOOKUP(B$39&amp;"_1",管理者用人口入力シート!A:X,D60,FALSE),0)</f>
        <v>0</v>
      </c>
      <c r="C60" s="17">
        <f>ROUND(VLOOKUP(B$39&amp;"_2",管理者用人口入力シート!A:X,D60,FALSE),0)</f>
        <v>1</v>
      </c>
      <c r="D60" s="2">
        <v>23</v>
      </c>
      <c r="G60" s="1" t="s">
        <v>62</v>
      </c>
      <c r="H60" s="1">
        <f t="shared" si="34"/>
        <v>2020</v>
      </c>
      <c r="I60" s="38">
        <f t="shared" si="35"/>
        <v>0.25</v>
      </c>
      <c r="J60" s="204"/>
      <c r="K60" s="204"/>
      <c r="N60" s="1" t="s">
        <v>62</v>
      </c>
      <c r="O60" s="1">
        <f t="shared" si="36"/>
        <v>2020</v>
      </c>
      <c r="P60" s="38">
        <f t="shared" si="33"/>
        <v>0.25</v>
      </c>
      <c r="Q60" s="1"/>
    </row>
    <row r="61" spans="1:17" x14ac:dyDescent="0.15">
      <c r="A61" s="2" t="s">
        <v>20</v>
      </c>
      <c r="B61" s="17">
        <f>ROUND(VLOOKUP(B$39&amp;"_1",管理者用人口入力シート!A:X,D61,FALSE),0)</f>
        <v>0</v>
      </c>
      <c r="C61" s="17">
        <f>ROUND(VLOOKUP(B$39&amp;"_2",管理者用人口入力シート!A:X,D61,FALSE),0)</f>
        <v>0</v>
      </c>
      <c r="D61" s="2">
        <v>24</v>
      </c>
      <c r="G61" s="1" t="s">
        <v>106</v>
      </c>
      <c r="H61" s="1">
        <f t="shared" si="34"/>
        <v>2025</v>
      </c>
      <c r="I61" s="38">
        <f>ROUND((SUM(H84:I89)/SUM(H69:I89)),2)</f>
        <v>0.27</v>
      </c>
      <c r="J61" s="204"/>
      <c r="K61" s="204"/>
      <c r="N61" s="1" t="s">
        <v>106</v>
      </c>
      <c r="O61" s="1">
        <f t="shared" si="36"/>
        <v>2025</v>
      </c>
      <c r="P61" s="38">
        <f t="shared" si="33"/>
        <v>0.27</v>
      </c>
      <c r="Q61" s="38">
        <f>ROUND((SUM(O84:P89)/SUM(O69:P89)),2)</f>
        <v>0.27</v>
      </c>
    </row>
    <row r="62" spans="1:17" x14ac:dyDescent="0.15">
      <c r="G62" s="1" t="s">
        <v>107</v>
      </c>
      <c r="H62" s="1">
        <f t="shared" si="34"/>
        <v>2030</v>
      </c>
      <c r="I62" s="38">
        <f>ROUND((SUM(H108:I113)/SUM(H93:I113)),2)</f>
        <v>0.33</v>
      </c>
      <c r="J62" s="204"/>
      <c r="K62" s="204"/>
      <c r="N62" s="1" t="s">
        <v>107</v>
      </c>
      <c r="O62" s="1">
        <f t="shared" si="36"/>
        <v>2030</v>
      </c>
      <c r="P62" s="38">
        <f t="shared" si="33"/>
        <v>0.33</v>
      </c>
      <c r="Q62" s="38">
        <f>ROUND((SUM(O108:P113)/SUM(O93:P113)),2)</f>
        <v>0.31</v>
      </c>
    </row>
    <row r="63" spans="1:17" x14ac:dyDescent="0.15">
      <c r="A63" s="2" t="s">
        <v>384</v>
      </c>
      <c r="B63" s="317">
        <f>管理者入力シート!B6</f>
        <v>2015</v>
      </c>
      <c r="C63" s="318"/>
      <c r="D63" s="2" t="s">
        <v>114</v>
      </c>
      <c r="G63" s="1" t="s">
        <v>108</v>
      </c>
      <c r="H63" s="1">
        <f t="shared" si="34"/>
        <v>2035</v>
      </c>
      <c r="I63" s="38">
        <f>ROUND((SUM(H132:I137)/SUM(H117:I137)),2)</f>
        <v>0.41</v>
      </c>
      <c r="J63" s="204"/>
      <c r="K63" s="204"/>
      <c r="N63" s="1" t="s">
        <v>108</v>
      </c>
      <c r="O63" s="1">
        <f t="shared" si="36"/>
        <v>2035</v>
      </c>
      <c r="P63" s="38">
        <f t="shared" si="33"/>
        <v>0.41</v>
      </c>
      <c r="Q63" s="38">
        <f>ROUND((SUM(O132:P137)/SUM(O117:P137)),2)</f>
        <v>0.37</v>
      </c>
    </row>
    <row r="64" spans="1:17" x14ac:dyDescent="0.15">
      <c r="A64" s="2" t="s">
        <v>115</v>
      </c>
      <c r="B64" s="18" t="s">
        <v>21</v>
      </c>
      <c r="C64" s="18" t="s">
        <v>22</v>
      </c>
      <c r="G64" s="1" t="s">
        <v>109</v>
      </c>
      <c r="H64" s="1">
        <f t="shared" si="34"/>
        <v>2040</v>
      </c>
      <c r="I64" s="38">
        <f>ROUND((SUM(H156:I161)/SUM(H141:I161)),2)</f>
        <v>0.44</v>
      </c>
      <c r="J64" s="204"/>
      <c r="K64" s="204"/>
      <c r="N64" s="1" t="s">
        <v>109</v>
      </c>
      <c r="O64" s="1">
        <f t="shared" si="36"/>
        <v>2040</v>
      </c>
      <c r="P64" s="38">
        <f t="shared" si="33"/>
        <v>0.44</v>
      </c>
      <c r="Q64" s="38">
        <f>ROUND((SUM(O156:P161)/SUM(O141:P161)),2)</f>
        <v>0.39</v>
      </c>
    </row>
    <row r="65" spans="1:21" x14ac:dyDescent="0.15">
      <c r="A65" s="2" t="s">
        <v>0</v>
      </c>
      <c r="B65" s="17">
        <f>ROUND(VLOOKUP(B$63&amp;"_1",管理者用人口入力シート!A:X,D65,FALSE),0)</f>
        <v>5</v>
      </c>
      <c r="C65" s="17">
        <f>ROUND(VLOOKUP(B$63&amp;"_2",管理者用人口入力シート!A:X,D65,FALSE),0)</f>
        <v>4</v>
      </c>
      <c r="D65" s="2">
        <v>4</v>
      </c>
    </row>
    <row r="66" spans="1:21" x14ac:dyDescent="0.15">
      <c r="A66" s="2" t="s">
        <v>1</v>
      </c>
      <c r="B66" s="17">
        <f>ROUND(VLOOKUP(B$63&amp;"_1",管理者用人口入力シート!A:X,D66,FALSE),0)</f>
        <v>9</v>
      </c>
      <c r="C66" s="17">
        <f>ROUND(VLOOKUP(B$63&amp;"_2",管理者用人口入力シート!A:X,D66,FALSE),0)</f>
        <v>6</v>
      </c>
      <c r="D66" s="2">
        <v>5</v>
      </c>
      <c r="G66" s="69" t="s">
        <v>113</v>
      </c>
      <c r="N66" s="69" t="s">
        <v>113</v>
      </c>
    </row>
    <row r="67" spans="1:21" x14ac:dyDescent="0.15">
      <c r="A67" s="2" t="s">
        <v>2</v>
      </c>
      <c r="B67" s="17">
        <f>ROUND(VLOOKUP(B$63&amp;"_1",管理者用人口入力シート!A:X,D67,FALSE),0)</f>
        <v>10</v>
      </c>
      <c r="C67" s="17">
        <f>ROUND(VLOOKUP(B$63&amp;"_2",管理者用人口入力シート!A:X,D67,FALSE),0)</f>
        <v>8</v>
      </c>
      <c r="D67" s="2">
        <v>6</v>
      </c>
      <c r="G67" s="2" t="s">
        <v>106</v>
      </c>
      <c r="H67" s="317">
        <f>管理者入力シート!B8</f>
        <v>2025</v>
      </c>
      <c r="I67" s="318"/>
      <c r="J67" s="2" t="s">
        <v>114</v>
      </c>
      <c r="K67" s="208"/>
      <c r="O67" s="317">
        <f>管理者入力シート!B8</f>
        <v>2025</v>
      </c>
      <c r="P67" s="318"/>
      <c r="Q67" s="2" t="s">
        <v>114</v>
      </c>
    </row>
    <row r="68" spans="1:21" x14ac:dyDescent="0.15">
      <c r="A68" s="2" t="s">
        <v>3</v>
      </c>
      <c r="B68" s="17">
        <f>ROUND(VLOOKUP(B$63&amp;"_1",管理者用人口入力シート!A:X,D68,FALSE),0)</f>
        <v>7</v>
      </c>
      <c r="C68" s="17">
        <f>ROUND(VLOOKUP(B$63&amp;"_2",管理者用人口入力シート!A:X,D68,FALSE),0)</f>
        <v>8</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8</v>
      </c>
      <c r="C69" s="17">
        <f>ROUND(VLOOKUP(B$63&amp;"_2",管理者用人口入力シート!A:X,D69,FALSE),0)</f>
        <v>7</v>
      </c>
      <c r="D69" s="2">
        <v>8</v>
      </c>
      <c r="G69" s="2" t="s">
        <v>0</v>
      </c>
      <c r="H69" s="17">
        <f>ROUND(VLOOKUP(H$67&amp;"_1",管理者用人口入力シート!BH:CE,J69,FALSE),0)</f>
        <v>2</v>
      </c>
      <c r="I69" s="17">
        <f>ROUND(VLOOKUP(H$67&amp;"_2",管理者用人口入力シート!BH:CE,J69,FALSE),0)</f>
        <v>3</v>
      </c>
      <c r="J69" s="2">
        <v>4</v>
      </c>
      <c r="K69" s="12"/>
      <c r="N69" s="2" t="s">
        <v>0</v>
      </c>
      <c r="O69" s="17">
        <f>ROUND(VLOOKUP(O$67&amp;"_1",管理者用人口入力シート!CO:DL,Q69,FALSE),0)</f>
        <v>3</v>
      </c>
      <c r="P69" s="17">
        <f>ROUND(VLOOKUP(O$67&amp;"_2",管理者用人口入力シート!CO:DL,Q69,FALSE),0)</f>
        <v>4</v>
      </c>
      <c r="Q69" s="2">
        <v>4</v>
      </c>
      <c r="U69" s="85"/>
    </row>
    <row r="70" spans="1:21" x14ac:dyDescent="0.15">
      <c r="A70" s="2" t="s">
        <v>5</v>
      </c>
      <c r="B70" s="17">
        <f>ROUND(VLOOKUP(B$63&amp;"_1",管理者用人口入力シート!A:X,D70,FALSE),0)</f>
        <v>10</v>
      </c>
      <c r="C70" s="17">
        <f>ROUND(VLOOKUP(B$63&amp;"_2",管理者用人口入力シート!A:X,D70,FALSE),0)</f>
        <v>4</v>
      </c>
      <c r="D70" s="2">
        <v>9</v>
      </c>
      <c r="G70" s="2" t="s">
        <v>1</v>
      </c>
      <c r="H70" s="17">
        <f>ROUND(VLOOKUP(H$67&amp;"_1",管理者用人口入力シート!BH:CE,J70,FALSE),0)</f>
        <v>5</v>
      </c>
      <c r="I70" s="17">
        <f>ROUND(VLOOKUP(H$67&amp;"_2",管理者用人口入力シート!BH:CE,J70,FALSE),0)</f>
        <v>6</v>
      </c>
      <c r="J70" s="2">
        <v>5</v>
      </c>
      <c r="K70" s="12"/>
      <c r="N70" s="2" t="s">
        <v>1</v>
      </c>
      <c r="O70" s="17">
        <f>ROUND(VLOOKUP(O$67&amp;"_1",管理者用人口入力シート!CO:DL,Q70,FALSE),0)</f>
        <v>5</v>
      </c>
      <c r="P70" s="17">
        <f>ROUND(VLOOKUP(O$67&amp;"_2",管理者用人口入力シート!CO:DL,Q70,FALSE),0)</f>
        <v>6</v>
      </c>
      <c r="Q70" s="2">
        <v>5</v>
      </c>
      <c r="U70" s="85"/>
    </row>
    <row r="71" spans="1:21" x14ac:dyDescent="0.15">
      <c r="A71" s="2" t="s">
        <v>6</v>
      </c>
      <c r="B71" s="17">
        <f>ROUND(VLOOKUP(B$63&amp;"_1",管理者用人口入力シート!A:X,D71,FALSE),0)</f>
        <v>9</v>
      </c>
      <c r="C71" s="17">
        <f>ROUND(VLOOKUP(B$63&amp;"_2",管理者用人口入力シート!A:X,D71,FALSE),0)</f>
        <v>11</v>
      </c>
      <c r="D71" s="2">
        <v>10</v>
      </c>
      <c r="G71" s="2" t="s">
        <v>2</v>
      </c>
      <c r="H71" s="17">
        <f>ROUND(VLOOKUP(H$67&amp;"_1",管理者用人口入力シート!BH:CE,J71,FALSE),0)</f>
        <v>5</v>
      </c>
      <c r="I71" s="17">
        <f>ROUND(VLOOKUP(H$67&amp;"_2",管理者用人口入力シート!BH:CE,J71,FALSE),0)</f>
        <v>4</v>
      </c>
      <c r="J71" s="2">
        <v>6</v>
      </c>
      <c r="K71" s="12"/>
      <c r="N71" s="2" t="s">
        <v>2</v>
      </c>
      <c r="O71" s="17">
        <f>ROUND(VLOOKUP(O$67&amp;"_1",管理者用人口入力シート!CO:DL,Q71,FALSE),0)</f>
        <v>6</v>
      </c>
      <c r="P71" s="17">
        <f>ROUND(VLOOKUP(O$67&amp;"_2",管理者用人口入力シート!CO:DL,Q71,FALSE),0)</f>
        <v>5</v>
      </c>
      <c r="Q71" s="2">
        <v>6</v>
      </c>
      <c r="U71" s="85"/>
    </row>
    <row r="72" spans="1:21" x14ac:dyDescent="0.15">
      <c r="A72" s="2" t="s">
        <v>7</v>
      </c>
      <c r="B72" s="17">
        <f>ROUND(VLOOKUP(B$63&amp;"_1",管理者用人口入力シート!A:X,D72,FALSE),0)</f>
        <v>9</v>
      </c>
      <c r="C72" s="17">
        <f>ROUND(VLOOKUP(B$63&amp;"_2",管理者用人口入力シート!A:X,D72,FALSE),0)</f>
        <v>7</v>
      </c>
      <c r="D72" s="2">
        <v>11</v>
      </c>
      <c r="G72" s="2" t="s">
        <v>3</v>
      </c>
      <c r="H72" s="17">
        <f>ROUND(VLOOKUP(H$67&amp;"_1",管理者用人口入力シート!BH:CE,J72,FALSE),0)</f>
        <v>5</v>
      </c>
      <c r="I72" s="17">
        <f>ROUND(VLOOKUP(H$67&amp;"_2",管理者用人口入力シート!BH:CE,J72,FALSE),0)</f>
        <v>4</v>
      </c>
      <c r="J72" s="2">
        <v>7</v>
      </c>
      <c r="K72" s="12"/>
      <c r="N72" s="2" t="s">
        <v>3</v>
      </c>
      <c r="O72" s="17">
        <f>ROUND(VLOOKUP(O$67&amp;"_1",管理者用人口入力シート!CO:DL,Q72,FALSE),0)</f>
        <v>5</v>
      </c>
      <c r="P72" s="17">
        <f>ROUND(VLOOKUP(O$67&amp;"_2",管理者用人口入力シート!CO:DL,Q72,FALSE),0)</f>
        <v>4</v>
      </c>
      <c r="Q72" s="2">
        <v>7</v>
      </c>
      <c r="U72" s="85"/>
    </row>
    <row r="73" spans="1:21" x14ac:dyDescent="0.15">
      <c r="A73" s="2" t="s">
        <v>8</v>
      </c>
      <c r="B73" s="17">
        <f>ROUND(VLOOKUP(B$63&amp;"_1",管理者用人口入力シート!A:X,D73,FALSE),0)</f>
        <v>8</v>
      </c>
      <c r="C73" s="17">
        <f>ROUND(VLOOKUP(B$63&amp;"_2",管理者用人口入力シート!A:X,D73,FALSE),0)</f>
        <v>11</v>
      </c>
      <c r="D73" s="2">
        <v>12</v>
      </c>
      <c r="G73" s="2" t="s">
        <v>4</v>
      </c>
      <c r="H73" s="17">
        <f>ROUND(VLOOKUP(H$67&amp;"_1",管理者用人口入力シート!BH:CE,J73,FALSE),0)</f>
        <v>3</v>
      </c>
      <c r="I73" s="17">
        <f>ROUND(VLOOKUP(H$67&amp;"_2",管理者用人口入力シート!BH:CE,J73,FALSE),0)</f>
        <v>3</v>
      </c>
      <c r="J73" s="2">
        <v>8</v>
      </c>
      <c r="K73" s="12"/>
      <c r="N73" s="2" t="s">
        <v>4</v>
      </c>
      <c r="O73" s="17">
        <f>ROUND(VLOOKUP(O$67&amp;"_1",管理者用人口入力シート!CO:DL,Q73,FALSE),0)</f>
        <v>3</v>
      </c>
      <c r="P73" s="17">
        <f>ROUND(VLOOKUP(O$67&amp;"_2",管理者用人口入力シート!CO:DL,Q73,FALSE),0)</f>
        <v>3</v>
      </c>
      <c r="Q73" s="2">
        <v>8</v>
      </c>
      <c r="U73" s="85"/>
    </row>
    <row r="74" spans="1:21" x14ac:dyDescent="0.15">
      <c r="A74" s="2" t="s">
        <v>9</v>
      </c>
      <c r="B74" s="17">
        <f>ROUND(VLOOKUP(B$63&amp;"_1",管理者用人口入力シート!A:X,D74,FALSE),0)</f>
        <v>11</v>
      </c>
      <c r="C74" s="17">
        <f>ROUND(VLOOKUP(B$63&amp;"_2",管理者用人口入力シート!A:X,D74,FALSE),0)</f>
        <v>11</v>
      </c>
      <c r="D74" s="2">
        <v>13</v>
      </c>
      <c r="G74" s="2" t="s">
        <v>5</v>
      </c>
      <c r="H74" s="17">
        <f>ROUND(VLOOKUP(H$67&amp;"_1",管理者用人口入力シート!BH:CE,J74,FALSE),0)</f>
        <v>2</v>
      </c>
      <c r="I74" s="17">
        <f>ROUND(VLOOKUP(H$67&amp;"_2",管理者用人口入力シート!BH:CE,J74,FALSE),0)</f>
        <v>3</v>
      </c>
      <c r="J74" s="2">
        <v>9</v>
      </c>
      <c r="K74" s="12"/>
      <c r="N74" s="2" t="s">
        <v>5</v>
      </c>
      <c r="O74" s="17">
        <f>ROUND(VLOOKUP(O$67&amp;"_1",管理者用人口入力シート!CO:DL,Q74,FALSE),0)</f>
        <v>4</v>
      </c>
      <c r="P74" s="17">
        <f>ROUND(VLOOKUP(O$67&amp;"_2",管理者用人口入力シート!CO:DL,Q74,FALSE),0)</f>
        <v>5</v>
      </c>
      <c r="Q74" s="2">
        <v>9</v>
      </c>
      <c r="U74" s="85"/>
    </row>
    <row r="75" spans="1:21" x14ac:dyDescent="0.15">
      <c r="A75" s="2" t="s">
        <v>10</v>
      </c>
      <c r="B75" s="17">
        <f>ROUND(VLOOKUP(B$63&amp;"_1",管理者用人口入力シート!A:X,D75,FALSE),0)</f>
        <v>16</v>
      </c>
      <c r="C75" s="17">
        <f>ROUND(VLOOKUP(B$63&amp;"_2",管理者用人口入力シート!A:X,D75,FALSE),0)</f>
        <v>20</v>
      </c>
      <c r="D75" s="2">
        <v>14</v>
      </c>
      <c r="G75" s="2" t="s">
        <v>6</v>
      </c>
      <c r="H75" s="17">
        <f>ROUND(VLOOKUP(H$67&amp;"_1",管理者用人口入力シート!BH:CE,J75,FALSE),0)</f>
        <v>6</v>
      </c>
      <c r="I75" s="17">
        <f>ROUND(VLOOKUP(H$67&amp;"_2",管理者用人口入力シート!BH:CE,J75,FALSE),0)</f>
        <v>6</v>
      </c>
      <c r="J75" s="2">
        <v>10</v>
      </c>
      <c r="K75" s="12"/>
      <c r="N75" s="2" t="s">
        <v>6</v>
      </c>
      <c r="O75" s="17">
        <f>ROUND(VLOOKUP(O$67&amp;"_1",管理者用人口入力シート!CO:DL,Q75,FALSE),0)</f>
        <v>6</v>
      </c>
      <c r="P75" s="17">
        <f>ROUND(VLOOKUP(O$67&amp;"_2",管理者用人口入力シート!CO:DL,Q75,FALSE),0)</f>
        <v>6</v>
      </c>
      <c r="Q75" s="2">
        <v>10</v>
      </c>
      <c r="U75" s="85"/>
    </row>
    <row r="76" spans="1:21" x14ac:dyDescent="0.15">
      <c r="A76" s="2" t="s">
        <v>11</v>
      </c>
      <c r="B76" s="17">
        <f>ROUND(VLOOKUP(B$63&amp;"_1",管理者用人口入力シート!A:X,D76,FALSE),0)</f>
        <v>27</v>
      </c>
      <c r="C76" s="17">
        <f>ROUND(VLOOKUP(B$63&amp;"_2",管理者用人口入力シート!A:X,D76,FALSE),0)</f>
        <v>29</v>
      </c>
      <c r="D76" s="2">
        <v>15</v>
      </c>
      <c r="G76" s="2" t="s">
        <v>7</v>
      </c>
      <c r="H76" s="17">
        <f>ROUND(VLOOKUP(H$67&amp;"_1",管理者用人口入力シート!BH:CE,J76,FALSE),0)</f>
        <v>7</v>
      </c>
      <c r="I76" s="17">
        <f>ROUND(VLOOKUP(H$67&amp;"_2",管理者用人口入力シート!BH:CE,J76,FALSE),0)</f>
        <v>3</v>
      </c>
      <c r="J76" s="2">
        <v>11</v>
      </c>
      <c r="K76" s="12"/>
      <c r="N76" s="2" t="s">
        <v>7</v>
      </c>
      <c r="O76" s="17">
        <f>ROUND(VLOOKUP(O$67&amp;"_1",管理者用人口入力シート!CO:DL,Q76,FALSE),0)</f>
        <v>7</v>
      </c>
      <c r="P76" s="17">
        <f>ROUND(VLOOKUP(O$67&amp;"_2",管理者用人口入力シート!CO:DL,Q76,FALSE),0)</f>
        <v>3</v>
      </c>
      <c r="Q76" s="2">
        <v>11</v>
      </c>
      <c r="U76" s="85"/>
    </row>
    <row r="77" spans="1:21" x14ac:dyDescent="0.15">
      <c r="A77" s="2" t="s">
        <v>12</v>
      </c>
      <c r="B77" s="17">
        <f>ROUND(VLOOKUP(B$63&amp;"_1",管理者用人口入力シート!A:X,D77,FALSE),0)</f>
        <v>32</v>
      </c>
      <c r="C77" s="17">
        <f>ROUND(VLOOKUP(B$63&amp;"_2",管理者用人口入力シート!A:X,D77,FALSE),0)</f>
        <v>26</v>
      </c>
      <c r="D77" s="2">
        <v>16</v>
      </c>
      <c r="G77" s="2" t="s">
        <v>8</v>
      </c>
      <c r="H77" s="17">
        <f>ROUND(VLOOKUP(H$67&amp;"_1",管理者用人口入力シート!BH:CE,J77,FALSE),0)</f>
        <v>6</v>
      </c>
      <c r="I77" s="17">
        <f>ROUND(VLOOKUP(H$67&amp;"_2",管理者用人口入力シート!BH:CE,J77,FALSE),0)</f>
        <v>10</v>
      </c>
      <c r="J77" s="2">
        <v>12</v>
      </c>
      <c r="K77" s="12"/>
      <c r="N77" s="2" t="s">
        <v>8</v>
      </c>
      <c r="O77" s="17">
        <f>ROUND(VLOOKUP(O$67&amp;"_1",管理者用人口入力シート!CO:DL,Q77,FALSE),0)</f>
        <v>6</v>
      </c>
      <c r="P77" s="17">
        <f>ROUND(VLOOKUP(O$67&amp;"_2",管理者用人口入力シート!CO:DL,Q77,FALSE),0)</f>
        <v>11</v>
      </c>
      <c r="Q77" s="2">
        <v>12</v>
      </c>
      <c r="U77" s="85"/>
    </row>
    <row r="78" spans="1:21" x14ac:dyDescent="0.15">
      <c r="A78" s="2" t="s">
        <v>13</v>
      </c>
      <c r="B78" s="17">
        <f>ROUND(VLOOKUP(B$63&amp;"_1",管理者用人口入力シート!A:X,D78,FALSE),0)</f>
        <v>32</v>
      </c>
      <c r="C78" s="17">
        <f>ROUND(VLOOKUP(B$63&amp;"_2",管理者用人口入力シート!A:X,D78,FALSE),0)</f>
        <v>23</v>
      </c>
      <c r="D78" s="2">
        <v>17</v>
      </c>
      <c r="G78" s="2" t="s">
        <v>9</v>
      </c>
      <c r="H78" s="17">
        <f>ROUND(VLOOKUP(H$67&amp;"_1",管理者用人口入力シート!BH:CE,J78,FALSE),0)</f>
        <v>10</v>
      </c>
      <c r="I78" s="17">
        <f>ROUND(VLOOKUP(H$67&amp;"_2",管理者用人口入力シート!BH:CE,J78,FALSE),0)</f>
        <v>8</v>
      </c>
      <c r="J78" s="2">
        <v>13</v>
      </c>
      <c r="K78" s="12"/>
      <c r="N78" s="2" t="s">
        <v>9</v>
      </c>
      <c r="O78" s="17">
        <f>ROUND(VLOOKUP(O$67&amp;"_1",管理者用人口入力シート!CO:DL,Q78,FALSE),0)</f>
        <v>10</v>
      </c>
      <c r="P78" s="17">
        <f>ROUND(VLOOKUP(O$67&amp;"_2",管理者用人口入力シート!CO:DL,Q78,FALSE),0)</f>
        <v>8</v>
      </c>
      <c r="Q78" s="2">
        <v>13</v>
      </c>
      <c r="U78" s="85"/>
    </row>
    <row r="79" spans="1:21" x14ac:dyDescent="0.15">
      <c r="A79" s="2" t="s">
        <v>14</v>
      </c>
      <c r="B79" s="17">
        <f>ROUND(VLOOKUP(B$63&amp;"_1",管理者用人口入力シート!A:X,D79,FALSE),0)</f>
        <v>18</v>
      </c>
      <c r="C79" s="17">
        <f>ROUND(VLOOKUP(B$63&amp;"_2",管理者用人口入力シート!A:X,D79,FALSE),0)</f>
        <v>17</v>
      </c>
      <c r="D79" s="2">
        <v>18</v>
      </c>
      <c r="G79" s="2" t="s">
        <v>10</v>
      </c>
      <c r="H79" s="17">
        <f>ROUND(VLOOKUP(H$67&amp;"_1",管理者用人口入力シート!BH:CE,J79,FALSE),0)</f>
        <v>9</v>
      </c>
      <c r="I79" s="17">
        <f>ROUND(VLOOKUP(H$67&amp;"_2",管理者用人口入力シート!BH:CE,J79,FALSE),0)</f>
        <v>12</v>
      </c>
      <c r="J79" s="2">
        <v>14</v>
      </c>
      <c r="K79" s="12"/>
      <c r="N79" s="2" t="s">
        <v>10</v>
      </c>
      <c r="O79" s="17">
        <f>ROUND(VLOOKUP(O$67&amp;"_1",管理者用人口入力シート!CO:DL,Q79,FALSE),0)</f>
        <v>9</v>
      </c>
      <c r="P79" s="17">
        <f>ROUND(VLOOKUP(O$67&amp;"_2",管理者用人口入力シート!CO:DL,Q79,FALSE),0)</f>
        <v>12</v>
      </c>
      <c r="Q79" s="2">
        <v>14</v>
      </c>
      <c r="U79" s="85"/>
    </row>
    <row r="80" spans="1:21" x14ac:dyDescent="0.15">
      <c r="A80" s="2" t="s">
        <v>15</v>
      </c>
      <c r="B80" s="17">
        <f>ROUND(VLOOKUP(B$63&amp;"_1",管理者用人口入力シート!A:X,D80,FALSE),0)</f>
        <v>22</v>
      </c>
      <c r="C80" s="17">
        <f>ROUND(VLOOKUP(B$63&amp;"_2",管理者用人口入力シート!A:X,D80,FALSE),0)</f>
        <v>22</v>
      </c>
      <c r="D80" s="2">
        <v>19</v>
      </c>
      <c r="G80" s="2" t="s">
        <v>11</v>
      </c>
      <c r="H80" s="17">
        <f>ROUND(VLOOKUP(H$67&amp;"_1",管理者用人口入力シート!BH:CE,J80,FALSE),0)</f>
        <v>13</v>
      </c>
      <c r="I80" s="17">
        <f>ROUND(VLOOKUP(H$67&amp;"_2",管理者用人口入力シート!BH:CE,J80,FALSE),0)</f>
        <v>12</v>
      </c>
      <c r="J80" s="2">
        <v>15</v>
      </c>
      <c r="K80" s="12"/>
      <c r="N80" s="2" t="s">
        <v>11</v>
      </c>
      <c r="O80" s="17">
        <f>ROUND(VLOOKUP(O$67&amp;"_1",管理者用人口入力シート!CO:DL,Q80,FALSE),0)</f>
        <v>13</v>
      </c>
      <c r="P80" s="17">
        <f>ROUND(VLOOKUP(O$67&amp;"_2",管理者用人口入力シート!CO:DL,Q80,FALSE),0)</f>
        <v>12</v>
      </c>
      <c r="Q80" s="2">
        <v>15</v>
      </c>
      <c r="U80" s="85"/>
    </row>
    <row r="81" spans="1:21" x14ac:dyDescent="0.15">
      <c r="A81" s="2" t="s">
        <v>16</v>
      </c>
      <c r="B81" s="17">
        <f>ROUND(VLOOKUP(B$63&amp;"_1",管理者用人口入力シート!A:X,D81,FALSE),0)</f>
        <v>17</v>
      </c>
      <c r="C81" s="17">
        <f>ROUND(VLOOKUP(B$63&amp;"_2",管理者用人口入力シート!A:X,D81,FALSE),0)</f>
        <v>28</v>
      </c>
      <c r="D81" s="2">
        <v>20</v>
      </c>
      <c r="G81" s="2" t="s">
        <v>12</v>
      </c>
      <c r="H81" s="17">
        <f>ROUND(VLOOKUP(H$67&amp;"_1",管理者用人口入力シート!BH:CE,J81,FALSE),0)</f>
        <v>17</v>
      </c>
      <c r="I81" s="17">
        <f>ROUND(VLOOKUP(H$67&amp;"_2",管理者用人口入力シート!BH:CE,J81,FALSE),0)</f>
        <v>20</v>
      </c>
      <c r="J81" s="2">
        <v>16</v>
      </c>
      <c r="K81" s="12"/>
      <c r="N81" s="2" t="s">
        <v>12</v>
      </c>
      <c r="O81" s="17">
        <f>ROUND(VLOOKUP(O$67&amp;"_1",管理者用人口入力シート!CO:DL,Q81,FALSE),0)</f>
        <v>17</v>
      </c>
      <c r="P81" s="17">
        <f>ROUND(VLOOKUP(O$67&amp;"_2",管理者用人口入力シート!CO:DL,Q81,FALSE),0)</f>
        <v>20</v>
      </c>
      <c r="Q81" s="2">
        <v>16</v>
      </c>
      <c r="U81" s="85"/>
    </row>
    <row r="82" spans="1:21" x14ac:dyDescent="0.15">
      <c r="A82" s="2" t="s">
        <v>17</v>
      </c>
      <c r="B82" s="17">
        <f>ROUND(VLOOKUP(B$63&amp;"_1",管理者用人口入力シート!A:X,D82,FALSE),0)</f>
        <v>19</v>
      </c>
      <c r="C82" s="17">
        <f>ROUND(VLOOKUP(B$63&amp;"_2",管理者用人口入力シート!A:X,D82,FALSE),0)</f>
        <v>19</v>
      </c>
      <c r="D82" s="2">
        <v>21</v>
      </c>
      <c r="G82" s="2" t="s">
        <v>13</v>
      </c>
      <c r="H82" s="17">
        <f>ROUND(VLOOKUP(H$67&amp;"_1",管理者用人口入力シート!BH:CE,J82,FALSE),0)</f>
        <v>26</v>
      </c>
      <c r="I82" s="17">
        <f>ROUND(VLOOKUP(H$67&amp;"_2",管理者用人口入力シート!BH:CE,J82,FALSE),0)</f>
        <v>27</v>
      </c>
      <c r="J82" s="2">
        <v>17</v>
      </c>
      <c r="K82" s="12"/>
      <c r="N82" s="2" t="s">
        <v>13</v>
      </c>
      <c r="O82" s="17">
        <f>ROUND(VLOOKUP(O$67&amp;"_1",管理者用人口入力シート!CO:DL,Q82,FALSE),0)</f>
        <v>26</v>
      </c>
      <c r="P82" s="17">
        <f>ROUND(VLOOKUP(O$67&amp;"_2",管理者用人口入力シート!CO:DL,Q82,FALSE),0)</f>
        <v>27</v>
      </c>
      <c r="Q82" s="2">
        <v>17</v>
      </c>
      <c r="U82" s="85"/>
    </row>
    <row r="83" spans="1:21" x14ac:dyDescent="0.15">
      <c r="A83" s="2" t="s">
        <v>18</v>
      </c>
      <c r="B83" s="17">
        <f>ROUND(VLOOKUP(B$63&amp;"_1",管理者用人口入力シート!A:X,D83,FALSE),0)</f>
        <v>1</v>
      </c>
      <c r="C83" s="17">
        <f>ROUND(VLOOKUP(B$63&amp;"_2",管理者用人口入力シート!A:X,D83,FALSE),0)</f>
        <v>6</v>
      </c>
      <c r="D83" s="2">
        <v>22</v>
      </c>
      <c r="G83" s="2" t="s">
        <v>14</v>
      </c>
      <c r="H83" s="17">
        <f>ROUND(VLOOKUP(H$67&amp;"_1",管理者用人口入力シート!BH:CE,J83,FALSE),0)</f>
        <v>28</v>
      </c>
      <c r="I83" s="17">
        <f>ROUND(VLOOKUP(H$67&amp;"_2",管理者用人口入力シート!BH:CE,J83,FALSE),0)</f>
        <v>23</v>
      </c>
      <c r="J83" s="2">
        <v>18</v>
      </c>
      <c r="K83" s="12"/>
      <c r="N83" s="2" t="s">
        <v>14</v>
      </c>
      <c r="O83" s="17">
        <f>ROUND(VLOOKUP(O$67&amp;"_1",管理者用人口入力シート!CO:DL,Q83,FALSE),0)</f>
        <v>28</v>
      </c>
      <c r="P83" s="17">
        <f>ROUND(VLOOKUP(O$67&amp;"_2",管理者用人口入力シート!CO:DL,Q83,FALSE),0)</f>
        <v>23</v>
      </c>
      <c r="Q83" s="2">
        <v>18</v>
      </c>
      <c r="U83" s="85"/>
    </row>
    <row r="84" spans="1:21" x14ac:dyDescent="0.15">
      <c r="A84" s="2" t="s">
        <v>19</v>
      </c>
      <c r="B84" s="17">
        <f>ROUND(VLOOKUP(B$63&amp;"_1",管理者用人口入力シート!A:X,D84,FALSE),0)</f>
        <v>1</v>
      </c>
      <c r="C84" s="17">
        <f>ROUND(VLOOKUP(B$63&amp;"_2",管理者用人口入力シート!A:X,D84,FALSE),0)</f>
        <v>1</v>
      </c>
      <c r="D84" s="2">
        <v>23</v>
      </c>
      <c r="G84" s="2" t="s">
        <v>15</v>
      </c>
      <c r="H84" s="17">
        <f>ROUND(VLOOKUP(H$67&amp;"_1",管理者用人口入力シート!BH:CE,J84,FALSE),0)</f>
        <v>25</v>
      </c>
      <c r="I84" s="17">
        <f>ROUND(VLOOKUP(H$67&amp;"_2",管理者用人口入力シート!BH:CE,J84,FALSE),0)</f>
        <v>20</v>
      </c>
      <c r="J84" s="2">
        <v>19</v>
      </c>
      <c r="K84" s="12"/>
      <c r="N84" s="2" t="s">
        <v>15</v>
      </c>
      <c r="O84" s="17">
        <f>ROUND(VLOOKUP(O$67&amp;"_1",管理者用人口入力シート!CO:DL,Q84,FALSE),0)</f>
        <v>25</v>
      </c>
      <c r="P84" s="17">
        <f>ROUND(VLOOKUP(O$67&amp;"_2",管理者用人口入力シート!CO:DL,Q84,FALSE),0)</f>
        <v>20</v>
      </c>
      <c r="Q84" s="2">
        <v>19</v>
      </c>
      <c r="U84" s="85"/>
    </row>
    <row r="85" spans="1:21" x14ac:dyDescent="0.15">
      <c r="A85" s="2" t="s">
        <v>20</v>
      </c>
      <c r="B85" s="17">
        <f>ROUND(VLOOKUP(B$63&amp;"_1",管理者用人口入力シート!A:X,D85,FALSE),0)</f>
        <v>0</v>
      </c>
      <c r="C85" s="17">
        <f>ROUND(VLOOKUP(B$63&amp;"_2",管理者用人口入力シート!A:X,D85,FALSE),0)</f>
        <v>0</v>
      </c>
      <c r="D85" s="2">
        <v>24</v>
      </c>
      <c r="G85" s="2" t="s">
        <v>16</v>
      </c>
      <c r="H85" s="17">
        <f>ROUND(VLOOKUP(H$67&amp;"_1",管理者用人口入力シート!BH:CE,J85,FALSE),0)</f>
        <v>12</v>
      </c>
      <c r="I85" s="17">
        <f>ROUND(VLOOKUP(H$67&amp;"_2",管理者用人口入力シート!BH:CE,J85,FALSE),0)</f>
        <v>14</v>
      </c>
      <c r="J85" s="2">
        <v>20</v>
      </c>
      <c r="K85" s="12"/>
      <c r="N85" s="2" t="s">
        <v>16</v>
      </c>
      <c r="O85" s="17">
        <f>ROUND(VLOOKUP(O$67&amp;"_1",管理者用人口入力シート!CO:DL,Q85,FALSE),0)</f>
        <v>12</v>
      </c>
      <c r="P85" s="17">
        <f>ROUND(VLOOKUP(O$67&amp;"_2",管理者用人口入力シート!CO:DL,Q85,FALSE),0)</f>
        <v>14</v>
      </c>
      <c r="Q85" s="2">
        <v>20</v>
      </c>
      <c r="U85" s="85"/>
    </row>
    <row r="86" spans="1:21" x14ac:dyDescent="0.15">
      <c r="G86" s="2" t="s">
        <v>17</v>
      </c>
      <c r="H86" s="17">
        <f>ROUND(VLOOKUP(H$67&amp;"_1",管理者用人口入力シート!BH:CE,J86,FALSE),0)</f>
        <v>12</v>
      </c>
      <c r="I86" s="17">
        <f>ROUND(VLOOKUP(H$67&amp;"_2",管理者用人口入力シート!BH:CE,J86,FALSE),0)</f>
        <v>12</v>
      </c>
      <c r="J86" s="2">
        <v>21</v>
      </c>
      <c r="K86" s="12"/>
      <c r="N86" s="2" t="s">
        <v>17</v>
      </c>
      <c r="O86" s="17">
        <f>ROUND(VLOOKUP(O$67&amp;"_1",管理者用人口入力シート!CO:DL,Q86,FALSE),0)</f>
        <v>12</v>
      </c>
      <c r="P86" s="17">
        <f>ROUND(VLOOKUP(O$67&amp;"_2",管理者用人口入力シート!CO:DL,Q86,FALSE),0)</f>
        <v>12</v>
      </c>
      <c r="Q86" s="2">
        <v>21</v>
      </c>
      <c r="U86" s="85"/>
    </row>
    <row r="87" spans="1:21" x14ac:dyDescent="0.15">
      <c r="A87" s="2" t="s">
        <v>62</v>
      </c>
      <c r="B87" s="317">
        <f>管理者入力シート!B5</f>
        <v>2020</v>
      </c>
      <c r="C87" s="318"/>
      <c r="D87" s="2" t="s">
        <v>114</v>
      </c>
      <c r="G87" s="2" t="s">
        <v>18</v>
      </c>
      <c r="H87" s="17">
        <f>ROUND(VLOOKUP(H$67&amp;"_1",管理者用人口入力シート!BH:CE,J87,FALSE),0)</f>
        <v>5</v>
      </c>
      <c r="I87" s="17">
        <f>ROUND(VLOOKUP(H$67&amp;"_2",管理者用人口入力シート!BH:CE,J87,FALSE),0)</f>
        <v>8</v>
      </c>
      <c r="J87" s="2">
        <v>22</v>
      </c>
      <c r="K87" s="12"/>
      <c r="N87" s="2" t="s">
        <v>18</v>
      </c>
      <c r="O87" s="17">
        <f>ROUND(VLOOKUP(O$67&amp;"_1",管理者用人口入力シート!CO:DL,Q87,FALSE),0)</f>
        <v>5</v>
      </c>
      <c r="P87" s="17">
        <f>ROUND(VLOOKUP(O$67&amp;"_2",管理者用人口入力シート!CO:DL,Q87,FALSE),0)</f>
        <v>8</v>
      </c>
      <c r="Q87" s="2">
        <v>22</v>
      </c>
      <c r="U87" s="85"/>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0</v>
      </c>
      <c r="J88" s="2">
        <v>23</v>
      </c>
      <c r="K88" s="12"/>
      <c r="N88" s="2" t="s">
        <v>19</v>
      </c>
      <c r="O88" s="17">
        <f>ROUND(VLOOKUP(O$67&amp;"_1",管理者用人口入力シート!CO:DL,Q88,FALSE),0)</f>
        <v>0</v>
      </c>
      <c r="P88" s="17">
        <f>ROUND(VLOOKUP(O$67&amp;"_2",管理者用人口入力シート!CO:DL,Q88,FALSE),0)</f>
        <v>0</v>
      </c>
      <c r="Q88" s="2">
        <v>23</v>
      </c>
      <c r="U88" s="85"/>
    </row>
    <row r="89" spans="1:21" x14ac:dyDescent="0.15">
      <c r="A89" s="2" t="s">
        <v>0</v>
      </c>
      <c r="B89" s="17">
        <f>ROUND(VLOOKUP(B$87&amp;"_1",管理者用人口入力シート!A:X,D89,FALSE),0)</f>
        <v>4</v>
      </c>
      <c r="C89" s="17">
        <f>ROUND(VLOOKUP(B$87&amp;"_2",管理者用人口入力シート!A:X,D89,FALSE),0)</f>
        <v>5</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5"/>
    </row>
    <row r="90" spans="1:21" x14ac:dyDescent="0.15">
      <c r="A90" s="2" t="s">
        <v>1</v>
      </c>
      <c r="B90" s="17">
        <f>ROUND(VLOOKUP(B$87&amp;"_1",管理者用人口入力シート!A:X,D90,FALSE),0)</f>
        <v>5</v>
      </c>
      <c r="C90" s="17">
        <f>ROUND(VLOOKUP(B$87&amp;"_2",管理者用人口入力シート!A:X,D90,FALSE),0)</f>
        <v>5</v>
      </c>
      <c r="D90" s="2">
        <v>5</v>
      </c>
    </row>
    <row r="91" spans="1:21" x14ac:dyDescent="0.15">
      <c r="A91" s="2" t="s">
        <v>2</v>
      </c>
      <c r="B91" s="17">
        <f>ROUND(VLOOKUP(B$87&amp;"_1",管理者用人口入力シート!A:X,D91,FALSE),0)</f>
        <v>9</v>
      </c>
      <c r="C91" s="17">
        <f>ROUND(VLOOKUP(B$87&amp;"_2",管理者用人口入力シート!A:X,D91,FALSE),0)</f>
        <v>6</v>
      </c>
      <c r="D91" s="2">
        <v>6</v>
      </c>
      <c r="G91" s="2" t="s">
        <v>107</v>
      </c>
      <c r="H91" s="317">
        <f>管理者入力シート!B9</f>
        <v>2030</v>
      </c>
      <c r="I91" s="318"/>
      <c r="J91" s="2" t="s">
        <v>114</v>
      </c>
      <c r="K91" s="208"/>
      <c r="O91" s="317">
        <f>管理者入力シート!B9</f>
        <v>2030</v>
      </c>
      <c r="P91" s="318"/>
      <c r="Q91" s="2" t="s">
        <v>114</v>
      </c>
    </row>
    <row r="92" spans="1:21" x14ac:dyDescent="0.15">
      <c r="A92" s="2" t="s">
        <v>3</v>
      </c>
      <c r="B92" s="17">
        <f>ROUND(VLOOKUP(B$87&amp;"_1",管理者用人口入力シート!A:X,D92,FALSE),0)</f>
        <v>6</v>
      </c>
      <c r="C92" s="17">
        <f>ROUND(VLOOKUP(B$87&amp;"_2",管理者用人口入力シート!A:X,D92,FALSE),0)</f>
        <v>5</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2</v>
      </c>
      <c r="C93" s="17">
        <f>ROUND(VLOOKUP(B$87&amp;"_2",管理者用人口入力シート!A:X,D93,FALSE),0)</f>
        <v>4</v>
      </c>
      <c r="D93" s="2">
        <v>8</v>
      </c>
      <c r="G93" s="2" t="s">
        <v>0</v>
      </c>
      <c r="H93" s="17">
        <f>ROUND(VLOOKUP(H$91&amp;"_1",管理者用人口入力シート!BH:CE,J93,FALSE),0)</f>
        <v>2</v>
      </c>
      <c r="I93" s="17">
        <f>ROUND(VLOOKUP(H$91&amp;"_2",管理者用人口入力シート!BH:CE,J93,FALSE),0)</f>
        <v>3</v>
      </c>
      <c r="J93" s="2">
        <v>4</v>
      </c>
      <c r="K93" s="12"/>
      <c r="N93" s="2" t="s">
        <v>0</v>
      </c>
      <c r="O93" s="17">
        <f>ROUND(VLOOKUP(O$91&amp;"_1",管理者用人口入力シート!CO:DL,Q93,FALSE),0)</f>
        <v>4</v>
      </c>
      <c r="P93" s="17">
        <f>ROUND(VLOOKUP(O$91&amp;"_2",管理者用人口入力シート!CO:DL,Q93,FALSE),0)</f>
        <v>4</v>
      </c>
      <c r="Q93" s="2">
        <v>4</v>
      </c>
      <c r="T93" s="85"/>
    </row>
    <row r="94" spans="1:21" x14ac:dyDescent="0.15">
      <c r="A94" s="2" t="s">
        <v>5</v>
      </c>
      <c r="B94" s="17">
        <f>ROUND(VLOOKUP(B$87&amp;"_1",管理者用人口入力シート!A:X,D94,FALSE),0)</f>
        <v>8</v>
      </c>
      <c r="C94" s="17">
        <f>ROUND(VLOOKUP(B$87&amp;"_2",管理者用人口入力シート!A:X,D94,FALSE),0)</f>
        <v>7</v>
      </c>
      <c r="D94" s="2">
        <v>9</v>
      </c>
      <c r="G94" s="2" t="s">
        <v>1</v>
      </c>
      <c r="H94" s="17">
        <f>ROUND(VLOOKUP(H$91&amp;"_1",管理者用人口入力シート!BH:CE,J94,FALSE),0)</f>
        <v>3</v>
      </c>
      <c r="I94" s="17">
        <f>ROUND(VLOOKUP(H$91&amp;"_2",管理者用人口入力シート!BH:CE,J94,FALSE),0)</f>
        <v>4</v>
      </c>
      <c r="J94" s="2">
        <v>5</v>
      </c>
      <c r="K94" s="12"/>
      <c r="N94" s="2" t="s">
        <v>1</v>
      </c>
      <c r="O94" s="17">
        <f>ROUND(VLOOKUP(O$91&amp;"_1",管理者用人口入力シート!CO:DL,Q94,FALSE),0)</f>
        <v>4</v>
      </c>
      <c r="P94" s="17">
        <f>ROUND(VLOOKUP(O$91&amp;"_2",管理者用人口入力シート!CO:DL,Q94,FALSE),0)</f>
        <v>5</v>
      </c>
      <c r="Q94" s="2">
        <v>5</v>
      </c>
      <c r="T94" s="85"/>
    </row>
    <row r="95" spans="1:21" x14ac:dyDescent="0.15">
      <c r="A95" s="2" t="s">
        <v>6</v>
      </c>
      <c r="B95" s="17">
        <f>ROUND(VLOOKUP(B$87&amp;"_1",管理者用人口入力シート!A:X,D95,FALSE),0)</f>
        <v>8</v>
      </c>
      <c r="C95" s="17">
        <f>ROUND(VLOOKUP(B$87&amp;"_2",管理者用人口入力シート!A:X,D95,FALSE),0)</f>
        <v>3</v>
      </c>
      <c r="D95" s="2">
        <v>10</v>
      </c>
      <c r="G95" s="2" t="s">
        <v>2</v>
      </c>
      <c r="H95" s="17">
        <f>ROUND(VLOOKUP(H$91&amp;"_1",管理者用人口入力シート!BH:CE,J95,FALSE),0)</f>
        <v>5</v>
      </c>
      <c r="I95" s="17">
        <f>ROUND(VLOOKUP(H$91&amp;"_2",管理者用人口入力シート!BH:CE,J95,FALSE),0)</f>
        <v>6</v>
      </c>
      <c r="J95" s="2">
        <v>6</v>
      </c>
      <c r="K95" s="12"/>
      <c r="N95" s="2" t="s">
        <v>2</v>
      </c>
      <c r="O95" s="17">
        <f>ROUND(VLOOKUP(O$91&amp;"_1",管理者用人口入力シート!CO:DL,Q95,FALSE),0)</f>
        <v>6</v>
      </c>
      <c r="P95" s="17">
        <f>ROUND(VLOOKUP(O$91&amp;"_2",管理者用人口入力シート!CO:DL,Q95,FALSE),0)</f>
        <v>7</v>
      </c>
      <c r="Q95" s="2">
        <v>6</v>
      </c>
      <c r="T95" s="85"/>
    </row>
    <row r="96" spans="1:21" x14ac:dyDescent="0.15">
      <c r="A96" s="2" t="s">
        <v>7</v>
      </c>
      <c r="B96" s="17">
        <f>ROUND(VLOOKUP(B$87&amp;"_1",管理者用人口入力シート!A:X,D96,FALSE),0)</f>
        <v>7</v>
      </c>
      <c r="C96" s="17">
        <f>ROUND(VLOOKUP(B$87&amp;"_2",管理者用人口入力シート!A:X,D96,FALSE),0)</f>
        <v>10</v>
      </c>
      <c r="D96" s="2">
        <v>11</v>
      </c>
      <c r="G96" s="2" t="s">
        <v>3</v>
      </c>
      <c r="H96" s="17">
        <f>ROUND(VLOOKUP(H$91&amp;"_1",管理者用人口入力シート!BH:CE,J96,FALSE),0)</f>
        <v>3</v>
      </c>
      <c r="I96" s="17">
        <f>ROUND(VLOOKUP(H$91&amp;"_2",管理者用人口入力シート!BH:CE,J96,FALSE),0)</f>
        <v>3</v>
      </c>
      <c r="J96" s="2">
        <v>7</v>
      </c>
      <c r="K96" s="12"/>
      <c r="N96" s="2" t="s">
        <v>3</v>
      </c>
      <c r="O96" s="17">
        <f>ROUND(VLOOKUP(O$91&amp;"_1",管理者用人口入力シート!CO:DL,Q96,FALSE),0)</f>
        <v>4</v>
      </c>
      <c r="P96" s="17">
        <f>ROUND(VLOOKUP(O$91&amp;"_2",管理者用人口入力シート!CO:DL,Q96,FALSE),0)</f>
        <v>4</v>
      </c>
      <c r="Q96" s="2">
        <v>7</v>
      </c>
      <c r="T96" s="85"/>
    </row>
    <row r="97" spans="1:20" x14ac:dyDescent="0.15">
      <c r="A97" s="2" t="s">
        <v>8</v>
      </c>
      <c r="B97" s="17">
        <f>ROUND(VLOOKUP(B$87&amp;"_1",管理者用人口入力シート!A:X,D97,FALSE),0)</f>
        <v>10</v>
      </c>
      <c r="C97" s="17">
        <f>ROUND(VLOOKUP(B$87&amp;"_2",管理者用人口入力シート!A:X,D97,FALSE),0)</f>
        <v>7</v>
      </c>
      <c r="D97" s="2">
        <v>12</v>
      </c>
      <c r="G97" s="2" t="s">
        <v>4</v>
      </c>
      <c r="H97" s="17">
        <f>ROUND(VLOOKUP(H$91&amp;"_1",管理者用人口入力シート!BH:CE,J97,FALSE),0)</f>
        <v>2</v>
      </c>
      <c r="I97" s="17">
        <f>ROUND(VLOOKUP(H$91&amp;"_2",管理者用人口入力シート!BH:CE,J97,FALSE),0)</f>
        <v>2</v>
      </c>
      <c r="J97" s="2">
        <v>8</v>
      </c>
      <c r="K97" s="12"/>
      <c r="N97" s="2" t="s">
        <v>4</v>
      </c>
      <c r="O97" s="17">
        <f>ROUND(VLOOKUP(O$91&amp;"_1",管理者用人口入力シート!CO:DL,Q97,FALSE),0)</f>
        <v>2</v>
      </c>
      <c r="P97" s="17">
        <f>ROUND(VLOOKUP(O$91&amp;"_2",管理者用人口入力シート!CO:DL,Q97,FALSE),0)</f>
        <v>2</v>
      </c>
      <c r="Q97" s="2">
        <v>8</v>
      </c>
      <c r="T97" s="85"/>
    </row>
    <row r="98" spans="1:20" x14ac:dyDescent="0.15">
      <c r="A98" s="2" t="s">
        <v>9</v>
      </c>
      <c r="B98" s="17">
        <f>ROUND(VLOOKUP(B$87&amp;"_1",管理者用人口入力シート!A:X,D98,FALSE),0)</f>
        <v>9</v>
      </c>
      <c r="C98" s="17">
        <f>ROUND(VLOOKUP(B$87&amp;"_2",管理者用人口入力シート!A:X,D98,FALSE),0)</f>
        <v>11</v>
      </c>
      <c r="D98" s="2">
        <v>13</v>
      </c>
      <c r="G98" s="2" t="s">
        <v>5</v>
      </c>
      <c r="H98" s="17">
        <f>ROUND(VLOOKUP(H$91&amp;"_1",管理者用人口入力シート!BH:CE,J98,FALSE),0)</f>
        <v>2</v>
      </c>
      <c r="I98" s="17">
        <f>ROUND(VLOOKUP(H$91&amp;"_2",管理者用人口入力シート!BH:CE,J98,FALSE),0)</f>
        <v>3</v>
      </c>
      <c r="J98" s="2">
        <v>9</v>
      </c>
      <c r="K98" s="12"/>
      <c r="N98" s="2" t="s">
        <v>5</v>
      </c>
      <c r="O98" s="17">
        <f>ROUND(VLOOKUP(O$91&amp;"_1",管理者用人口入力シート!CO:DL,Q98,FALSE),0)</f>
        <v>4</v>
      </c>
      <c r="P98" s="17">
        <f>ROUND(VLOOKUP(O$91&amp;"_2",管理者用人口入力シート!CO:DL,Q98,FALSE),0)</f>
        <v>5</v>
      </c>
      <c r="Q98" s="2">
        <v>9</v>
      </c>
      <c r="T98" s="85"/>
    </row>
    <row r="99" spans="1:20" x14ac:dyDescent="0.15">
      <c r="A99" s="2" t="s">
        <v>10</v>
      </c>
      <c r="B99" s="17">
        <f>ROUND(VLOOKUP(B$87&amp;"_1",管理者用人口入力シート!A:X,D99,FALSE),0)</f>
        <v>12</v>
      </c>
      <c r="C99" s="17">
        <f>ROUND(VLOOKUP(B$87&amp;"_2",管理者用人口入力シート!A:X,D99,FALSE),0)</f>
        <v>13</v>
      </c>
      <c r="D99" s="2">
        <v>14</v>
      </c>
      <c r="G99" s="2" t="s">
        <v>6</v>
      </c>
      <c r="H99" s="17">
        <f>ROUND(VLOOKUP(H$91&amp;"_1",管理者用人口入力シート!BH:CE,J99,FALSE),0)</f>
        <v>2</v>
      </c>
      <c r="I99" s="17">
        <f>ROUND(VLOOKUP(H$91&amp;"_2",管理者用人口入力シート!BH:CE,J99,FALSE),0)</f>
        <v>3</v>
      </c>
      <c r="J99" s="2">
        <v>10</v>
      </c>
      <c r="K99" s="12"/>
      <c r="N99" s="2" t="s">
        <v>6</v>
      </c>
      <c r="O99" s="17">
        <f>ROUND(VLOOKUP(O$91&amp;"_1",管理者用人口入力シート!CO:DL,Q99,FALSE),0)</f>
        <v>3</v>
      </c>
      <c r="P99" s="17">
        <f>ROUND(VLOOKUP(O$91&amp;"_2",管理者用人口入力シート!CO:DL,Q99,FALSE),0)</f>
        <v>5</v>
      </c>
      <c r="Q99" s="2">
        <v>10</v>
      </c>
      <c r="T99" s="85"/>
    </row>
    <row r="100" spans="1:20" x14ac:dyDescent="0.15">
      <c r="A100" s="2" t="s">
        <v>11</v>
      </c>
      <c r="B100" s="17">
        <f>ROUND(VLOOKUP(B$87&amp;"_1",管理者用人口入力シート!A:X,D100,FALSE),0)</f>
        <v>16</v>
      </c>
      <c r="C100" s="17">
        <f>ROUND(VLOOKUP(B$87&amp;"_2",管理者用人口入力シート!A:X,D100,FALSE),0)</f>
        <v>20</v>
      </c>
      <c r="D100" s="2">
        <v>15</v>
      </c>
      <c r="G100" s="2" t="s">
        <v>7</v>
      </c>
      <c r="H100" s="17">
        <f>ROUND(VLOOKUP(H$91&amp;"_1",管理者用人口入力シート!BH:CE,J100,FALSE),0)</f>
        <v>5</v>
      </c>
      <c r="I100" s="17">
        <f>ROUND(VLOOKUP(H$91&amp;"_2",管理者用人口入力シート!BH:CE,J100,FALSE),0)</f>
        <v>5</v>
      </c>
      <c r="J100" s="2">
        <v>11</v>
      </c>
      <c r="K100" s="12"/>
      <c r="N100" s="2" t="s">
        <v>7</v>
      </c>
      <c r="O100" s="17">
        <f>ROUND(VLOOKUP(O$91&amp;"_1",管理者用人口入力シート!CO:DL,Q100,FALSE),0)</f>
        <v>5</v>
      </c>
      <c r="P100" s="17">
        <f>ROUND(VLOOKUP(O$91&amp;"_2",管理者用人口入力シート!CO:DL,Q100,FALSE),0)</f>
        <v>5</v>
      </c>
      <c r="Q100" s="2">
        <v>11</v>
      </c>
      <c r="T100" s="85"/>
    </row>
    <row r="101" spans="1:20" x14ac:dyDescent="0.15">
      <c r="A101" s="2" t="s">
        <v>12</v>
      </c>
      <c r="B101" s="17">
        <f>ROUND(VLOOKUP(B$87&amp;"_1",管理者用人口入力シート!A:X,D101,FALSE),0)</f>
        <v>27</v>
      </c>
      <c r="C101" s="17">
        <f>ROUND(VLOOKUP(B$87&amp;"_2",管理者用人口入力シート!A:X,D101,FALSE),0)</f>
        <v>29</v>
      </c>
      <c r="D101" s="2">
        <v>16</v>
      </c>
      <c r="G101" s="2" t="s">
        <v>8</v>
      </c>
      <c r="H101" s="17">
        <f>ROUND(VLOOKUP(H$91&amp;"_1",管理者用人口入力シート!BH:CE,J101,FALSE),0)</f>
        <v>6</v>
      </c>
      <c r="I101" s="17">
        <f>ROUND(VLOOKUP(H$91&amp;"_2",管理者用人口入力シート!BH:CE,J101,FALSE),0)</f>
        <v>3</v>
      </c>
      <c r="J101" s="2">
        <v>12</v>
      </c>
      <c r="K101" s="12"/>
      <c r="N101" s="2" t="s">
        <v>8</v>
      </c>
      <c r="O101" s="17">
        <f>ROUND(VLOOKUP(O$91&amp;"_1",管理者用人口入力シート!CO:DL,Q101,FALSE),0)</f>
        <v>6</v>
      </c>
      <c r="P101" s="17">
        <f>ROUND(VLOOKUP(O$91&amp;"_2",管理者用人口入力シート!CO:DL,Q101,FALSE),0)</f>
        <v>4</v>
      </c>
      <c r="Q101" s="2">
        <v>12</v>
      </c>
      <c r="T101" s="85"/>
    </row>
    <row r="102" spans="1:20" x14ac:dyDescent="0.15">
      <c r="A102" s="2" t="s">
        <v>13</v>
      </c>
      <c r="B102" s="17">
        <f>ROUND(VLOOKUP(B$87&amp;"_1",管理者用人口入力シート!A:X,D102,FALSE),0)</f>
        <v>31</v>
      </c>
      <c r="C102" s="17">
        <f>ROUND(VLOOKUP(B$87&amp;"_2",管理者用人口入力シート!A:X,D102,FALSE),0)</f>
        <v>24</v>
      </c>
      <c r="D102" s="2">
        <v>17</v>
      </c>
      <c r="G102" s="2" t="s">
        <v>9</v>
      </c>
      <c r="H102" s="17">
        <f>ROUND(VLOOKUP(H$91&amp;"_1",管理者用人口入力シート!BH:CE,J102,FALSE),0)</f>
        <v>6</v>
      </c>
      <c r="I102" s="17">
        <f>ROUND(VLOOKUP(H$91&amp;"_2",管理者用人口入力シート!BH:CE,J102,FALSE),0)</f>
        <v>10</v>
      </c>
      <c r="J102" s="2">
        <v>13</v>
      </c>
      <c r="K102" s="12"/>
      <c r="N102" s="2" t="s">
        <v>9</v>
      </c>
      <c r="O102" s="17">
        <f>ROUND(VLOOKUP(O$91&amp;"_1",管理者用人口入力シート!CO:DL,Q102,FALSE),0)</f>
        <v>6</v>
      </c>
      <c r="P102" s="17">
        <f>ROUND(VLOOKUP(O$91&amp;"_2",管理者用人口入力シート!CO:DL,Q102,FALSE),0)</f>
        <v>11</v>
      </c>
      <c r="Q102" s="2">
        <v>13</v>
      </c>
      <c r="T102" s="85"/>
    </row>
    <row r="103" spans="1:20" x14ac:dyDescent="0.15">
      <c r="A103" s="2" t="s">
        <v>14</v>
      </c>
      <c r="B103" s="17">
        <f>ROUND(VLOOKUP(B$87&amp;"_1",管理者用人口入力シート!A:X,D103,FALSE),0)</f>
        <v>28</v>
      </c>
      <c r="C103" s="17">
        <f>ROUND(VLOOKUP(B$87&amp;"_2",管理者用人口入力シート!A:X,D103,FALSE),0)</f>
        <v>23</v>
      </c>
      <c r="D103" s="2">
        <v>18</v>
      </c>
      <c r="G103" s="2" t="s">
        <v>10</v>
      </c>
      <c r="H103" s="17">
        <f>ROUND(VLOOKUP(H$91&amp;"_1",管理者用人口入力シート!BH:CE,J103,FALSE),0)</f>
        <v>10</v>
      </c>
      <c r="I103" s="17">
        <f>ROUND(VLOOKUP(H$91&amp;"_2",管理者用人口入力シート!BH:CE,J103,FALSE),0)</f>
        <v>8</v>
      </c>
      <c r="J103" s="2">
        <v>14</v>
      </c>
      <c r="K103" s="12"/>
      <c r="N103" s="2" t="s">
        <v>10</v>
      </c>
      <c r="O103" s="17">
        <f>ROUND(VLOOKUP(O$91&amp;"_1",管理者用人口入力シート!CO:DL,Q103,FALSE),0)</f>
        <v>10</v>
      </c>
      <c r="P103" s="17">
        <f>ROUND(VLOOKUP(O$91&amp;"_2",管理者用人口入力シート!CO:DL,Q103,FALSE),0)</f>
        <v>8</v>
      </c>
      <c r="Q103" s="2">
        <v>14</v>
      </c>
      <c r="T103" s="85"/>
    </row>
    <row r="104" spans="1:20" x14ac:dyDescent="0.15">
      <c r="A104" s="2" t="s">
        <v>15</v>
      </c>
      <c r="B104" s="17">
        <f>ROUND(VLOOKUP(B$87&amp;"_1",管理者用人口入力シート!A:X,D104,FALSE),0)</f>
        <v>15</v>
      </c>
      <c r="C104" s="17">
        <f>ROUND(VLOOKUP(B$87&amp;"_2",管理者用人口入力シート!A:X,D104,FALSE),0)</f>
        <v>16</v>
      </c>
      <c r="D104" s="2">
        <v>19</v>
      </c>
      <c r="G104" s="2" t="s">
        <v>11</v>
      </c>
      <c r="H104" s="17">
        <f>ROUND(VLOOKUP(H$91&amp;"_1",管理者用人口入力シート!BH:CE,J104,FALSE),0)</f>
        <v>9</v>
      </c>
      <c r="I104" s="17">
        <f>ROUND(VLOOKUP(H$91&amp;"_2",管理者用人口入力シート!BH:CE,J104,FALSE),0)</f>
        <v>11</v>
      </c>
      <c r="J104" s="2">
        <v>15</v>
      </c>
      <c r="K104" s="12"/>
      <c r="N104" s="2" t="s">
        <v>11</v>
      </c>
      <c r="O104" s="17">
        <f>ROUND(VLOOKUP(O$91&amp;"_1",管理者用人口入力シート!CO:DL,Q104,FALSE),0)</f>
        <v>9</v>
      </c>
      <c r="P104" s="17">
        <f>ROUND(VLOOKUP(O$91&amp;"_2",管理者用人口入力シート!CO:DL,Q104,FALSE),0)</f>
        <v>11</v>
      </c>
      <c r="Q104" s="2">
        <v>15</v>
      </c>
      <c r="T104" s="85"/>
    </row>
    <row r="105" spans="1:20" x14ac:dyDescent="0.15">
      <c r="A105" s="2" t="s">
        <v>16</v>
      </c>
      <c r="B105" s="17">
        <f>ROUND(VLOOKUP(B$87&amp;"_1",管理者用人口入力シート!A:X,D105,FALSE),0)</f>
        <v>19</v>
      </c>
      <c r="C105" s="17">
        <f>ROUND(VLOOKUP(B$87&amp;"_2",管理者用人口入力シート!A:X,D105,FALSE),0)</f>
        <v>18</v>
      </c>
      <c r="D105" s="2">
        <v>20</v>
      </c>
      <c r="G105" s="2" t="s">
        <v>12</v>
      </c>
      <c r="H105" s="17">
        <f>ROUND(VLOOKUP(H$91&amp;"_1",管理者用人口入力シート!BH:CE,J105,FALSE),0)</f>
        <v>13</v>
      </c>
      <c r="I105" s="17">
        <f>ROUND(VLOOKUP(H$91&amp;"_2",管理者用人口入力シート!BH:CE,J105,FALSE),0)</f>
        <v>12</v>
      </c>
      <c r="J105" s="2">
        <v>16</v>
      </c>
      <c r="K105" s="12"/>
      <c r="N105" s="2" t="s">
        <v>12</v>
      </c>
      <c r="O105" s="17">
        <f>ROUND(VLOOKUP(O$91&amp;"_1",管理者用人口入力シート!CO:DL,Q105,FALSE),0)</f>
        <v>13</v>
      </c>
      <c r="P105" s="17">
        <f>ROUND(VLOOKUP(O$91&amp;"_2",管理者用人口入力シート!CO:DL,Q105,FALSE),0)</f>
        <v>12</v>
      </c>
      <c r="Q105" s="2">
        <v>16</v>
      </c>
      <c r="T105" s="85"/>
    </row>
    <row r="106" spans="1:20" x14ac:dyDescent="0.15">
      <c r="A106" s="2" t="s">
        <v>17</v>
      </c>
      <c r="B106" s="17">
        <f>ROUND(VLOOKUP(B$87&amp;"_1",管理者用人口入力シート!A:X,D106,FALSE),0)</f>
        <v>11</v>
      </c>
      <c r="C106" s="17">
        <f>ROUND(VLOOKUP(B$87&amp;"_2",管理者用人口入力シート!A:X,D106,FALSE),0)</f>
        <v>20</v>
      </c>
      <c r="D106" s="2">
        <v>21</v>
      </c>
      <c r="G106" s="2" t="s">
        <v>13</v>
      </c>
      <c r="H106" s="17">
        <f>ROUND(VLOOKUP(H$91&amp;"_1",管理者用人口入力シート!BH:CE,J106,FALSE),0)</f>
        <v>16</v>
      </c>
      <c r="I106" s="17">
        <f>ROUND(VLOOKUP(H$91&amp;"_2",管理者用人口入力シート!BH:CE,J106,FALSE),0)</f>
        <v>19</v>
      </c>
      <c r="J106" s="2">
        <v>17</v>
      </c>
      <c r="K106" s="12"/>
      <c r="N106" s="2" t="s">
        <v>13</v>
      </c>
      <c r="O106" s="17">
        <f>ROUND(VLOOKUP(O$91&amp;"_1",管理者用人口入力シート!CO:DL,Q106,FALSE),0)</f>
        <v>16</v>
      </c>
      <c r="P106" s="17">
        <f>ROUND(VLOOKUP(O$91&amp;"_2",管理者用人口入力シート!CO:DL,Q106,FALSE),0)</f>
        <v>19</v>
      </c>
      <c r="Q106" s="2">
        <v>17</v>
      </c>
      <c r="T106" s="85"/>
    </row>
    <row r="107" spans="1:20" x14ac:dyDescent="0.15">
      <c r="A107" s="2" t="s">
        <v>18</v>
      </c>
      <c r="B107" s="17">
        <f>ROUND(VLOOKUP(B$87&amp;"_1",管理者用人口入力シート!A:X,D107,FALSE),0)</f>
        <v>12</v>
      </c>
      <c r="C107" s="17">
        <f>ROUND(VLOOKUP(B$87&amp;"_2",管理者用人口入力シート!A:X,D107,FALSE),0)</f>
        <v>8</v>
      </c>
      <c r="D107" s="2">
        <v>22</v>
      </c>
      <c r="G107" s="2" t="s">
        <v>14</v>
      </c>
      <c r="H107" s="17">
        <f>ROUND(VLOOKUP(H$91&amp;"_1",管理者用人口入力シート!BH:CE,J107,FALSE),0)</f>
        <v>24</v>
      </c>
      <c r="I107" s="17">
        <f>ROUND(VLOOKUP(H$91&amp;"_2",管理者用人口入力シート!BH:CE,J107,FALSE),0)</f>
        <v>26</v>
      </c>
      <c r="J107" s="2">
        <v>18</v>
      </c>
      <c r="K107" s="12"/>
      <c r="N107" s="2" t="s">
        <v>14</v>
      </c>
      <c r="O107" s="17">
        <f>ROUND(VLOOKUP(O$91&amp;"_1",管理者用人口入力シート!CO:DL,Q107,FALSE),0)</f>
        <v>24</v>
      </c>
      <c r="P107" s="17">
        <f>ROUND(VLOOKUP(O$91&amp;"_2",管理者用人口入力シート!CO:DL,Q107,FALSE),0)</f>
        <v>26</v>
      </c>
      <c r="Q107" s="2">
        <v>18</v>
      </c>
      <c r="T107" s="85"/>
    </row>
    <row r="108" spans="1:20" x14ac:dyDescent="0.15">
      <c r="A108" s="2" t="s">
        <v>19</v>
      </c>
      <c r="B108" s="17">
        <f>ROUND(VLOOKUP(B$87&amp;"_1",管理者用人口入力シート!A:X,D108,FALSE),0)</f>
        <v>0</v>
      </c>
      <c r="C108" s="17">
        <f>ROUND(VLOOKUP(B$87&amp;"_2",管理者用人口入力シート!A:X,D108,FALSE),0)</f>
        <v>1</v>
      </c>
      <c r="D108" s="2">
        <v>23</v>
      </c>
      <c r="G108" s="2" t="s">
        <v>15</v>
      </c>
      <c r="H108" s="17">
        <f>ROUND(VLOOKUP(H$91&amp;"_1",管理者用人口入力シート!BH:CE,J108,FALSE),0)</f>
        <v>25</v>
      </c>
      <c r="I108" s="17">
        <f>ROUND(VLOOKUP(H$91&amp;"_2",管理者用人口入力シート!BH:CE,J108,FALSE),0)</f>
        <v>20</v>
      </c>
      <c r="J108" s="2">
        <v>19</v>
      </c>
      <c r="K108" s="12"/>
      <c r="N108" s="2" t="s">
        <v>15</v>
      </c>
      <c r="O108" s="17">
        <f>ROUND(VLOOKUP(O$91&amp;"_1",管理者用人口入力シート!CO:DL,Q108,FALSE),0)</f>
        <v>25</v>
      </c>
      <c r="P108" s="17">
        <f>ROUND(VLOOKUP(O$91&amp;"_2",管理者用人口入力シート!CO:DL,Q108,FALSE),0)</f>
        <v>20</v>
      </c>
      <c r="Q108" s="2">
        <v>19</v>
      </c>
      <c r="T108" s="85"/>
    </row>
    <row r="109" spans="1:20" x14ac:dyDescent="0.15">
      <c r="A109" s="2" t="s">
        <v>20</v>
      </c>
      <c r="B109" s="17">
        <f>ROUND(VLOOKUP(B$87&amp;"_1",管理者用人口入力シート!A:X,D109,FALSE),0)</f>
        <v>0</v>
      </c>
      <c r="C109" s="17">
        <f>ROUND(VLOOKUP(B$87&amp;"_2",管理者用人口入力シート!A:X,D109,FALSE),0)</f>
        <v>0</v>
      </c>
      <c r="D109" s="2">
        <v>24</v>
      </c>
      <c r="G109" s="2" t="s">
        <v>16</v>
      </c>
      <c r="H109" s="17">
        <f>ROUND(VLOOKUP(H$91&amp;"_1",管理者用人口入力シート!BH:CE,J109,FALSE),0)</f>
        <v>20</v>
      </c>
      <c r="I109" s="17">
        <f>ROUND(VLOOKUP(H$91&amp;"_2",管理者用人口入力シート!BH:CE,J109,FALSE),0)</f>
        <v>17</v>
      </c>
      <c r="J109" s="2">
        <v>20</v>
      </c>
      <c r="K109" s="12"/>
      <c r="N109" s="2" t="s">
        <v>16</v>
      </c>
      <c r="O109" s="17">
        <f>ROUND(VLOOKUP(O$91&amp;"_1",管理者用人口入力シート!CO:DL,Q109,FALSE),0)</f>
        <v>20</v>
      </c>
      <c r="P109" s="17">
        <f>ROUND(VLOOKUP(O$91&amp;"_2",管理者用人口入力シート!CO:DL,Q109,FALSE),0)</f>
        <v>17</v>
      </c>
      <c r="Q109" s="2">
        <v>20</v>
      </c>
      <c r="T109" s="85"/>
    </row>
    <row r="110" spans="1:20" x14ac:dyDescent="0.15">
      <c r="G110" s="2" t="s">
        <v>17</v>
      </c>
      <c r="H110" s="17">
        <f>ROUND(VLOOKUP(H$91&amp;"_1",管理者用人口入力シート!BH:CE,J110,FALSE),0)</f>
        <v>8</v>
      </c>
      <c r="I110" s="17">
        <f>ROUND(VLOOKUP(H$91&amp;"_2",管理者用人口入力シート!BH:CE,J110,FALSE),0)</f>
        <v>10</v>
      </c>
      <c r="J110" s="2">
        <v>21</v>
      </c>
      <c r="K110" s="12"/>
      <c r="N110" s="2" t="s">
        <v>17</v>
      </c>
      <c r="O110" s="17">
        <f>ROUND(VLOOKUP(O$91&amp;"_1",管理者用人口入力シート!CO:DL,Q110,FALSE),0)</f>
        <v>8</v>
      </c>
      <c r="P110" s="17">
        <f>ROUND(VLOOKUP(O$91&amp;"_2",管理者用人口入力シート!CO:DL,Q110,FALSE),0)</f>
        <v>10</v>
      </c>
      <c r="Q110" s="2">
        <v>21</v>
      </c>
      <c r="T110" s="85"/>
    </row>
    <row r="111" spans="1:20" x14ac:dyDescent="0.15">
      <c r="G111" s="2" t="s">
        <v>18</v>
      </c>
      <c r="H111" s="17">
        <f>ROUND(VLOOKUP(H$91&amp;"_1",管理者用人口入力シート!BH:CE,J111,FALSE),0)</f>
        <v>5</v>
      </c>
      <c r="I111" s="17">
        <f>ROUND(VLOOKUP(H$91&amp;"_2",管理者用人口入力シート!BH:CE,J111,FALSE),0)</f>
        <v>5</v>
      </c>
      <c r="J111" s="2">
        <v>22</v>
      </c>
      <c r="K111" s="12"/>
      <c r="N111" s="2" t="s">
        <v>18</v>
      </c>
      <c r="O111" s="17">
        <f>ROUND(VLOOKUP(O$91&amp;"_1",管理者用人口入力シート!CO:DL,Q111,FALSE),0)</f>
        <v>5</v>
      </c>
      <c r="P111" s="17">
        <f>ROUND(VLOOKUP(O$91&amp;"_2",管理者用人口入力シート!CO:DL,Q111,FALSE),0)</f>
        <v>5</v>
      </c>
      <c r="Q111" s="2">
        <v>22</v>
      </c>
      <c r="T111" s="85"/>
    </row>
    <row r="112" spans="1:20" x14ac:dyDescent="0.15">
      <c r="G112" s="2" t="s">
        <v>19</v>
      </c>
      <c r="H112" s="17">
        <f>ROUND(VLOOKUP(H$91&amp;"_1",管理者用人口入力シート!BH:CE,J112,FALSE),0)</f>
        <v>0</v>
      </c>
      <c r="I112" s="17">
        <f>ROUND(VLOOKUP(H$91&amp;"_2",管理者用人口入力シート!BH:CE,J112,FALSE),0)</f>
        <v>0</v>
      </c>
      <c r="J112" s="2">
        <v>23</v>
      </c>
      <c r="K112" s="12"/>
      <c r="N112" s="2" t="s">
        <v>19</v>
      </c>
      <c r="O112" s="17">
        <f>ROUND(VLOOKUP(O$91&amp;"_1",管理者用人口入力シート!CO:DL,Q112,FALSE),0)</f>
        <v>0</v>
      </c>
      <c r="P112" s="17">
        <f>ROUND(VLOOKUP(O$91&amp;"_2",管理者用人口入力シート!CO:DL,Q112,FALSE),0)</f>
        <v>0</v>
      </c>
      <c r="Q112" s="2">
        <v>23</v>
      </c>
      <c r="T112" s="85"/>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5"/>
    </row>
    <row r="115" spans="7:20" x14ac:dyDescent="0.15">
      <c r="G115" s="2" t="s">
        <v>394</v>
      </c>
      <c r="H115" s="317">
        <f>管理者入力シート!B10</f>
        <v>2035</v>
      </c>
      <c r="I115" s="318"/>
      <c r="J115" s="2" t="s">
        <v>114</v>
      </c>
      <c r="O115" s="317">
        <f>管理者入力シート!B10</f>
        <v>2035</v>
      </c>
      <c r="P115" s="318"/>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1</v>
      </c>
      <c r="I117" s="17">
        <f>ROUND(VLOOKUP(H$115&amp;"_2",管理者用人口入力シート!BH:CE,J117,FALSE),0)</f>
        <v>2</v>
      </c>
      <c r="J117" s="2">
        <v>4</v>
      </c>
      <c r="N117" s="2" t="s">
        <v>0</v>
      </c>
      <c r="O117" s="17">
        <f>ROUND(VLOOKUP(O$115&amp;"_1",管理者用人口入力シート!CO:DL,Q117,FALSE),0)</f>
        <v>3</v>
      </c>
      <c r="P117" s="17">
        <f>ROUND(VLOOKUP(O$115&amp;"_2",管理者用人口入力シート!CO:DL,Q117,FALSE),0)</f>
        <v>4</v>
      </c>
      <c r="Q117" s="2">
        <v>4</v>
      </c>
      <c r="T117" s="85"/>
    </row>
    <row r="118" spans="7:20" x14ac:dyDescent="0.15">
      <c r="G118" s="2" t="s">
        <v>1</v>
      </c>
      <c r="H118" s="17">
        <f>ROUND(VLOOKUP(H$115&amp;"_1",管理者用人口入力シート!BH:CE,J118,FALSE),0)</f>
        <v>2</v>
      </c>
      <c r="I118" s="17">
        <f>ROUND(VLOOKUP(H$115&amp;"_2",管理者用人口入力シート!BH:CE,J118,FALSE),0)</f>
        <v>3</v>
      </c>
      <c r="J118" s="2">
        <v>5</v>
      </c>
      <c r="N118" s="2" t="s">
        <v>1</v>
      </c>
      <c r="O118" s="17">
        <f>ROUND(VLOOKUP(O$115&amp;"_1",管理者用人口入力シート!CO:DL,Q118,FALSE),0)</f>
        <v>4</v>
      </c>
      <c r="P118" s="17">
        <f>ROUND(VLOOKUP(O$115&amp;"_2",管理者用人口入力シート!CO:DL,Q118,FALSE),0)</f>
        <v>5</v>
      </c>
      <c r="Q118" s="2">
        <v>5</v>
      </c>
      <c r="T118" s="85"/>
    </row>
    <row r="119" spans="7:20" x14ac:dyDescent="0.15">
      <c r="G119" s="2" t="s">
        <v>2</v>
      </c>
      <c r="H119" s="17">
        <f>ROUND(VLOOKUP(H$115&amp;"_1",管理者用人口入力シート!BH:CE,J119,FALSE),0)</f>
        <v>3</v>
      </c>
      <c r="I119" s="17">
        <f>ROUND(VLOOKUP(H$115&amp;"_2",管理者用人口入力シート!BH:CE,J119,FALSE),0)</f>
        <v>4</v>
      </c>
      <c r="J119" s="2">
        <v>6</v>
      </c>
      <c r="N119" s="2" t="s">
        <v>2</v>
      </c>
      <c r="O119" s="17">
        <f>ROUND(VLOOKUP(O$115&amp;"_1",管理者用人口入力シート!CO:DL,Q119,FALSE),0)</f>
        <v>5</v>
      </c>
      <c r="P119" s="17">
        <f>ROUND(VLOOKUP(O$115&amp;"_2",管理者用人口入力シート!CO:DL,Q119,FALSE),0)</f>
        <v>6</v>
      </c>
      <c r="Q119" s="2">
        <v>6</v>
      </c>
      <c r="T119" s="85"/>
    </row>
    <row r="120" spans="7:20" x14ac:dyDescent="0.15">
      <c r="G120" s="2" t="s">
        <v>3</v>
      </c>
      <c r="H120" s="17">
        <f>ROUND(VLOOKUP(H$115&amp;"_1",管理者用人口入力シート!BH:CE,J120,FALSE),0)</f>
        <v>3</v>
      </c>
      <c r="I120" s="17">
        <f>ROUND(VLOOKUP(H$115&amp;"_2",管理者用人口入力シート!BH:CE,J120,FALSE),0)</f>
        <v>4</v>
      </c>
      <c r="J120" s="2">
        <v>7</v>
      </c>
      <c r="N120" s="2" t="s">
        <v>3</v>
      </c>
      <c r="O120" s="17">
        <f>ROUND(VLOOKUP(O$115&amp;"_1",管理者用人口入力シート!CO:DL,Q120,FALSE),0)</f>
        <v>3</v>
      </c>
      <c r="P120" s="17">
        <f>ROUND(VLOOKUP(O$115&amp;"_2",管理者用人口入力シート!CO:DL,Q120,FALSE),0)</f>
        <v>4</v>
      </c>
      <c r="Q120" s="2">
        <v>7</v>
      </c>
      <c r="T120" s="85"/>
    </row>
    <row r="121" spans="7:20" x14ac:dyDescent="0.15">
      <c r="G121" s="2" t="s">
        <v>4</v>
      </c>
      <c r="H121" s="17">
        <f>ROUND(VLOOKUP(H$115&amp;"_1",管理者用人口入力シート!BH:CE,J121,FALSE),0)</f>
        <v>1</v>
      </c>
      <c r="I121" s="17">
        <f>ROUND(VLOOKUP(H$115&amp;"_2",管理者用人口入力シート!BH:CE,J121,FALSE),0)</f>
        <v>2</v>
      </c>
      <c r="J121" s="2">
        <v>8</v>
      </c>
      <c r="N121" s="2" t="s">
        <v>4</v>
      </c>
      <c r="O121" s="17">
        <f>ROUND(VLOOKUP(O$115&amp;"_1",管理者用人口入力シート!CO:DL,Q121,FALSE),0)</f>
        <v>1</v>
      </c>
      <c r="P121" s="17">
        <f>ROUND(VLOOKUP(O$115&amp;"_2",管理者用人口入力シート!CO:DL,Q121,FALSE),0)</f>
        <v>2</v>
      </c>
      <c r="Q121" s="2">
        <v>8</v>
      </c>
      <c r="T121" s="85"/>
    </row>
    <row r="122" spans="7:20" x14ac:dyDescent="0.15">
      <c r="G122" s="2" t="s">
        <v>5</v>
      </c>
      <c r="H122" s="17">
        <f>ROUND(VLOOKUP(H$115&amp;"_1",管理者用人口入力シート!BH:CE,J122,FALSE),0)</f>
        <v>2</v>
      </c>
      <c r="I122" s="17">
        <f>ROUND(VLOOKUP(H$115&amp;"_2",管理者用人口入力シート!BH:CE,J122,FALSE),0)</f>
        <v>2</v>
      </c>
      <c r="J122" s="2">
        <v>9</v>
      </c>
      <c r="N122" s="2" t="s">
        <v>5</v>
      </c>
      <c r="O122" s="17">
        <f>ROUND(VLOOKUP(O$115&amp;"_1",管理者用人口入力シート!CO:DL,Q122,FALSE),0)</f>
        <v>4</v>
      </c>
      <c r="P122" s="17">
        <f>ROUND(VLOOKUP(O$115&amp;"_2",管理者用人口入力シート!CO:DL,Q122,FALSE),0)</f>
        <v>4</v>
      </c>
      <c r="Q122" s="2">
        <v>9</v>
      </c>
      <c r="T122" s="85"/>
    </row>
    <row r="123" spans="7:20" x14ac:dyDescent="0.15">
      <c r="G123" s="2" t="s">
        <v>6</v>
      </c>
      <c r="H123" s="17">
        <f>ROUND(VLOOKUP(H$115&amp;"_1",管理者用人口入力シート!BH:CE,J123,FALSE),0)</f>
        <v>2</v>
      </c>
      <c r="I123" s="17">
        <f>ROUND(VLOOKUP(H$115&amp;"_2",管理者用人口入力シート!BH:CE,J123,FALSE),0)</f>
        <v>2</v>
      </c>
      <c r="J123" s="2">
        <v>10</v>
      </c>
      <c r="N123" s="2" t="s">
        <v>6</v>
      </c>
      <c r="O123" s="17">
        <f>ROUND(VLOOKUP(O$115&amp;"_1",管理者用人口入力シート!CO:DL,Q123,FALSE),0)</f>
        <v>4</v>
      </c>
      <c r="P123" s="17">
        <f>ROUND(VLOOKUP(O$115&amp;"_2",管理者用人口入力シート!CO:DL,Q123,FALSE),0)</f>
        <v>4</v>
      </c>
      <c r="Q123" s="2">
        <v>10</v>
      </c>
      <c r="T123" s="85"/>
    </row>
    <row r="124" spans="7:20" x14ac:dyDescent="0.15">
      <c r="G124" s="2" t="s">
        <v>7</v>
      </c>
      <c r="H124" s="17">
        <f>ROUND(VLOOKUP(H$115&amp;"_1",管理者用人口入力シート!BH:CE,J124,FALSE),0)</f>
        <v>1</v>
      </c>
      <c r="I124" s="17">
        <f>ROUND(VLOOKUP(H$115&amp;"_2",管理者用人口入力シート!BH:CE,J124,FALSE),0)</f>
        <v>2</v>
      </c>
      <c r="J124" s="2">
        <v>11</v>
      </c>
      <c r="N124" s="2" t="s">
        <v>7</v>
      </c>
      <c r="O124" s="17">
        <f>ROUND(VLOOKUP(O$115&amp;"_1",管理者用人口入力シート!CO:DL,Q124,FALSE),0)</f>
        <v>3</v>
      </c>
      <c r="P124" s="17">
        <f>ROUND(VLOOKUP(O$115&amp;"_2",管理者用人口入力シート!CO:DL,Q124,FALSE),0)</f>
        <v>4</v>
      </c>
      <c r="Q124" s="2">
        <v>11</v>
      </c>
      <c r="T124" s="85"/>
    </row>
    <row r="125" spans="7:20" x14ac:dyDescent="0.15">
      <c r="G125" s="2" t="s">
        <v>8</v>
      </c>
      <c r="H125" s="17">
        <f>ROUND(VLOOKUP(H$115&amp;"_1",管理者用人口入力シート!BH:CE,J125,FALSE),0)</f>
        <v>5</v>
      </c>
      <c r="I125" s="17">
        <f>ROUND(VLOOKUP(H$115&amp;"_2",管理者用人口入力シート!BH:CE,J125,FALSE),0)</f>
        <v>5</v>
      </c>
      <c r="J125" s="2">
        <v>12</v>
      </c>
      <c r="N125" s="2" t="s">
        <v>8</v>
      </c>
      <c r="O125" s="17">
        <f>ROUND(VLOOKUP(O$115&amp;"_1",管理者用人口入力シート!CO:DL,Q125,FALSE),0)</f>
        <v>5</v>
      </c>
      <c r="P125" s="17">
        <f>ROUND(VLOOKUP(O$115&amp;"_2",管理者用人口入力シート!CO:DL,Q125,FALSE),0)</f>
        <v>6</v>
      </c>
      <c r="Q125" s="2">
        <v>12</v>
      </c>
      <c r="T125" s="85"/>
    </row>
    <row r="126" spans="7:20" x14ac:dyDescent="0.15">
      <c r="G126" s="2" t="s">
        <v>9</v>
      </c>
      <c r="H126" s="17">
        <f>ROUND(VLOOKUP(H$115&amp;"_1",管理者用人口入力シート!BH:CE,J126,FALSE),0)</f>
        <v>6</v>
      </c>
      <c r="I126" s="17">
        <f>ROUND(VLOOKUP(H$115&amp;"_2",管理者用人口入力シート!BH:CE,J126,FALSE),0)</f>
        <v>3</v>
      </c>
      <c r="J126" s="2">
        <v>13</v>
      </c>
      <c r="N126" s="2" t="s">
        <v>9</v>
      </c>
      <c r="O126" s="17">
        <f>ROUND(VLOOKUP(O$115&amp;"_1",管理者用人口入力シート!CO:DL,Q126,FALSE),0)</f>
        <v>6</v>
      </c>
      <c r="P126" s="17">
        <f>ROUND(VLOOKUP(O$115&amp;"_2",管理者用人口入力シート!CO:DL,Q126,FALSE),0)</f>
        <v>4</v>
      </c>
      <c r="Q126" s="2">
        <v>13</v>
      </c>
      <c r="T126" s="85"/>
    </row>
    <row r="127" spans="7:20" x14ac:dyDescent="0.15">
      <c r="G127" s="2" t="s">
        <v>10</v>
      </c>
      <c r="H127" s="17">
        <f>ROUND(VLOOKUP(H$115&amp;"_1",管理者用人口入力シート!BH:CE,J127,FALSE),0)</f>
        <v>6</v>
      </c>
      <c r="I127" s="17">
        <f>ROUND(VLOOKUP(H$115&amp;"_2",管理者用人口入力シート!BH:CE,J127,FALSE),0)</f>
        <v>10</v>
      </c>
      <c r="J127" s="2">
        <v>14</v>
      </c>
      <c r="N127" s="2" t="s">
        <v>10</v>
      </c>
      <c r="O127" s="17">
        <f>ROUND(VLOOKUP(O$115&amp;"_1",管理者用人口入力シート!CO:DL,Q127,FALSE),0)</f>
        <v>6</v>
      </c>
      <c r="P127" s="17">
        <f>ROUND(VLOOKUP(O$115&amp;"_2",管理者用人口入力シート!CO:DL,Q127,FALSE),0)</f>
        <v>11</v>
      </c>
      <c r="Q127" s="2">
        <v>14</v>
      </c>
      <c r="T127" s="85"/>
    </row>
    <row r="128" spans="7:20" x14ac:dyDescent="0.15">
      <c r="G128" s="2" t="s">
        <v>11</v>
      </c>
      <c r="H128" s="17">
        <f>ROUND(VLOOKUP(H$115&amp;"_1",管理者用人口入力シート!BH:CE,J128,FALSE),0)</f>
        <v>10</v>
      </c>
      <c r="I128" s="17">
        <f>ROUND(VLOOKUP(H$115&amp;"_2",管理者用人口入力シート!BH:CE,J128,FALSE),0)</f>
        <v>8</v>
      </c>
      <c r="J128" s="2">
        <v>15</v>
      </c>
      <c r="N128" s="2" t="s">
        <v>11</v>
      </c>
      <c r="O128" s="17">
        <f>ROUND(VLOOKUP(O$115&amp;"_1",管理者用人口入力シート!CO:DL,Q128,FALSE),0)</f>
        <v>10</v>
      </c>
      <c r="P128" s="17">
        <f>ROUND(VLOOKUP(O$115&amp;"_2",管理者用人口入力シート!CO:DL,Q128,FALSE),0)</f>
        <v>8</v>
      </c>
      <c r="Q128" s="2">
        <v>15</v>
      </c>
      <c r="T128" s="85"/>
    </row>
    <row r="129" spans="7:20" x14ac:dyDescent="0.15">
      <c r="G129" s="2" t="s">
        <v>12</v>
      </c>
      <c r="H129" s="17">
        <f>ROUND(VLOOKUP(H$115&amp;"_1",管理者用人口入力シート!BH:CE,J129,FALSE),0)</f>
        <v>10</v>
      </c>
      <c r="I129" s="17">
        <f>ROUND(VLOOKUP(H$115&amp;"_2",管理者用人口入力シート!BH:CE,J129,FALSE),0)</f>
        <v>11</v>
      </c>
      <c r="J129" s="2">
        <v>16</v>
      </c>
      <c r="N129" s="2" t="s">
        <v>12</v>
      </c>
      <c r="O129" s="17">
        <f>ROUND(VLOOKUP(O$115&amp;"_1",管理者用人口入力シート!CO:DL,Q129,FALSE),0)</f>
        <v>10</v>
      </c>
      <c r="P129" s="17">
        <f>ROUND(VLOOKUP(O$115&amp;"_2",管理者用人口入力シート!CO:DL,Q129,FALSE),0)</f>
        <v>11</v>
      </c>
      <c r="Q129" s="2">
        <v>16</v>
      </c>
      <c r="T129" s="85"/>
    </row>
    <row r="130" spans="7:20" x14ac:dyDescent="0.15">
      <c r="G130" s="2" t="s">
        <v>13</v>
      </c>
      <c r="H130" s="17">
        <f>ROUND(VLOOKUP(H$115&amp;"_1",管理者用人口入力シート!BH:CE,J130,FALSE),0)</f>
        <v>12</v>
      </c>
      <c r="I130" s="17">
        <f>ROUND(VLOOKUP(H$115&amp;"_2",管理者用人口入力シート!BH:CE,J130,FALSE),0)</f>
        <v>12</v>
      </c>
      <c r="J130" s="2">
        <v>17</v>
      </c>
      <c r="N130" s="2" t="s">
        <v>13</v>
      </c>
      <c r="O130" s="17">
        <f>ROUND(VLOOKUP(O$115&amp;"_1",管理者用人口入力シート!CO:DL,Q130,FALSE),0)</f>
        <v>12</v>
      </c>
      <c r="P130" s="17">
        <f>ROUND(VLOOKUP(O$115&amp;"_2",管理者用人口入力シート!CO:DL,Q130,FALSE),0)</f>
        <v>12</v>
      </c>
      <c r="Q130" s="2">
        <v>17</v>
      </c>
      <c r="T130" s="85"/>
    </row>
    <row r="131" spans="7:20" x14ac:dyDescent="0.15">
      <c r="G131" s="2" t="s">
        <v>14</v>
      </c>
      <c r="H131" s="17">
        <f>ROUND(VLOOKUP(H$115&amp;"_1",管理者用人口入力シート!BH:CE,J131,FALSE),0)</f>
        <v>15</v>
      </c>
      <c r="I131" s="17">
        <f>ROUND(VLOOKUP(H$115&amp;"_2",管理者用人口入力シート!BH:CE,J131,FALSE),0)</f>
        <v>18</v>
      </c>
      <c r="J131" s="2">
        <v>18</v>
      </c>
      <c r="N131" s="2" t="s">
        <v>14</v>
      </c>
      <c r="O131" s="17">
        <f>ROUND(VLOOKUP(O$115&amp;"_1",管理者用人口入力シート!CO:DL,Q131,FALSE),0)</f>
        <v>15</v>
      </c>
      <c r="P131" s="17">
        <f>ROUND(VLOOKUP(O$115&amp;"_2",管理者用人口入力シート!CO:DL,Q131,FALSE),0)</f>
        <v>18</v>
      </c>
      <c r="Q131" s="2">
        <v>18</v>
      </c>
      <c r="T131" s="85"/>
    </row>
    <row r="132" spans="7:20" x14ac:dyDescent="0.15">
      <c r="G132" s="2" t="s">
        <v>15</v>
      </c>
      <c r="H132" s="17">
        <f>ROUND(VLOOKUP(H$115&amp;"_1",管理者用人口入力シート!BH:CE,J132,FALSE),0)</f>
        <v>21</v>
      </c>
      <c r="I132" s="17">
        <f>ROUND(VLOOKUP(H$115&amp;"_2",管理者用人口入力シート!BH:CE,J132,FALSE),0)</f>
        <v>23</v>
      </c>
      <c r="J132" s="2">
        <v>19</v>
      </c>
      <c r="N132" s="2" t="s">
        <v>15</v>
      </c>
      <c r="O132" s="17">
        <f>ROUND(VLOOKUP(O$115&amp;"_1",管理者用人口入力シート!CO:DL,Q132,FALSE),0)</f>
        <v>21</v>
      </c>
      <c r="P132" s="17">
        <f>ROUND(VLOOKUP(O$115&amp;"_2",管理者用人口入力シート!CO:DL,Q132,FALSE),0)</f>
        <v>23</v>
      </c>
      <c r="Q132" s="2">
        <v>19</v>
      </c>
      <c r="T132" s="85"/>
    </row>
    <row r="133" spans="7:20" x14ac:dyDescent="0.15">
      <c r="G133" s="2" t="s">
        <v>16</v>
      </c>
      <c r="H133" s="17">
        <f>ROUND(VLOOKUP(H$115&amp;"_1",管理者用人口入力シート!BH:CE,J133,FALSE),0)</f>
        <v>20</v>
      </c>
      <c r="I133" s="17">
        <f>ROUND(VLOOKUP(H$115&amp;"_2",管理者用人口入力シート!BH:CE,J133,FALSE),0)</f>
        <v>18</v>
      </c>
      <c r="J133" s="2">
        <v>20</v>
      </c>
      <c r="N133" s="2" t="s">
        <v>16</v>
      </c>
      <c r="O133" s="17">
        <f>ROUND(VLOOKUP(O$115&amp;"_1",管理者用人口入力シート!CO:DL,Q133,FALSE),0)</f>
        <v>20</v>
      </c>
      <c r="P133" s="17">
        <f>ROUND(VLOOKUP(O$115&amp;"_2",管理者用人口入力シート!CO:DL,Q133,FALSE),0)</f>
        <v>18</v>
      </c>
      <c r="Q133" s="2">
        <v>20</v>
      </c>
      <c r="T133" s="85"/>
    </row>
    <row r="134" spans="7:20" x14ac:dyDescent="0.15">
      <c r="G134" s="2" t="s">
        <v>17</v>
      </c>
      <c r="H134" s="17">
        <f>ROUND(VLOOKUP(H$115&amp;"_1",管理者用人口入力シート!BH:CE,J134,FALSE),0)</f>
        <v>13</v>
      </c>
      <c r="I134" s="17">
        <f>ROUND(VLOOKUP(H$115&amp;"_2",管理者用人口入力シート!BH:CE,J134,FALSE),0)</f>
        <v>12</v>
      </c>
      <c r="J134" s="2">
        <v>21</v>
      </c>
      <c r="N134" s="2" t="s">
        <v>17</v>
      </c>
      <c r="O134" s="17">
        <f>ROUND(VLOOKUP(O$115&amp;"_1",管理者用人口入力シート!CO:DL,Q134,FALSE),0)</f>
        <v>13</v>
      </c>
      <c r="P134" s="17">
        <f>ROUND(VLOOKUP(O$115&amp;"_2",管理者用人口入力シート!CO:DL,Q134,FALSE),0)</f>
        <v>12</v>
      </c>
      <c r="Q134" s="2">
        <v>21</v>
      </c>
      <c r="T134" s="85"/>
    </row>
    <row r="135" spans="7:20" x14ac:dyDescent="0.15">
      <c r="G135" s="2" t="s">
        <v>18</v>
      </c>
      <c r="H135" s="17">
        <f>ROUND(VLOOKUP(H$115&amp;"_1",管理者用人口入力シート!BH:CE,J135,FALSE),0)</f>
        <v>3</v>
      </c>
      <c r="I135" s="17">
        <f>ROUND(VLOOKUP(H$115&amp;"_2",管理者用人口入力シート!BH:CE,J135,FALSE),0)</f>
        <v>4</v>
      </c>
      <c r="J135" s="2">
        <v>22</v>
      </c>
      <c r="N135" s="2" t="s">
        <v>18</v>
      </c>
      <c r="O135" s="17">
        <f>ROUND(VLOOKUP(O$115&amp;"_1",管理者用人口入力シート!CO:DL,Q135,FALSE),0)</f>
        <v>3</v>
      </c>
      <c r="P135" s="17">
        <f>ROUND(VLOOKUP(O$115&amp;"_2",管理者用人口入力シート!CO:DL,Q135,FALSE),0)</f>
        <v>4</v>
      </c>
      <c r="Q135" s="2">
        <v>22</v>
      </c>
      <c r="T135" s="85"/>
    </row>
    <row r="136" spans="7:20" x14ac:dyDescent="0.15">
      <c r="G136" s="2" t="s">
        <v>19</v>
      </c>
      <c r="H136" s="17">
        <f>ROUND(VLOOKUP(H$115&amp;"_1",管理者用人口入力シート!BH:CE,J136,FALSE),0)</f>
        <v>0</v>
      </c>
      <c r="I136" s="17">
        <f>ROUND(VLOOKUP(H$115&amp;"_2",管理者用人口入力シート!BH:CE,J136,FALSE),0)</f>
        <v>0</v>
      </c>
      <c r="J136" s="2">
        <v>23</v>
      </c>
      <c r="N136" s="2" t="s">
        <v>19</v>
      </c>
      <c r="O136" s="17">
        <f>ROUND(VLOOKUP(O$115&amp;"_1",管理者用人口入力シート!CO:DL,Q136,FALSE),0)</f>
        <v>0</v>
      </c>
      <c r="P136" s="17">
        <f>ROUND(VLOOKUP(O$115&amp;"_2",管理者用人口入力シート!CO:DL,Q136,FALSE),0)</f>
        <v>0</v>
      </c>
      <c r="Q136" s="2">
        <v>23</v>
      </c>
      <c r="T136" s="85"/>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5"/>
    </row>
    <row r="139" spans="7:20" x14ac:dyDescent="0.15">
      <c r="G139" s="2" t="s">
        <v>109</v>
      </c>
      <c r="H139" s="317">
        <f>管理者入力シート!B11</f>
        <v>2040</v>
      </c>
      <c r="I139" s="318"/>
      <c r="J139" s="2" t="s">
        <v>114</v>
      </c>
      <c r="O139" s="317">
        <f>管理者入力シート!B11</f>
        <v>2040</v>
      </c>
      <c r="P139" s="318"/>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1</v>
      </c>
      <c r="I141" s="17">
        <f>ROUND(VLOOKUP(H$139&amp;"_2",管理者用人口入力シート!BH:CE,J141,FALSE),0)</f>
        <v>2</v>
      </c>
      <c r="J141" s="2">
        <v>4</v>
      </c>
      <c r="N141" s="2" t="s">
        <v>0</v>
      </c>
      <c r="O141" s="17">
        <f>ROUND(VLOOKUP(O$139&amp;"_1",管理者用人口入力シート!CO:DL,Q141,FALSE),0)</f>
        <v>3</v>
      </c>
      <c r="P141" s="17">
        <f>ROUND(VLOOKUP(O$139&amp;"_2",管理者用人口入力シート!CO:DL,Q141,FALSE),0)</f>
        <v>4</v>
      </c>
      <c r="Q141" s="2">
        <v>4</v>
      </c>
    </row>
    <row r="142" spans="7:20" x14ac:dyDescent="0.15">
      <c r="G142" s="2" t="s">
        <v>1</v>
      </c>
      <c r="H142" s="17">
        <f>ROUND(VLOOKUP(H$139&amp;"_1",管理者用人口入力シート!BH:CE,J142,FALSE),0)</f>
        <v>2</v>
      </c>
      <c r="I142" s="17">
        <f>ROUND(VLOOKUP(H$139&amp;"_2",管理者用人口入力シート!BH:CE,J142,FALSE),0)</f>
        <v>2</v>
      </c>
      <c r="J142" s="2">
        <v>5</v>
      </c>
      <c r="N142" s="2" t="s">
        <v>1</v>
      </c>
      <c r="O142" s="17">
        <f>ROUND(VLOOKUP(O$139&amp;"_1",管理者用人口入力シート!CO:DL,Q142,FALSE),0)</f>
        <v>4</v>
      </c>
      <c r="P142" s="17">
        <f>ROUND(VLOOKUP(O$139&amp;"_2",管理者用人口入力シート!CO:DL,Q142,FALSE),0)</f>
        <v>4</v>
      </c>
      <c r="Q142" s="2">
        <v>5</v>
      </c>
    </row>
    <row r="143" spans="7:20" x14ac:dyDescent="0.15">
      <c r="G143" s="2" t="s">
        <v>2</v>
      </c>
      <c r="H143" s="17">
        <f>ROUND(VLOOKUP(H$139&amp;"_1",管理者用人口入力シート!BH:CE,J143,FALSE),0)</f>
        <v>2</v>
      </c>
      <c r="I143" s="17">
        <f>ROUND(VLOOKUP(H$139&amp;"_2",管理者用人口入力シート!BH:CE,J143,FALSE),0)</f>
        <v>3</v>
      </c>
      <c r="J143" s="2">
        <v>6</v>
      </c>
      <c r="N143" s="2" t="s">
        <v>2</v>
      </c>
      <c r="O143" s="17">
        <f>ROUND(VLOOKUP(O$139&amp;"_1",管理者用人口入力シート!CO:DL,Q143,FALSE),0)</f>
        <v>5</v>
      </c>
      <c r="P143" s="17">
        <f>ROUND(VLOOKUP(O$139&amp;"_2",管理者用人口入力シート!CO:DL,Q143,FALSE),0)</f>
        <v>6</v>
      </c>
      <c r="Q143" s="2">
        <v>6</v>
      </c>
    </row>
    <row r="144" spans="7:20" x14ac:dyDescent="0.15">
      <c r="G144" s="2" t="s">
        <v>3</v>
      </c>
      <c r="H144" s="17">
        <f>ROUND(VLOOKUP(H$139&amp;"_1",管理者用人口入力シート!BH:CE,J144,FALSE),0)</f>
        <v>2</v>
      </c>
      <c r="I144" s="17">
        <f>ROUND(VLOOKUP(H$139&amp;"_2",管理者用人口入力シート!BH:CE,J144,FALSE),0)</f>
        <v>2</v>
      </c>
      <c r="J144" s="2">
        <v>7</v>
      </c>
      <c r="N144" s="2" t="s">
        <v>3</v>
      </c>
      <c r="O144" s="17">
        <f>ROUND(VLOOKUP(O$139&amp;"_1",管理者用人口入力シート!CO:DL,Q144,FALSE),0)</f>
        <v>3</v>
      </c>
      <c r="P144" s="17">
        <f>ROUND(VLOOKUP(O$139&amp;"_2",管理者用人口入力シート!CO:DL,Q144,FALSE),0)</f>
        <v>4</v>
      </c>
      <c r="Q144" s="2">
        <v>7</v>
      </c>
    </row>
    <row r="145" spans="7:17" x14ac:dyDescent="0.15">
      <c r="G145" s="2" t="s">
        <v>4</v>
      </c>
      <c r="H145" s="17">
        <f>ROUND(VLOOKUP(H$139&amp;"_1",管理者用人口入力シート!BH:CE,J145,FALSE),0)</f>
        <v>1</v>
      </c>
      <c r="I145" s="17">
        <f>ROUND(VLOOKUP(H$139&amp;"_2",管理者用人口入力シート!BH:CE,J145,FALSE),0)</f>
        <v>2</v>
      </c>
      <c r="J145" s="2">
        <v>8</v>
      </c>
      <c r="N145" s="2" t="s">
        <v>4</v>
      </c>
      <c r="O145" s="17">
        <f>ROUND(VLOOKUP(O$139&amp;"_1",管理者用人口入力シート!CO:DL,Q145,FALSE),0)</f>
        <v>1</v>
      </c>
      <c r="P145" s="17">
        <f>ROUND(VLOOKUP(O$139&amp;"_2",管理者用人口入力シート!CO:DL,Q145,FALSE),0)</f>
        <v>2</v>
      </c>
      <c r="Q145" s="2">
        <v>8</v>
      </c>
    </row>
    <row r="146" spans="7:17" x14ac:dyDescent="0.15">
      <c r="G146" s="2" t="s">
        <v>5</v>
      </c>
      <c r="H146" s="17">
        <f>ROUND(VLOOKUP(H$139&amp;"_1",管理者用人口入力シート!BH:CE,J146,FALSE),0)</f>
        <v>1</v>
      </c>
      <c r="I146" s="17">
        <f>ROUND(VLOOKUP(H$139&amp;"_2",管理者用人口入力シート!BH:CE,J146,FALSE),0)</f>
        <v>2</v>
      </c>
      <c r="J146" s="2">
        <v>9</v>
      </c>
      <c r="N146" s="2" t="s">
        <v>5</v>
      </c>
      <c r="O146" s="17">
        <f>ROUND(VLOOKUP(O$139&amp;"_1",管理者用人口入力シート!CO:DL,Q146,FALSE),0)</f>
        <v>3</v>
      </c>
      <c r="P146" s="17">
        <f>ROUND(VLOOKUP(O$139&amp;"_2",管理者用人口入力シート!CO:DL,Q146,FALSE),0)</f>
        <v>4</v>
      </c>
      <c r="Q146" s="2">
        <v>9</v>
      </c>
    </row>
    <row r="147" spans="7:17" x14ac:dyDescent="0.15">
      <c r="G147" s="2" t="s">
        <v>6</v>
      </c>
      <c r="H147" s="17">
        <f>ROUND(VLOOKUP(H$139&amp;"_1",管理者用人口入力シート!BH:CE,J147,FALSE),0)</f>
        <v>1</v>
      </c>
      <c r="I147" s="17">
        <f>ROUND(VLOOKUP(H$139&amp;"_2",管理者用人口入力シート!BH:CE,J147,FALSE),0)</f>
        <v>2</v>
      </c>
      <c r="J147" s="2">
        <v>10</v>
      </c>
      <c r="N147" s="2" t="s">
        <v>6</v>
      </c>
      <c r="O147" s="17">
        <f>ROUND(VLOOKUP(O$139&amp;"_1",管理者用人口入力シート!CO:DL,Q147,FALSE),0)</f>
        <v>3</v>
      </c>
      <c r="P147" s="17">
        <f>ROUND(VLOOKUP(O$139&amp;"_2",管理者用人口入力シート!CO:DL,Q147,FALSE),0)</f>
        <v>3</v>
      </c>
      <c r="Q147" s="2">
        <v>10</v>
      </c>
    </row>
    <row r="148" spans="7:17" x14ac:dyDescent="0.15">
      <c r="G148" s="2" t="s">
        <v>7</v>
      </c>
      <c r="H148" s="17">
        <f>ROUND(VLOOKUP(H$139&amp;"_1",管理者用人口入力シート!BH:CE,J148,FALSE),0)</f>
        <v>2</v>
      </c>
      <c r="I148" s="17">
        <f>ROUND(VLOOKUP(H$139&amp;"_2",管理者用人口入力シート!BH:CE,J148,FALSE),0)</f>
        <v>2</v>
      </c>
      <c r="J148" s="2">
        <v>11</v>
      </c>
      <c r="N148" s="2" t="s">
        <v>7</v>
      </c>
      <c r="O148" s="17">
        <f>ROUND(VLOOKUP(O$139&amp;"_1",管理者用人口入力シート!CO:DL,Q148,FALSE),0)</f>
        <v>3</v>
      </c>
      <c r="P148" s="17">
        <f>ROUND(VLOOKUP(O$139&amp;"_2",管理者用人口入力シート!CO:DL,Q148,FALSE),0)</f>
        <v>3</v>
      </c>
      <c r="Q148" s="2">
        <v>11</v>
      </c>
    </row>
    <row r="149" spans="7:17" x14ac:dyDescent="0.15">
      <c r="G149" s="2" t="s">
        <v>8</v>
      </c>
      <c r="H149" s="17">
        <f>ROUND(VLOOKUP(H$139&amp;"_1",管理者用人口入力シート!BH:CE,J149,FALSE),0)</f>
        <v>1</v>
      </c>
      <c r="I149" s="17">
        <f>ROUND(VLOOKUP(H$139&amp;"_2",管理者用人口入力シート!BH:CE,J149,FALSE),0)</f>
        <v>2</v>
      </c>
      <c r="J149" s="2">
        <v>12</v>
      </c>
      <c r="N149" s="2" t="s">
        <v>8</v>
      </c>
      <c r="O149" s="17">
        <f>ROUND(VLOOKUP(O$139&amp;"_1",管理者用人口入力シート!CO:DL,Q149,FALSE),0)</f>
        <v>2</v>
      </c>
      <c r="P149" s="17">
        <f>ROUND(VLOOKUP(O$139&amp;"_2",管理者用人口入力シート!CO:DL,Q149,FALSE),0)</f>
        <v>5</v>
      </c>
      <c r="Q149" s="2">
        <v>12</v>
      </c>
    </row>
    <row r="150" spans="7:17" x14ac:dyDescent="0.15">
      <c r="G150" s="2" t="s">
        <v>9</v>
      </c>
      <c r="H150" s="17">
        <f>ROUND(VLOOKUP(H$139&amp;"_1",管理者用人口入力シート!BH:CE,J150,FALSE),0)</f>
        <v>5</v>
      </c>
      <c r="I150" s="17">
        <f>ROUND(VLOOKUP(H$139&amp;"_2",管理者用人口入力シート!BH:CE,J150,FALSE),0)</f>
        <v>5</v>
      </c>
      <c r="J150" s="2">
        <v>13</v>
      </c>
      <c r="N150" s="2" t="s">
        <v>9</v>
      </c>
      <c r="O150" s="17">
        <f>ROUND(VLOOKUP(O$139&amp;"_1",管理者用人口入力シート!CO:DL,Q150,FALSE),0)</f>
        <v>5</v>
      </c>
      <c r="P150" s="17">
        <f>ROUND(VLOOKUP(O$139&amp;"_2",管理者用人口入力シート!CO:DL,Q150,FALSE),0)</f>
        <v>6</v>
      </c>
      <c r="Q150" s="2">
        <v>13</v>
      </c>
    </row>
    <row r="151" spans="7:17" x14ac:dyDescent="0.15">
      <c r="G151" s="2" t="s">
        <v>10</v>
      </c>
      <c r="H151" s="17">
        <f>ROUND(VLOOKUP(H$139&amp;"_1",管理者用人口入力シート!BH:CE,J151,FALSE),0)</f>
        <v>6</v>
      </c>
      <c r="I151" s="17">
        <f>ROUND(VLOOKUP(H$139&amp;"_2",管理者用人口入力シート!BH:CE,J151,FALSE),0)</f>
        <v>3</v>
      </c>
      <c r="J151" s="2">
        <v>14</v>
      </c>
      <c r="N151" s="2" t="s">
        <v>10</v>
      </c>
      <c r="O151" s="17">
        <f>ROUND(VLOOKUP(O$139&amp;"_1",管理者用人口入力シート!CO:DL,Q151,FALSE),0)</f>
        <v>6</v>
      </c>
      <c r="P151" s="17">
        <f>ROUND(VLOOKUP(O$139&amp;"_2",管理者用人口入力シート!CO:DL,Q151,FALSE),0)</f>
        <v>4</v>
      </c>
      <c r="Q151" s="2">
        <v>14</v>
      </c>
    </row>
    <row r="152" spans="7:17" x14ac:dyDescent="0.15">
      <c r="G152" s="2" t="s">
        <v>11</v>
      </c>
      <c r="H152" s="17">
        <f>ROUND(VLOOKUP(H$139&amp;"_1",管理者用人口入力シート!BH:CE,J152,FALSE),0)</f>
        <v>6</v>
      </c>
      <c r="I152" s="17">
        <f>ROUND(VLOOKUP(H$139&amp;"_2",管理者用人口入力シート!BH:CE,J152,FALSE),0)</f>
        <v>10</v>
      </c>
      <c r="J152" s="2">
        <v>15</v>
      </c>
      <c r="N152" s="2" t="s">
        <v>11</v>
      </c>
      <c r="O152" s="17">
        <f>ROUND(VLOOKUP(O$139&amp;"_1",管理者用人口入力シート!CO:DL,Q152,FALSE),0)</f>
        <v>6</v>
      </c>
      <c r="P152" s="17">
        <f>ROUND(VLOOKUP(O$139&amp;"_2",管理者用人口入力シート!CO:DL,Q152,FALSE),0)</f>
        <v>11</v>
      </c>
      <c r="Q152" s="2">
        <v>15</v>
      </c>
    </row>
    <row r="153" spans="7:17" x14ac:dyDescent="0.15">
      <c r="G153" s="2" t="s">
        <v>12</v>
      </c>
      <c r="H153" s="17">
        <f>ROUND(VLOOKUP(H$139&amp;"_1",管理者用人口入力シート!BH:CE,J153,FALSE),0)</f>
        <v>11</v>
      </c>
      <c r="I153" s="17">
        <f>ROUND(VLOOKUP(H$139&amp;"_2",管理者用人口入力シート!BH:CE,J153,FALSE),0)</f>
        <v>8</v>
      </c>
      <c r="J153" s="2">
        <v>16</v>
      </c>
      <c r="N153" s="2" t="s">
        <v>12</v>
      </c>
      <c r="O153" s="17">
        <f>ROUND(VLOOKUP(O$139&amp;"_1",管理者用人口入力シート!CO:DL,Q153,FALSE),0)</f>
        <v>11</v>
      </c>
      <c r="P153" s="17">
        <f>ROUND(VLOOKUP(O$139&amp;"_2",管理者用人口入力シート!CO:DL,Q153,FALSE),0)</f>
        <v>8</v>
      </c>
      <c r="Q153" s="2">
        <v>16</v>
      </c>
    </row>
    <row r="154" spans="7:17" x14ac:dyDescent="0.15">
      <c r="G154" s="2" t="s">
        <v>13</v>
      </c>
      <c r="H154" s="17">
        <f>ROUND(VLOOKUP(H$139&amp;"_1",管理者用人口入力シート!BH:CE,J154,FALSE),0)</f>
        <v>9</v>
      </c>
      <c r="I154" s="17">
        <f>ROUND(VLOOKUP(H$139&amp;"_2",管理者用人口入力シート!BH:CE,J154,FALSE),0)</f>
        <v>11</v>
      </c>
      <c r="J154" s="2">
        <v>17</v>
      </c>
      <c r="N154" s="2" t="s">
        <v>13</v>
      </c>
      <c r="O154" s="17">
        <f>ROUND(VLOOKUP(O$139&amp;"_1",管理者用人口入力シート!CO:DL,Q154,FALSE),0)</f>
        <v>9</v>
      </c>
      <c r="P154" s="17">
        <f>ROUND(VLOOKUP(O$139&amp;"_2",管理者用人口入力シート!CO:DL,Q154,FALSE),0)</f>
        <v>11</v>
      </c>
      <c r="Q154" s="2">
        <v>17</v>
      </c>
    </row>
    <row r="155" spans="7:17" x14ac:dyDescent="0.15">
      <c r="G155" s="2" t="s">
        <v>14</v>
      </c>
      <c r="H155" s="17">
        <f>ROUND(VLOOKUP(H$139&amp;"_1",管理者用人口入力シート!BH:CE,J155,FALSE),0)</f>
        <v>11</v>
      </c>
      <c r="I155" s="17">
        <f>ROUND(VLOOKUP(H$139&amp;"_2",管理者用人口入力シート!BH:CE,J155,FALSE),0)</f>
        <v>11</v>
      </c>
      <c r="J155" s="2">
        <v>18</v>
      </c>
      <c r="N155" s="2" t="s">
        <v>14</v>
      </c>
      <c r="O155" s="17">
        <f>ROUND(VLOOKUP(O$139&amp;"_1",管理者用人口入力シート!CO:DL,Q155,FALSE),0)</f>
        <v>11</v>
      </c>
      <c r="P155" s="17">
        <f>ROUND(VLOOKUP(O$139&amp;"_2",管理者用人口入力シート!CO:DL,Q155,FALSE),0)</f>
        <v>11</v>
      </c>
      <c r="Q155" s="2">
        <v>18</v>
      </c>
    </row>
    <row r="156" spans="7:17" x14ac:dyDescent="0.15">
      <c r="G156" s="2" t="s">
        <v>15</v>
      </c>
      <c r="H156" s="17">
        <f>ROUND(VLOOKUP(H$139&amp;"_1",管理者用人口入力シート!BH:CE,J156,FALSE),0)</f>
        <v>13</v>
      </c>
      <c r="I156" s="17">
        <f>ROUND(VLOOKUP(H$139&amp;"_2",管理者用人口入力シート!BH:CE,J156,FALSE),0)</f>
        <v>16</v>
      </c>
      <c r="J156" s="2">
        <v>19</v>
      </c>
      <c r="N156" s="2" t="s">
        <v>15</v>
      </c>
      <c r="O156" s="17">
        <f>ROUND(VLOOKUP(O$139&amp;"_1",管理者用人口入力シート!CO:DL,Q156,FALSE),0)</f>
        <v>13</v>
      </c>
      <c r="P156" s="17">
        <f>ROUND(VLOOKUP(O$139&amp;"_2",管理者用人口入力シート!CO:DL,Q156,FALSE),0)</f>
        <v>16</v>
      </c>
      <c r="Q156" s="2">
        <v>19</v>
      </c>
    </row>
    <row r="157" spans="7:17" x14ac:dyDescent="0.15">
      <c r="G157" s="2" t="s">
        <v>16</v>
      </c>
      <c r="H157" s="17">
        <f>ROUND(VLOOKUP(H$139&amp;"_1",管理者用人口入力シート!BH:CE,J157,FALSE),0)</f>
        <v>17</v>
      </c>
      <c r="I157" s="17">
        <f>ROUND(VLOOKUP(H$139&amp;"_2",管理者用人口入力シート!BH:CE,J157,FALSE),0)</f>
        <v>20</v>
      </c>
      <c r="J157" s="2">
        <v>20</v>
      </c>
      <c r="N157" s="2" t="s">
        <v>16</v>
      </c>
      <c r="O157" s="17">
        <f>ROUND(VLOOKUP(O$139&amp;"_1",管理者用人口入力シート!CO:DL,Q157,FALSE),0)</f>
        <v>17</v>
      </c>
      <c r="P157" s="17">
        <f>ROUND(VLOOKUP(O$139&amp;"_2",管理者用人口入力シート!CO:DL,Q157,FALSE),0)</f>
        <v>20</v>
      </c>
      <c r="Q157" s="2">
        <v>20</v>
      </c>
    </row>
    <row r="158" spans="7:17" x14ac:dyDescent="0.15">
      <c r="G158" s="2" t="s">
        <v>17</v>
      </c>
      <c r="H158" s="17">
        <f>ROUND(VLOOKUP(H$139&amp;"_1",管理者用人口入力シート!BH:CE,J158,FALSE),0)</f>
        <v>13</v>
      </c>
      <c r="I158" s="17">
        <f>ROUND(VLOOKUP(H$139&amp;"_2",管理者用人口入力シート!BH:CE,J158,FALSE),0)</f>
        <v>12</v>
      </c>
      <c r="J158" s="2">
        <v>21</v>
      </c>
      <c r="N158" s="2" t="s">
        <v>17</v>
      </c>
      <c r="O158" s="17">
        <f>ROUND(VLOOKUP(O$139&amp;"_1",管理者用人口入力シート!CO:DL,Q158,FALSE),0)</f>
        <v>13</v>
      </c>
      <c r="P158" s="17">
        <f>ROUND(VLOOKUP(O$139&amp;"_2",管理者用人口入力シート!CO:DL,Q158,FALSE),0)</f>
        <v>12</v>
      </c>
      <c r="Q158" s="2">
        <v>21</v>
      </c>
    </row>
    <row r="159" spans="7:17" x14ac:dyDescent="0.15">
      <c r="G159" s="2" t="s">
        <v>18</v>
      </c>
      <c r="H159" s="17">
        <f>ROUND(VLOOKUP(H$139&amp;"_1",管理者用人口入力シート!BH:CE,J159,FALSE),0)</f>
        <v>6</v>
      </c>
      <c r="I159" s="17">
        <f>ROUND(VLOOKUP(H$139&amp;"_2",管理者用人口入力シート!BH:CE,J159,FALSE),0)</f>
        <v>5</v>
      </c>
      <c r="J159" s="2">
        <v>22</v>
      </c>
      <c r="N159" s="2" t="s">
        <v>18</v>
      </c>
      <c r="O159" s="17">
        <f>ROUND(VLOOKUP(O$139&amp;"_1",管理者用人口入力シート!CO:DL,Q159,FALSE),0)</f>
        <v>6</v>
      </c>
      <c r="P159" s="17">
        <f>ROUND(VLOOKUP(O$139&amp;"_2",管理者用人口入力シート!CO:DL,Q159,FALSE),0)</f>
        <v>5</v>
      </c>
      <c r="Q159" s="2">
        <v>22</v>
      </c>
    </row>
    <row r="160" spans="7:17" x14ac:dyDescent="0.15">
      <c r="G160" s="2" t="s">
        <v>19</v>
      </c>
      <c r="H160" s="17">
        <f>ROUND(VLOOKUP(H$139&amp;"_1",管理者用人口入力シート!BH:CE,J160,FALSE),0)</f>
        <v>0</v>
      </c>
      <c r="I160" s="17">
        <f>ROUND(VLOOKUP(H$139&amp;"_2",管理者用人口入力シート!BH:CE,J160,FALSE),0)</f>
        <v>0</v>
      </c>
      <c r="J160" s="2">
        <v>23</v>
      </c>
      <c r="N160" s="2" t="s">
        <v>19</v>
      </c>
      <c r="O160" s="17">
        <f>ROUND(VLOOKUP(O$139&amp;"_1",管理者用人口入力シート!CO:DL,Q160,FALSE),0)</f>
        <v>0</v>
      </c>
      <c r="P160" s="17">
        <f>ROUND(VLOOKUP(O$139&amp;"_2",管理者用人口入力シート!CO:DL,Q160,FALSE),0)</f>
        <v>0</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7">
        <f>管理者入力シート!B12</f>
        <v>2045</v>
      </c>
      <c r="I163" s="318"/>
      <c r="J163" s="2" t="s">
        <v>114</v>
      </c>
      <c r="O163" s="317">
        <f>管理者入力シート!B12</f>
        <v>2045</v>
      </c>
      <c r="P163" s="318"/>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1</v>
      </c>
      <c r="I165" s="17">
        <f>ROUND(VLOOKUP(H$163&amp;"_2",管理者用人口入力シート!BH:CE,J165,FALSE),0)</f>
        <v>1</v>
      </c>
      <c r="J165" s="2">
        <v>4</v>
      </c>
      <c r="N165" s="2" t="s">
        <v>0</v>
      </c>
      <c r="O165" s="17">
        <f>ROUND(VLOOKUP(O$163&amp;"_1",管理者用人口入力シート!CO:DL,Q165,FALSE),0)</f>
        <v>3</v>
      </c>
      <c r="P165" s="17">
        <f>ROUND(VLOOKUP(O$163&amp;"_2",管理者用人口入力シート!CO:DL,Q165,FALSE),0)</f>
        <v>4</v>
      </c>
      <c r="Q165" s="2">
        <v>4</v>
      </c>
    </row>
    <row r="166" spans="7:17" x14ac:dyDescent="0.15">
      <c r="G166" s="2" t="s">
        <v>1</v>
      </c>
      <c r="H166" s="17">
        <f>ROUND(VLOOKUP(H$163&amp;"_1",管理者用人口入力シート!BH:CE,J166,FALSE),0)</f>
        <v>1</v>
      </c>
      <c r="I166" s="17">
        <f>ROUND(VLOOKUP(H$163&amp;"_2",管理者用人口入力シート!BH:CE,J166,FALSE),0)</f>
        <v>2</v>
      </c>
      <c r="J166" s="2">
        <v>5</v>
      </c>
      <c r="N166" s="2" t="s">
        <v>1</v>
      </c>
      <c r="O166" s="17">
        <f>ROUND(VLOOKUP(O$163&amp;"_1",管理者用人口入力シート!CO:DL,Q166,FALSE),0)</f>
        <v>4</v>
      </c>
      <c r="P166" s="17">
        <f>ROUND(VLOOKUP(O$163&amp;"_2",管理者用人口入力シート!CO:DL,Q166,FALSE),0)</f>
        <v>4</v>
      </c>
      <c r="Q166" s="2">
        <v>5</v>
      </c>
    </row>
    <row r="167" spans="7:17" x14ac:dyDescent="0.15">
      <c r="G167" s="2" t="s">
        <v>2</v>
      </c>
      <c r="H167" s="17">
        <f>ROUND(VLOOKUP(H$163&amp;"_1",管理者用人口入力シート!BH:CE,J167,FALSE),0)</f>
        <v>2</v>
      </c>
      <c r="I167" s="17">
        <f>ROUND(VLOOKUP(H$163&amp;"_2",管理者用人口入力シート!BH:CE,J167,FALSE),0)</f>
        <v>2</v>
      </c>
      <c r="J167" s="2">
        <v>6</v>
      </c>
      <c r="N167" s="2" t="s">
        <v>2</v>
      </c>
      <c r="O167" s="17">
        <f>ROUND(VLOOKUP(O$163&amp;"_1",管理者用人口入力シート!CO:DL,Q167,FALSE),0)</f>
        <v>5</v>
      </c>
      <c r="P167" s="17">
        <f>ROUND(VLOOKUP(O$163&amp;"_2",管理者用人口入力シート!CO:DL,Q167,FALSE),0)</f>
        <v>5</v>
      </c>
      <c r="Q167" s="2">
        <v>6</v>
      </c>
    </row>
    <row r="168" spans="7:17" x14ac:dyDescent="0.15">
      <c r="G168" s="2" t="s">
        <v>3</v>
      </c>
      <c r="H168" s="17">
        <f>ROUND(VLOOKUP(H$163&amp;"_1",管理者用人口入力シート!BH:CE,J168,FALSE),0)</f>
        <v>1</v>
      </c>
      <c r="I168" s="17">
        <f>ROUND(VLOOKUP(H$163&amp;"_2",管理者用人口入力シート!BH:CE,J168,FALSE),0)</f>
        <v>2</v>
      </c>
      <c r="J168" s="2">
        <v>7</v>
      </c>
      <c r="N168" s="2" t="s">
        <v>3</v>
      </c>
      <c r="O168" s="17">
        <f>ROUND(VLOOKUP(O$163&amp;"_1",管理者用人口入力シート!CO:DL,Q168,FALSE),0)</f>
        <v>3</v>
      </c>
      <c r="P168" s="17">
        <f>ROUND(VLOOKUP(O$163&amp;"_2",管理者用人口入力シート!CO:DL,Q168,FALSE),0)</f>
        <v>4</v>
      </c>
      <c r="Q168" s="2">
        <v>7</v>
      </c>
    </row>
    <row r="169" spans="7:17" x14ac:dyDescent="0.15">
      <c r="G169" s="2" t="s">
        <v>4</v>
      </c>
      <c r="H169" s="17">
        <f>ROUND(VLOOKUP(H$163&amp;"_1",管理者用人口入力シート!BH:CE,J169,FALSE),0)</f>
        <v>1</v>
      </c>
      <c r="I169" s="17">
        <f>ROUND(VLOOKUP(H$163&amp;"_2",管理者用人口入力シート!BH:CE,J169,FALSE),0)</f>
        <v>1</v>
      </c>
      <c r="J169" s="2">
        <v>8</v>
      </c>
      <c r="N169" s="2" t="s">
        <v>4</v>
      </c>
      <c r="O169" s="17">
        <f>ROUND(VLOOKUP(O$163&amp;"_1",管理者用人口入力シート!CO:DL,Q169,FALSE),0)</f>
        <v>1</v>
      </c>
      <c r="P169" s="17">
        <f>ROUND(VLOOKUP(O$163&amp;"_2",管理者用人口入力シート!CO:DL,Q169,FALSE),0)</f>
        <v>2</v>
      </c>
      <c r="Q169" s="2">
        <v>8</v>
      </c>
    </row>
    <row r="170" spans="7:17" x14ac:dyDescent="0.15">
      <c r="G170" s="2" t="s">
        <v>5</v>
      </c>
      <c r="H170" s="17">
        <f>ROUND(VLOOKUP(H$163&amp;"_1",管理者用人口入力シート!BH:CE,J170,FALSE),0)</f>
        <v>1</v>
      </c>
      <c r="I170" s="17">
        <f>ROUND(VLOOKUP(H$163&amp;"_2",管理者用人口入力シート!BH:CE,J170,FALSE),0)</f>
        <v>2</v>
      </c>
      <c r="J170" s="2">
        <v>9</v>
      </c>
      <c r="N170" s="2" t="s">
        <v>5</v>
      </c>
      <c r="O170" s="17">
        <f>ROUND(VLOOKUP(O$163&amp;"_1",管理者用人口入力シート!CO:DL,Q170,FALSE),0)</f>
        <v>3</v>
      </c>
      <c r="P170" s="17">
        <f>ROUND(VLOOKUP(O$163&amp;"_2",管理者用人口入力シート!CO:DL,Q170,FALSE),0)</f>
        <v>4</v>
      </c>
      <c r="Q170" s="2">
        <v>9</v>
      </c>
    </row>
    <row r="171" spans="7:17" x14ac:dyDescent="0.15">
      <c r="G171" s="2" t="s">
        <v>6</v>
      </c>
      <c r="H171" s="17">
        <f>ROUND(VLOOKUP(H$163&amp;"_1",管理者用人口入力シート!BH:CE,J171,FALSE),0)</f>
        <v>1</v>
      </c>
      <c r="I171" s="17">
        <f>ROUND(VLOOKUP(H$163&amp;"_2",管理者用人口入力シート!BH:CE,J171,FALSE),0)</f>
        <v>1</v>
      </c>
      <c r="J171" s="2">
        <v>10</v>
      </c>
      <c r="N171" s="2" t="s">
        <v>6</v>
      </c>
      <c r="O171" s="17">
        <f>ROUND(VLOOKUP(O$163&amp;"_1",管理者用人口入力シート!CO:DL,Q171,FALSE),0)</f>
        <v>3</v>
      </c>
      <c r="P171" s="17">
        <f>ROUND(VLOOKUP(O$163&amp;"_2",管理者用人口入力シート!CO:DL,Q171,FALSE),0)</f>
        <v>3</v>
      </c>
      <c r="Q171" s="2">
        <v>10</v>
      </c>
    </row>
    <row r="172" spans="7:17" x14ac:dyDescent="0.15">
      <c r="G172" s="2" t="s">
        <v>7</v>
      </c>
      <c r="H172" s="17">
        <f>ROUND(VLOOKUP(H$163&amp;"_1",管理者用人口入力シート!BH:CE,J172,FALSE),0)</f>
        <v>1</v>
      </c>
      <c r="I172" s="17">
        <f>ROUND(VLOOKUP(H$163&amp;"_2",管理者用人口入力シート!BH:CE,J172,FALSE),0)</f>
        <v>1</v>
      </c>
      <c r="J172" s="2">
        <v>11</v>
      </c>
      <c r="N172" s="2" t="s">
        <v>7</v>
      </c>
      <c r="O172" s="17">
        <f>ROUND(VLOOKUP(O$163&amp;"_1",管理者用人口入力シート!CO:DL,Q172,FALSE),0)</f>
        <v>3</v>
      </c>
      <c r="P172" s="17">
        <f>ROUND(VLOOKUP(O$163&amp;"_2",管理者用人口入力シート!CO:DL,Q172,FALSE),0)</f>
        <v>3</v>
      </c>
      <c r="Q172" s="2">
        <v>11</v>
      </c>
    </row>
    <row r="173" spans="7:17" x14ac:dyDescent="0.15">
      <c r="G173" s="2" t="s">
        <v>8</v>
      </c>
      <c r="H173" s="17">
        <f>ROUND(VLOOKUP(H$163&amp;"_1",管理者用人口入力シート!BH:CE,J173,FALSE),0)</f>
        <v>1</v>
      </c>
      <c r="I173" s="17">
        <f>ROUND(VLOOKUP(H$163&amp;"_2",管理者用人口入力シート!BH:CE,J173,FALSE),0)</f>
        <v>2</v>
      </c>
      <c r="J173" s="2">
        <v>12</v>
      </c>
      <c r="N173" s="2" t="s">
        <v>8</v>
      </c>
      <c r="O173" s="17">
        <f>ROUND(VLOOKUP(O$163&amp;"_1",管理者用人口入力シート!CO:DL,Q173,FALSE),0)</f>
        <v>3</v>
      </c>
      <c r="P173" s="17">
        <f>ROUND(VLOOKUP(O$163&amp;"_2",管理者用人口入力シート!CO:DL,Q173,FALSE),0)</f>
        <v>4</v>
      </c>
      <c r="Q173" s="2">
        <v>12</v>
      </c>
    </row>
    <row r="174" spans="7:17" x14ac:dyDescent="0.15">
      <c r="G174" s="2" t="s">
        <v>9</v>
      </c>
      <c r="H174" s="17">
        <f>ROUND(VLOOKUP(H$163&amp;"_1",管理者用人口入力シート!BH:CE,J174,FALSE),0)</f>
        <v>1</v>
      </c>
      <c r="I174" s="17">
        <f>ROUND(VLOOKUP(H$163&amp;"_2",管理者用人口入力シート!BH:CE,J174,FALSE),0)</f>
        <v>3</v>
      </c>
      <c r="J174" s="2">
        <v>13</v>
      </c>
      <c r="N174" s="2" t="s">
        <v>9</v>
      </c>
      <c r="O174" s="17">
        <f>ROUND(VLOOKUP(O$163&amp;"_1",管理者用人口入力シート!CO:DL,Q174,FALSE),0)</f>
        <v>2</v>
      </c>
      <c r="P174" s="17">
        <f>ROUND(VLOOKUP(O$163&amp;"_2",管理者用人口入力シート!CO:DL,Q174,FALSE),0)</f>
        <v>5</v>
      </c>
      <c r="Q174" s="2">
        <v>13</v>
      </c>
    </row>
    <row r="175" spans="7:17" x14ac:dyDescent="0.15">
      <c r="G175" s="2" t="s">
        <v>10</v>
      </c>
      <c r="H175" s="17">
        <f>ROUND(VLOOKUP(H$163&amp;"_1",管理者用人口入力シート!BH:CE,J175,FALSE),0)</f>
        <v>5</v>
      </c>
      <c r="I175" s="17">
        <f>ROUND(VLOOKUP(H$163&amp;"_2",管理者用人口入力シート!BH:CE,J175,FALSE),0)</f>
        <v>6</v>
      </c>
      <c r="J175" s="2">
        <v>14</v>
      </c>
      <c r="N175" s="2" t="s">
        <v>10</v>
      </c>
      <c r="O175" s="17">
        <f>ROUND(VLOOKUP(O$163&amp;"_1",管理者用人口入力シート!CO:DL,Q175,FALSE),0)</f>
        <v>5</v>
      </c>
      <c r="P175" s="17">
        <f>ROUND(VLOOKUP(O$163&amp;"_2",管理者用人口入力シート!CO:DL,Q175,FALSE),0)</f>
        <v>7</v>
      </c>
      <c r="Q175" s="2">
        <v>14</v>
      </c>
    </row>
    <row r="176" spans="7:17" x14ac:dyDescent="0.15">
      <c r="G176" s="2" t="s">
        <v>11</v>
      </c>
      <c r="H176" s="17">
        <f>ROUND(VLOOKUP(H$163&amp;"_1",管理者用人口入力シート!BH:CE,J176,FALSE),0)</f>
        <v>7</v>
      </c>
      <c r="I176" s="17">
        <f>ROUND(VLOOKUP(H$163&amp;"_2",管理者用人口入力シート!BH:CE,J176,FALSE),0)</f>
        <v>3</v>
      </c>
      <c r="J176" s="2">
        <v>15</v>
      </c>
      <c r="N176" s="2" t="s">
        <v>11</v>
      </c>
      <c r="O176" s="17">
        <f>ROUND(VLOOKUP(O$163&amp;"_1",管理者用人口入力シート!CO:DL,Q176,FALSE),0)</f>
        <v>7</v>
      </c>
      <c r="P176" s="17">
        <f>ROUND(VLOOKUP(O$163&amp;"_2",管理者用人口入力シート!CO:DL,Q176,FALSE),0)</f>
        <v>4</v>
      </c>
      <c r="Q176" s="2">
        <v>15</v>
      </c>
    </row>
    <row r="177" spans="7:17" x14ac:dyDescent="0.15">
      <c r="G177" s="2" t="s">
        <v>12</v>
      </c>
      <c r="H177" s="17">
        <f>ROUND(VLOOKUP(H$163&amp;"_1",管理者用人口入力シート!BH:CE,J177,FALSE),0)</f>
        <v>7</v>
      </c>
      <c r="I177" s="17">
        <f>ROUND(VLOOKUP(H$163&amp;"_2",管理者用人口入力シート!BH:CE,J177,FALSE),0)</f>
        <v>10</v>
      </c>
      <c r="J177" s="2">
        <v>16</v>
      </c>
      <c r="N177" s="2" t="s">
        <v>12</v>
      </c>
      <c r="O177" s="17">
        <f>ROUND(VLOOKUP(O$163&amp;"_1",管理者用人口入力シート!CO:DL,Q177,FALSE),0)</f>
        <v>7</v>
      </c>
      <c r="P177" s="17">
        <f>ROUND(VLOOKUP(O$163&amp;"_2",管理者用人口入力シート!CO:DL,Q177,FALSE),0)</f>
        <v>11</v>
      </c>
      <c r="Q177" s="2">
        <v>16</v>
      </c>
    </row>
    <row r="178" spans="7:17" x14ac:dyDescent="0.15">
      <c r="G178" s="2" t="s">
        <v>13</v>
      </c>
      <c r="H178" s="17">
        <f>ROUND(VLOOKUP(H$163&amp;"_1",管理者用人口入力シート!BH:CE,J178,FALSE),0)</f>
        <v>10</v>
      </c>
      <c r="I178" s="17">
        <f>ROUND(VLOOKUP(H$163&amp;"_2",管理者用人口入力シート!BH:CE,J178,FALSE),0)</f>
        <v>7</v>
      </c>
      <c r="J178" s="2">
        <v>17</v>
      </c>
      <c r="N178" s="2" t="s">
        <v>13</v>
      </c>
      <c r="O178" s="17">
        <f>ROUND(VLOOKUP(O$163&amp;"_1",管理者用人口入力シート!CO:DL,Q178,FALSE),0)</f>
        <v>10</v>
      </c>
      <c r="P178" s="17">
        <f>ROUND(VLOOKUP(O$163&amp;"_2",管理者用人口入力シート!CO:DL,Q178,FALSE),0)</f>
        <v>7</v>
      </c>
      <c r="Q178" s="2">
        <v>17</v>
      </c>
    </row>
    <row r="179" spans="7:17" x14ac:dyDescent="0.15">
      <c r="G179" s="2" t="s">
        <v>14</v>
      </c>
      <c r="H179" s="17">
        <f>ROUND(VLOOKUP(H$163&amp;"_1",管理者用人口入力シート!BH:CE,J179,FALSE),0)</f>
        <v>8</v>
      </c>
      <c r="I179" s="17">
        <f>ROUND(VLOOKUP(H$163&amp;"_2",管理者用人口入力シート!BH:CE,J179,FALSE),0)</f>
        <v>10</v>
      </c>
      <c r="J179" s="2">
        <v>18</v>
      </c>
      <c r="N179" s="2" t="s">
        <v>14</v>
      </c>
      <c r="O179" s="17">
        <f>ROUND(VLOOKUP(O$163&amp;"_1",管理者用人口入力シート!CO:DL,Q179,FALSE),0)</f>
        <v>8</v>
      </c>
      <c r="P179" s="17">
        <f>ROUND(VLOOKUP(O$163&amp;"_2",管理者用人口入力シート!CO:DL,Q179,FALSE),0)</f>
        <v>10</v>
      </c>
      <c r="Q179" s="2">
        <v>18</v>
      </c>
    </row>
    <row r="180" spans="7:17" x14ac:dyDescent="0.15">
      <c r="G180" s="2" t="s">
        <v>15</v>
      </c>
      <c r="H180" s="17">
        <f>ROUND(VLOOKUP(H$163&amp;"_1",管理者用人口入力シート!BH:CE,J180,FALSE),0)</f>
        <v>10</v>
      </c>
      <c r="I180" s="17">
        <f>ROUND(VLOOKUP(H$163&amp;"_2",管理者用人口入力シート!BH:CE,J180,FALSE),0)</f>
        <v>10</v>
      </c>
      <c r="J180" s="2">
        <v>19</v>
      </c>
      <c r="N180" s="2" t="s">
        <v>15</v>
      </c>
      <c r="O180" s="17">
        <f>ROUND(VLOOKUP(O$163&amp;"_1",管理者用人口入力シート!CO:DL,Q180,FALSE),0)</f>
        <v>10</v>
      </c>
      <c r="P180" s="17">
        <f>ROUND(VLOOKUP(O$163&amp;"_2",管理者用人口入力シート!CO:DL,Q180,FALSE),0)</f>
        <v>10</v>
      </c>
      <c r="Q180" s="2">
        <v>19</v>
      </c>
    </row>
    <row r="181" spans="7:17" x14ac:dyDescent="0.15">
      <c r="G181" s="2" t="s">
        <v>16</v>
      </c>
      <c r="H181" s="17">
        <f>ROUND(VLOOKUP(H$163&amp;"_1",管理者用人口入力シート!BH:CE,J181,FALSE),0)</f>
        <v>11</v>
      </c>
      <c r="I181" s="17">
        <f>ROUND(VLOOKUP(H$163&amp;"_2",管理者用人口入力シート!BH:CE,J181,FALSE),0)</f>
        <v>14</v>
      </c>
      <c r="J181" s="2">
        <v>20</v>
      </c>
      <c r="N181" s="2" t="s">
        <v>16</v>
      </c>
      <c r="O181" s="17">
        <f>ROUND(VLOOKUP(O$163&amp;"_1",管理者用人口入力シート!CO:DL,Q181,FALSE),0)</f>
        <v>11</v>
      </c>
      <c r="P181" s="17">
        <f>ROUND(VLOOKUP(O$163&amp;"_2",管理者用人口入力シート!CO:DL,Q181,FALSE),0)</f>
        <v>14</v>
      </c>
      <c r="Q181" s="2">
        <v>20</v>
      </c>
    </row>
    <row r="182" spans="7:17" x14ac:dyDescent="0.15">
      <c r="G182" s="2" t="s">
        <v>17</v>
      </c>
      <c r="H182" s="17">
        <f>ROUND(VLOOKUP(H$163&amp;"_1",管理者用人口入力シート!BH:CE,J182,FALSE),0)</f>
        <v>11</v>
      </c>
      <c r="I182" s="17">
        <f>ROUND(VLOOKUP(H$163&amp;"_2",管理者用人口入力シート!BH:CE,J182,FALSE),0)</f>
        <v>14</v>
      </c>
      <c r="J182" s="2">
        <v>21</v>
      </c>
      <c r="N182" s="2" t="s">
        <v>17</v>
      </c>
      <c r="O182" s="17">
        <f>ROUND(VLOOKUP(O$163&amp;"_1",管理者用人口入力シート!CO:DL,Q182,FALSE),0)</f>
        <v>11</v>
      </c>
      <c r="P182" s="17">
        <f>ROUND(VLOOKUP(O$163&amp;"_2",管理者用人口入力シート!CO:DL,Q182,FALSE),0)</f>
        <v>14</v>
      </c>
      <c r="Q182" s="2">
        <v>21</v>
      </c>
    </row>
    <row r="183" spans="7:17" x14ac:dyDescent="0.15">
      <c r="G183" s="2" t="s">
        <v>18</v>
      </c>
      <c r="H183" s="17">
        <f>ROUND(VLOOKUP(H$163&amp;"_1",管理者用人口入力シート!BH:CE,J183,FALSE),0)</f>
        <v>6</v>
      </c>
      <c r="I183" s="17">
        <f>ROUND(VLOOKUP(H$163&amp;"_2",管理者用人口入力シート!BH:CE,J183,FALSE),0)</f>
        <v>5</v>
      </c>
      <c r="J183" s="2">
        <v>22</v>
      </c>
      <c r="N183" s="2" t="s">
        <v>18</v>
      </c>
      <c r="O183" s="17">
        <f>ROUND(VLOOKUP(O$163&amp;"_1",管理者用人口入力シート!CO:DL,Q183,FALSE),0)</f>
        <v>6</v>
      </c>
      <c r="P183" s="17">
        <f>ROUND(VLOOKUP(O$163&amp;"_2",管理者用人口入力シート!CO:DL,Q183,FALSE),0)</f>
        <v>5</v>
      </c>
      <c r="Q183" s="2">
        <v>22</v>
      </c>
    </row>
    <row r="184" spans="7:17" x14ac:dyDescent="0.15">
      <c r="G184" s="2" t="s">
        <v>19</v>
      </c>
      <c r="H184" s="17">
        <f>ROUND(VLOOKUP(H$163&amp;"_1",管理者用人口入力シート!BH:CE,J184,FALSE),0)</f>
        <v>0</v>
      </c>
      <c r="I184" s="17">
        <f>ROUND(VLOOKUP(H$163&amp;"_2",管理者用人口入力シート!BH:CE,J184,FALSE),0)</f>
        <v>0</v>
      </c>
      <c r="J184" s="2">
        <v>23</v>
      </c>
      <c r="N184" s="2" t="s">
        <v>19</v>
      </c>
      <c r="O184" s="17">
        <f>ROUND(VLOOKUP(O$163&amp;"_1",管理者用人口入力シート!CO:DL,Q184,FALSE),0)</f>
        <v>0</v>
      </c>
      <c r="P184" s="17">
        <f>ROUND(VLOOKUP(O$163&amp;"_2",管理者用人口入力シート!CO:DL,Q184,FALSE),0)</f>
        <v>0</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7">
        <f>管理者入力シート!B13</f>
        <v>2050</v>
      </c>
      <c r="I187" s="318"/>
      <c r="J187" s="2" t="s">
        <v>114</v>
      </c>
      <c r="O187" s="317">
        <f>管理者入力シート!B13</f>
        <v>2050</v>
      </c>
      <c r="P187" s="318"/>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1</v>
      </c>
      <c r="I189" s="17">
        <f>ROUND(VLOOKUP(H$187&amp;"_2",管理者用人口入力シート!BH:CE,J189,FALSE),0)</f>
        <v>1</v>
      </c>
      <c r="J189" s="2">
        <v>4</v>
      </c>
      <c r="N189" s="2" t="s">
        <v>0</v>
      </c>
      <c r="O189" s="17">
        <f>ROUND(VLOOKUP(O$187&amp;"_1",管理者用人口入力シート!CO:DL,Q189,FALSE),0)</f>
        <v>3</v>
      </c>
      <c r="P189" s="17">
        <f>ROUND(VLOOKUP(O$187&amp;"_2",管理者用人口入力シート!CO:DL,Q189,FALSE),0)</f>
        <v>4</v>
      </c>
      <c r="Q189" s="2">
        <v>4</v>
      </c>
    </row>
    <row r="190" spans="7:17" x14ac:dyDescent="0.15">
      <c r="G190" s="2" t="s">
        <v>1</v>
      </c>
      <c r="H190" s="17">
        <f>ROUND(VLOOKUP(H$187&amp;"_1",管理者用人口入力シート!BH:CE,J190,FALSE),0)</f>
        <v>1</v>
      </c>
      <c r="I190" s="17">
        <f>ROUND(VLOOKUP(H$187&amp;"_2",管理者用人口入力シート!BH:CE,J190,FALSE),0)</f>
        <v>1</v>
      </c>
      <c r="J190" s="2">
        <v>5</v>
      </c>
      <c r="N190" s="2" t="s">
        <v>1</v>
      </c>
      <c r="O190" s="17">
        <f>ROUND(VLOOKUP(O$187&amp;"_1",管理者用人口入力シート!CO:DL,Q190,FALSE),0)</f>
        <v>4</v>
      </c>
      <c r="P190" s="17">
        <f>ROUND(VLOOKUP(O$187&amp;"_2",管理者用人口入力シート!CO:DL,Q190,FALSE),0)</f>
        <v>4</v>
      </c>
      <c r="Q190" s="2">
        <v>5</v>
      </c>
    </row>
    <row r="191" spans="7:17" x14ac:dyDescent="0.15">
      <c r="G191" s="2" t="s">
        <v>2</v>
      </c>
      <c r="H191" s="17">
        <f>ROUND(VLOOKUP(H$187&amp;"_1",管理者用人口入力シート!BH:CE,J191,FALSE),0)</f>
        <v>1</v>
      </c>
      <c r="I191" s="17">
        <f>ROUND(VLOOKUP(H$187&amp;"_2",管理者用人口入力シート!BH:CE,J191,FALSE),0)</f>
        <v>2</v>
      </c>
      <c r="J191" s="2">
        <v>6</v>
      </c>
      <c r="N191" s="2" t="s">
        <v>2</v>
      </c>
      <c r="O191" s="17">
        <f>ROUND(VLOOKUP(O$187&amp;"_1",管理者用人口入力シート!CO:DL,Q191,FALSE),0)</f>
        <v>5</v>
      </c>
      <c r="P191" s="17">
        <f>ROUND(VLOOKUP(O$187&amp;"_2",管理者用人口入力シート!CO:DL,Q191,FALSE),0)</f>
        <v>5</v>
      </c>
      <c r="Q191" s="2">
        <v>6</v>
      </c>
    </row>
    <row r="192" spans="7:17" x14ac:dyDescent="0.15">
      <c r="G192" s="2" t="s">
        <v>3</v>
      </c>
      <c r="H192" s="17">
        <f>ROUND(VLOOKUP(H$187&amp;"_1",管理者用人口入力シート!BH:CE,J192,FALSE),0)</f>
        <v>1</v>
      </c>
      <c r="I192" s="17">
        <f>ROUND(VLOOKUP(H$187&amp;"_2",管理者用人口入力シート!BH:CE,J192,FALSE),0)</f>
        <v>1</v>
      </c>
      <c r="J192" s="2">
        <v>7</v>
      </c>
      <c r="N192" s="2" t="s">
        <v>3</v>
      </c>
      <c r="O192" s="17">
        <f>ROUND(VLOOKUP(O$187&amp;"_1",管理者用人口入力シート!CO:DL,Q192,FALSE),0)</f>
        <v>3</v>
      </c>
      <c r="P192" s="17">
        <f>ROUND(VLOOKUP(O$187&amp;"_2",管理者用人口入力シート!CO:DL,Q192,FALSE),0)</f>
        <v>4</v>
      </c>
      <c r="Q192" s="2">
        <v>7</v>
      </c>
    </row>
    <row r="193" spans="7:17" x14ac:dyDescent="0.15">
      <c r="G193" s="2" t="s">
        <v>4</v>
      </c>
      <c r="H193" s="17">
        <f>ROUND(VLOOKUP(H$187&amp;"_1",管理者用人口入力シート!BH:CE,J193,FALSE),0)</f>
        <v>1</v>
      </c>
      <c r="I193" s="17">
        <f>ROUND(VLOOKUP(H$187&amp;"_2",管理者用人口入力シート!BH:CE,J193,FALSE),0)</f>
        <v>1</v>
      </c>
      <c r="J193" s="2">
        <v>8</v>
      </c>
      <c r="N193" s="2" t="s">
        <v>4</v>
      </c>
      <c r="O193" s="17">
        <f>ROUND(VLOOKUP(O$187&amp;"_1",管理者用人口入力シート!CO:DL,Q193,FALSE),0)</f>
        <v>1</v>
      </c>
      <c r="P193" s="17">
        <f>ROUND(VLOOKUP(O$187&amp;"_2",管理者用人口入力シート!CO:DL,Q193,FALSE),0)</f>
        <v>2</v>
      </c>
      <c r="Q193" s="2">
        <v>8</v>
      </c>
    </row>
    <row r="194" spans="7:17" x14ac:dyDescent="0.15">
      <c r="G194" s="2" t="s">
        <v>5</v>
      </c>
      <c r="H194" s="17">
        <f>ROUND(VLOOKUP(H$187&amp;"_1",管理者用人口入力シート!BH:CE,J194,FALSE),0)</f>
        <v>1</v>
      </c>
      <c r="I194" s="17">
        <f>ROUND(VLOOKUP(H$187&amp;"_2",管理者用人口入力シート!BH:CE,J194,FALSE),0)</f>
        <v>1</v>
      </c>
      <c r="J194" s="2">
        <v>9</v>
      </c>
      <c r="N194" s="2" t="s">
        <v>5</v>
      </c>
      <c r="O194" s="17">
        <f>ROUND(VLOOKUP(O$187&amp;"_1",管理者用人口入力シート!CO:DL,Q194,FALSE),0)</f>
        <v>3</v>
      </c>
      <c r="P194" s="17">
        <f>ROUND(VLOOKUP(O$187&amp;"_2",管理者用人口入力シート!CO:DL,Q194,FALSE),0)</f>
        <v>4</v>
      </c>
      <c r="Q194" s="2">
        <v>9</v>
      </c>
    </row>
    <row r="195" spans="7:17" x14ac:dyDescent="0.15">
      <c r="G195" s="2" t="s">
        <v>6</v>
      </c>
      <c r="H195" s="17">
        <f>ROUND(VLOOKUP(H$187&amp;"_1",管理者用人口入力シート!BH:CE,J195,FALSE),0)</f>
        <v>1</v>
      </c>
      <c r="I195" s="17">
        <f>ROUND(VLOOKUP(H$187&amp;"_2",管理者用人口入力シート!BH:CE,J195,FALSE),0)</f>
        <v>2</v>
      </c>
      <c r="J195" s="2">
        <v>10</v>
      </c>
      <c r="N195" s="2" t="s">
        <v>6</v>
      </c>
      <c r="O195" s="17">
        <f>ROUND(VLOOKUP(O$187&amp;"_1",管理者用人口入力シート!CO:DL,Q195,FALSE),0)</f>
        <v>3</v>
      </c>
      <c r="P195" s="17">
        <f>ROUND(VLOOKUP(O$187&amp;"_2",管理者用人口入力シート!CO:DL,Q195,FALSE),0)</f>
        <v>4</v>
      </c>
      <c r="Q195" s="2">
        <v>10</v>
      </c>
    </row>
    <row r="196" spans="7:17" x14ac:dyDescent="0.15">
      <c r="G196" s="2" t="s">
        <v>7</v>
      </c>
      <c r="H196" s="17">
        <f>ROUND(VLOOKUP(H$187&amp;"_1",管理者用人口入力シート!BH:CE,J196,FALSE),0)</f>
        <v>1</v>
      </c>
      <c r="I196" s="17">
        <f>ROUND(VLOOKUP(H$187&amp;"_2",管理者用人口入力シート!BH:CE,J196,FALSE),0)</f>
        <v>1</v>
      </c>
      <c r="J196" s="2">
        <v>11</v>
      </c>
      <c r="N196" s="2" t="s">
        <v>7</v>
      </c>
      <c r="O196" s="17">
        <f>ROUND(VLOOKUP(O$187&amp;"_1",管理者用人口入力シート!CO:DL,Q196,FALSE),0)</f>
        <v>2</v>
      </c>
      <c r="P196" s="17">
        <f>ROUND(VLOOKUP(O$187&amp;"_2",管理者用人口入力シート!CO:DL,Q196,FALSE),0)</f>
        <v>3</v>
      </c>
      <c r="Q196" s="2">
        <v>11</v>
      </c>
    </row>
    <row r="197" spans="7:17" x14ac:dyDescent="0.15">
      <c r="G197" s="2" t="s">
        <v>8</v>
      </c>
      <c r="H197" s="17">
        <f>ROUND(VLOOKUP(H$187&amp;"_1",管理者用人口入力シート!BH:CE,J197,FALSE),0)</f>
        <v>1</v>
      </c>
      <c r="I197" s="17">
        <f>ROUND(VLOOKUP(H$187&amp;"_2",管理者用人口入力シート!BH:CE,J197,FALSE),0)</f>
        <v>1</v>
      </c>
      <c r="J197" s="2">
        <v>12</v>
      </c>
      <c r="N197" s="2" t="s">
        <v>8</v>
      </c>
      <c r="O197" s="17">
        <f>ROUND(VLOOKUP(O$187&amp;"_1",管理者用人口入力シート!CO:DL,Q197,FALSE),0)</f>
        <v>2</v>
      </c>
      <c r="P197" s="17">
        <f>ROUND(VLOOKUP(O$187&amp;"_2",管理者用人口入力シート!CO:DL,Q197,FALSE),0)</f>
        <v>4</v>
      </c>
      <c r="Q197" s="2">
        <v>12</v>
      </c>
    </row>
    <row r="198" spans="7:17" x14ac:dyDescent="0.15">
      <c r="G198" s="2" t="s">
        <v>9</v>
      </c>
      <c r="H198" s="17">
        <f>ROUND(VLOOKUP(H$187&amp;"_1",管理者用人口入力シート!BH:CE,J198,FALSE),0)</f>
        <v>1</v>
      </c>
      <c r="I198" s="17">
        <f>ROUND(VLOOKUP(H$187&amp;"_2",管理者用人口入力シート!BH:CE,J198,FALSE),0)</f>
        <v>2</v>
      </c>
      <c r="J198" s="2">
        <v>13</v>
      </c>
      <c r="N198" s="2" t="s">
        <v>9</v>
      </c>
      <c r="O198" s="17">
        <f>ROUND(VLOOKUP(O$187&amp;"_1",管理者用人口入力シート!CO:DL,Q198,FALSE),0)</f>
        <v>3</v>
      </c>
      <c r="P198" s="17">
        <f>ROUND(VLOOKUP(O$187&amp;"_2",管理者用人口入力シート!CO:DL,Q198,FALSE),0)</f>
        <v>4</v>
      </c>
      <c r="Q198" s="2">
        <v>13</v>
      </c>
    </row>
    <row r="199" spans="7:17" x14ac:dyDescent="0.15">
      <c r="G199" s="2" t="s">
        <v>10</v>
      </c>
      <c r="H199" s="17">
        <f>ROUND(VLOOKUP(H$187&amp;"_1",管理者用人口入力シート!BH:CE,J199,FALSE),0)</f>
        <v>1</v>
      </c>
      <c r="I199" s="17">
        <f>ROUND(VLOOKUP(H$187&amp;"_2",管理者用人口入力シート!BH:CE,J199,FALSE),0)</f>
        <v>3</v>
      </c>
      <c r="J199" s="2">
        <v>14</v>
      </c>
      <c r="N199" s="2" t="s">
        <v>10</v>
      </c>
      <c r="O199" s="17">
        <f>ROUND(VLOOKUP(O$187&amp;"_1",管理者用人口入力シート!CO:DL,Q199,FALSE),0)</f>
        <v>2</v>
      </c>
      <c r="P199" s="17">
        <f>ROUND(VLOOKUP(O$187&amp;"_2",管理者用人口入力シート!CO:DL,Q199,FALSE),0)</f>
        <v>5</v>
      </c>
      <c r="Q199" s="2">
        <v>14</v>
      </c>
    </row>
    <row r="200" spans="7:17" x14ac:dyDescent="0.15">
      <c r="G200" s="2" t="s">
        <v>11</v>
      </c>
      <c r="H200" s="17">
        <f>ROUND(VLOOKUP(H$187&amp;"_1",管理者用人口入力シート!BH:CE,J200,FALSE),0)</f>
        <v>5</v>
      </c>
      <c r="I200" s="17">
        <f>ROUND(VLOOKUP(H$187&amp;"_2",管理者用人口入力シート!BH:CE,J200,FALSE),0)</f>
        <v>5</v>
      </c>
      <c r="J200" s="2">
        <v>15</v>
      </c>
      <c r="N200" s="2" t="s">
        <v>11</v>
      </c>
      <c r="O200" s="17">
        <f>ROUND(VLOOKUP(O$187&amp;"_1",管理者用人口入力シート!CO:DL,Q200,FALSE),0)</f>
        <v>5</v>
      </c>
      <c r="P200" s="17">
        <f>ROUND(VLOOKUP(O$187&amp;"_2",管理者用人口入力シート!CO:DL,Q200,FALSE),0)</f>
        <v>6</v>
      </c>
      <c r="Q200" s="2">
        <v>15</v>
      </c>
    </row>
    <row r="201" spans="7:17" x14ac:dyDescent="0.15">
      <c r="G201" s="2" t="s">
        <v>12</v>
      </c>
      <c r="H201" s="17">
        <f>ROUND(VLOOKUP(H$187&amp;"_1",管理者用人口入力シート!BH:CE,J201,FALSE),0)</f>
        <v>7</v>
      </c>
      <c r="I201" s="17">
        <f>ROUND(VLOOKUP(H$187&amp;"_2",管理者用人口入力シート!BH:CE,J201,FALSE),0)</f>
        <v>3</v>
      </c>
      <c r="J201" s="2">
        <v>16</v>
      </c>
      <c r="N201" s="2" t="s">
        <v>12</v>
      </c>
      <c r="O201" s="17">
        <f>ROUND(VLOOKUP(O$187&amp;"_1",管理者用人口入力シート!CO:DL,Q201,FALSE),0)</f>
        <v>7</v>
      </c>
      <c r="P201" s="17">
        <f>ROUND(VLOOKUP(O$187&amp;"_2",管理者用人口入力シート!CO:DL,Q201,FALSE),0)</f>
        <v>4</v>
      </c>
      <c r="Q201" s="2">
        <v>16</v>
      </c>
    </row>
    <row r="202" spans="7:17" x14ac:dyDescent="0.15">
      <c r="G202" s="2" t="s">
        <v>13</v>
      </c>
      <c r="H202" s="17">
        <f>ROUND(VLOOKUP(H$187&amp;"_1",管理者用人口入力シート!BH:CE,J202,FALSE),0)</f>
        <v>6</v>
      </c>
      <c r="I202" s="17">
        <f>ROUND(VLOOKUP(H$187&amp;"_2",管理者用人口入力シート!BH:CE,J202,FALSE),0)</f>
        <v>10</v>
      </c>
      <c r="J202" s="2">
        <v>17</v>
      </c>
      <c r="N202" s="2" t="s">
        <v>13</v>
      </c>
      <c r="O202" s="17">
        <f>ROUND(VLOOKUP(O$187&amp;"_1",管理者用人口入力シート!CO:DL,Q202,FALSE),0)</f>
        <v>6</v>
      </c>
      <c r="P202" s="17">
        <f>ROUND(VLOOKUP(O$187&amp;"_2",管理者用人口入力シート!CO:DL,Q202,FALSE),0)</f>
        <v>10</v>
      </c>
      <c r="Q202" s="2">
        <v>17</v>
      </c>
    </row>
    <row r="203" spans="7:17" x14ac:dyDescent="0.15">
      <c r="G203" s="2" t="s">
        <v>14</v>
      </c>
      <c r="H203" s="17">
        <f>ROUND(VLOOKUP(H$187&amp;"_1",管理者用人口入力シート!BH:CE,J203,FALSE),0)</f>
        <v>9</v>
      </c>
      <c r="I203" s="17">
        <f>ROUND(VLOOKUP(H$187&amp;"_2",管理者用人口入力シート!BH:CE,J203,FALSE),0)</f>
        <v>7</v>
      </c>
      <c r="J203" s="2">
        <v>18</v>
      </c>
      <c r="N203" s="2" t="s">
        <v>14</v>
      </c>
      <c r="O203" s="17">
        <f>ROUND(VLOOKUP(O$187&amp;"_1",管理者用人口入力シート!CO:DL,Q203,FALSE),0)</f>
        <v>9</v>
      </c>
      <c r="P203" s="17">
        <f>ROUND(VLOOKUP(O$187&amp;"_2",管理者用人口入力シート!CO:DL,Q203,FALSE),0)</f>
        <v>7</v>
      </c>
      <c r="Q203" s="2">
        <v>18</v>
      </c>
    </row>
    <row r="204" spans="7:17" x14ac:dyDescent="0.15">
      <c r="G204" s="2" t="s">
        <v>15</v>
      </c>
      <c r="H204" s="17">
        <f>ROUND(VLOOKUP(H$187&amp;"_1",管理者用人口入力シート!BH:CE,J204,FALSE),0)</f>
        <v>8</v>
      </c>
      <c r="I204" s="17">
        <f>ROUND(VLOOKUP(H$187&amp;"_2",管理者用人口入力シート!BH:CE,J204,FALSE),0)</f>
        <v>9</v>
      </c>
      <c r="J204" s="2">
        <v>19</v>
      </c>
      <c r="N204" s="2" t="s">
        <v>15</v>
      </c>
      <c r="O204" s="17">
        <f>ROUND(VLOOKUP(O$187&amp;"_1",管理者用人口入力シート!CO:DL,Q204,FALSE),0)</f>
        <v>8</v>
      </c>
      <c r="P204" s="17">
        <f>ROUND(VLOOKUP(O$187&amp;"_2",管理者用人口入力シート!CO:DL,Q204,FALSE),0)</f>
        <v>9</v>
      </c>
      <c r="Q204" s="2">
        <v>19</v>
      </c>
    </row>
    <row r="205" spans="7:17" x14ac:dyDescent="0.15">
      <c r="G205" s="2" t="s">
        <v>16</v>
      </c>
      <c r="H205" s="17">
        <f>ROUND(VLOOKUP(H$187&amp;"_1",管理者用人口入力シート!BH:CE,J205,FALSE),0)</f>
        <v>8</v>
      </c>
      <c r="I205" s="17">
        <f>ROUND(VLOOKUP(H$187&amp;"_2",管理者用人口入力シート!BH:CE,J205,FALSE),0)</f>
        <v>9</v>
      </c>
      <c r="J205" s="2">
        <v>20</v>
      </c>
      <c r="N205" s="2" t="s">
        <v>16</v>
      </c>
      <c r="O205" s="17">
        <f>ROUND(VLOOKUP(O$187&amp;"_1",管理者用人口入力シート!CO:DL,Q205,FALSE),0)</f>
        <v>8</v>
      </c>
      <c r="P205" s="17">
        <f>ROUND(VLOOKUP(O$187&amp;"_2",管理者用人口入力シート!CO:DL,Q205,FALSE),0)</f>
        <v>9</v>
      </c>
      <c r="Q205" s="2">
        <v>20</v>
      </c>
    </row>
    <row r="206" spans="7:17" x14ac:dyDescent="0.15">
      <c r="G206" s="2" t="s">
        <v>17</v>
      </c>
      <c r="H206" s="17">
        <f>ROUND(VLOOKUP(H$187&amp;"_1",管理者用人口入力シート!BH:CE,J206,FALSE),0)</f>
        <v>7</v>
      </c>
      <c r="I206" s="17">
        <f>ROUND(VLOOKUP(H$187&amp;"_2",管理者用人口入力シート!BH:CE,J206,FALSE),0)</f>
        <v>10</v>
      </c>
      <c r="J206" s="2">
        <v>21</v>
      </c>
      <c r="N206" s="2" t="s">
        <v>17</v>
      </c>
      <c r="O206" s="17">
        <f>ROUND(VLOOKUP(O$187&amp;"_1",管理者用人口入力シート!CO:DL,Q206,FALSE),0)</f>
        <v>7</v>
      </c>
      <c r="P206" s="17">
        <f>ROUND(VLOOKUP(O$187&amp;"_2",管理者用人口入力シート!CO:DL,Q206,FALSE),0)</f>
        <v>10</v>
      </c>
      <c r="Q206" s="2">
        <v>21</v>
      </c>
    </row>
    <row r="207" spans="7:17" x14ac:dyDescent="0.15">
      <c r="G207" s="2" t="s">
        <v>18</v>
      </c>
      <c r="H207" s="17">
        <f>ROUND(VLOOKUP(H$187&amp;"_1",管理者用人口入力シート!BH:CE,J207,FALSE),0)</f>
        <v>5</v>
      </c>
      <c r="I207" s="17">
        <f>ROUND(VLOOKUP(H$187&amp;"_2",管理者用人口入力シート!BH:CE,J207,FALSE),0)</f>
        <v>5</v>
      </c>
      <c r="J207" s="2">
        <v>22</v>
      </c>
      <c r="N207" s="2" t="s">
        <v>18</v>
      </c>
      <c r="O207" s="17">
        <f>ROUND(VLOOKUP(O$187&amp;"_1",管理者用人口入力シート!CO:DL,Q207,FALSE),0)</f>
        <v>5</v>
      </c>
      <c r="P207" s="17">
        <f>ROUND(VLOOKUP(O$187&amp;"_2",管理者用人口入力シート!CO:DL,Q207,FALSE),0)</f>
        <v>5</v>
      </c>
      <c r="Q207" s="2">
        <v>22</v>
      </c>
    </row>
    <row r="208" spans="7:17" x14ac:dyDescent="0.15">
      <c r="G208" s="2" t="s">
        <v>19</v>
      </c>
      <c r="H208" s="17">
        <f>ROUND(VLOOKUP(H$187&amp;"_1",管理者用人口入力シート!BH:CE,J208,FALSE),0)</f>
        <v>0</v>
      </c>
      <c r="I208" s="17">
        <f>ROUND(VLOOKUP(H$187&amp;"_2",管理者用人口入力シート!BH:CE,J208,FALSE),0)</f>
        <v>0</v>
      </c>
      <c r="J208" s="2">
        <v>23</v>
      </c>
      <c r="N208" s="2" t="s">
        <v>19</v>
      </c>
      <c r="O208" s="17">
        <f>ROUND(VLOOKUP(O$187&amp;"_1",管理者用人口入力シート!CO:DL,Q208,FALSE),0)</f>
        <v>0</v>
      </c>
      <c r="P208" s="17">
        <f>ROUND(VLOOKUP(O$187&amp;"_2",管理者用人口入力シート!CO:DL,Q208,FALSE),0)</f>
        <v>0</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7">
        <f>O91</f>
        <v>2030</v>
      </c>
      <c r="P212" s="318"/>
      <c r="Q212" s="2" t="s">
        <v>114</v>
      </c>
    </row>
    <row r="213" spans="7:17" x14ac:dyDescent="0.15">
      <c r="N213" s="2" t="s">
        <v>115</v>
      </c>
      <c r="O213" s="78" t="s">
        <v>329</v>
      </c>
      <c r="P213" s="78" t="s">
        <v>330</v>
      </c>
    </row>
    <row r="214" spans="7:17" x14ac:dyDescent="0.15">
      <c r="N214" s="2" t="s">
        <v>0</v>
      </c>
      <c r="O214" s="17">
        <f>H93+I93</f>
        <v>5</v>
      </c>
      <c r="P214" s="17">
        <f>O93+P93</f>
        <v>8</v>
      </c>
      <c r="Q214" s="2">
        <v>4</v>
      </c>
    </row>
    <row r="215" spans="7:17" x14ac:dyDescent="0.15">
      <c r="N215" s="2" t="s">
        <v>1</v>
      </c>
      <c r="O215" s="17">
        <f t="shared" ref="O215:O233" si="37">H94+I94</f>
        <v>7</v>
      </c>
      <c r="P215" s="17">
        <f t="shared" ref="P215:P233" si="38">O94+P94</f>
        <v>9</v>
      </c>
      <c r="Q215" s="2">
        <v>5</v>
      </c>
    </row>
    <row r="216" spans="7:17" x14ac:dyDescent="0.15">
      <c r="N216" s="2" t="s">
        <v>2</v>
      </c>
      <c r="O216" s="17">
        <f t="shared" si="37"/>
        <v>11</v>
      </c>
      <c r="P216" s="17">
        <f t="shared" si="38"/>
        <v>13</v>
      </c>
      <c r="Q216" s="2">
        <v>6</v>
      </c>
    </row>
    <row r="217" spans="7:17" x14ac:dyDescent="0.15">
      <c r="N217" s="2" t="s">
        <v>3</v>
      </c>
      <c r="O217" s="17">
        <f t="shared" si="37"/>
        <v>6</v>
      </c>
      <c r="P217" s="17">
        <f t="shared" si="38"/>
        <v>8</v>
      </c>
      <c r="Q217" s="2">
        <v>7</v>
      </c>
    </row>
    <row r="218" spans="7:17" x14ac:dyDescent="0.15">
      <c r="N218" s="2" t="s">
        <v>4</v>
      </c>
      <c r="O218" s="17">
        <f t="shared" si="37"/>
        <v>4</v>
      </c>
      <c r="P218" s="17">
        <f t="shared" si="38"/>
        <v>4</v>
      </c>
      <c r="Q218" s="2">
        <v>8</v>
      </c>
    </row>
    <row r="219" spans="7:17" x14ac:dyDescent="0.15">
      <c r="N219" s="2" t="s">
        <v>5</v>
      </c>
      <c r="O219" s="17">
        <f t="shared" si="37"/>
        <v>5</v>
      </c>
      <c r="P219" s="17">
        <f t="shared" si="38"/>
        <v>9</v>
      </c>
      <c r="Q219" s="2">
        <v>9</v>
      </c>
    </row>
    <row r="220" spans="7:17" x14ac:dyDescent="0.15">
      <c r="N220" s="2" t="s">
        <v>6</v>
      </c>
      <c r="O220" s="17">
        <f t="shared" si="37"/>
        <v>5</v>
      </c>
      <c r="P220" s="17">
        <f t="shared" si="38"/>
        <v>8</v>
      </c>
      <c r="Q220" s="2">
        <v>10</v>
      </c>
    </row>
    <row r="221" spans="7:17" x14ac:dyDescent="0.15">
      <c r="N221" s="2" t="s">
        <v>7</v>
      </c>
      <c r="O221" s="17">
        <f t="shared" si="37"/>
        <v>10</v>
      </c>
      <c r="P221" s="17">
        <f t="shared" si="38"/>
        <v>10</v>
      </c>
      <c r="Q221" s="2">
        <v>11</v>
      </c>
    </row>
    <row r="222" spans="7:17" x14ac:dyDescent="0.15">
      <c r="N222" s="2" t="s">
        <v>8</v>
      </c>
      <c r="O222" s="17">
        <f t="shared" si="37"/>
        <v>9</v>
      </c>
      <c r="P222" s="17">
        <f t="shared" si="38"/>
        <v>10</v>
      </c>
      <c r="Q222" s="2">
        <v>12</v>
      </c>
    </row>
    <row r="223" spans="7:17" x14ac:dyDescent="0.15">
      <c r="N223" s="2" t="s">
        <v>9</v>
      </c>
      <c r="O223" s="17">
        <f t="shared" si="37"/>
        <v>16</v>
      </c>
      <c r="P223" s="17">
        <f t="shared" si="38"/>
        <v>17</v>
      </c>
      <c r="Q223" s="2">
        <v>13</v>
      </c>
    </row>
    <row r="224" spans="7:17" x14ac:dyDescent="0.15">
      <c r="N224" s="2" t="s">
        <v>10</v>
      </c>
      <c r="O224" s="17">
        <f t="shared" si="37"/>
        <v>18</v>
      </c>
      <c r="P224" s="17">
        <f t="shared" si="38"/>
        <v>18</v>
      </c>
      <c r="Q224" s="2">
        <v>14</v>
      </c>
    </row>
    <row r="225" spans="14:17" x14ac:dyDescent="0.15">
      <c r="N225" s="2" t="s">
        <v>11</v>
      </c>
      <c r="O225" s="17">
        <f t="shared" si="37"/>
        <v>20</v>
      </c>
      <c r="P225" s="17">
        <f t="shared" si="38"/>
        <v>20</v>
      </c>
      <c r="Q225" s="2">
        <v>15</v>
      </c>
    </row>
    <row r="226" spans="14:17" x14ac:dyDescent="0.15">
      <c r="N226" s="2" t="s">
        <v>12</v>
      </c>
      <c r="O226" s="17">
        <f t="shared" si="37"/>
        <v>25</v>
      </c>
      <c r="P226" s="17">
        <f t="shared" si="38"/>
        <v>25</v>
      </c>
      <c r="Q226" s="2">
        <v>16</v>
      </c>
    </row>
    <row r="227" spans="14:17" x14ac:dyDescent="0.15">
      <c r="N227" s="2" t="s">
        <v>13</v>
      </c>
      <c r="O227" s="17">
        <f t="shared" si="37"/>
        <v>35</v>
      </c>
      <c r="P227" s="17">
        <f t="shared" si="38"/>
        <v>35</v>
      </c>
      <c r="Q227" s="2">
        <v>17</v>
      </c>
    </row>
    <row r="228" spans="14:17" x14ac:dyDescent="0.15">
      <c r="N228" s="2" t="s">
        <v>14</v>
      </c>
      <c r="O228" s="17">
        <f t="shared" si="37"/>
        <v>50</v>
      </c>
      <c r="P228" s="17">
        <f t="shared" si="38"/>
        <v>50</v>
      </c>
      <c r="Q228" s="2">
        <v>18</v>
      </c>
    </row>
    <row r="229" spans="14:17" x14ac:dyDescent="0.15">
      <c r="N229" s="2" t="s">
        <v>15</v>
      </c>
      <c r="O229" s="17">
        <f t="shared" si="37"/>
        <v>45</v>
      </c>
      <c r="P229" s="17">
        <f t="shared" si="38"/>
        <v>45</v>
      </c>
      <c r="Q229" s="2">
        <v>19</v>
      </c>
    </row>
    <row r="230" spans="14:17" x14ac:dyDescent="0.15">
      <c r="N230" s="2" t="s">
        <v>16</v>
      </c>
      <c r="O230" s="17">
        <f t="shared" si="37"/>
        <v>37</v>
      </c>
      <c r="P230" s="17">
        <f t="shared" si="38"/>
        <v>37</v>
      </c>
      <c r="Q230" s="2">
        <v>20</v>
      </c>
    </row>
    <row r="231" spans="14:17" x14ac:dyDescent="0.15">
      <c r="N231" s="2" t="s">
        <v>17</v>
      </c>
      <c r="O231" s="17">
        <f t="shared" si="37"/>
        <v>18</v>
      </c>
      <c r="P231" s="17">
        <f t="shared" si="38"/>
        <v>18</v>
      </c>
      <c r="Q231" s="2">
        <v>21</v>
      </c>
    </row>
    <row r="232" spans="14:17" x14ac:dyDescent="0.15">
      <c r="N232" s="2" t="s">
        <v>18</v>
      </c>
      <c r="O232" s="17">
        <f t="shared" si="37"/>
        <v>10</v>
      </c>
      <c r="P232" s="17">
        <f t="shared" si="38"/>
        <v>10</v>
      </c>
      <c r="Q232" s="2">
        <v>22</v>
      </c>
    </row>
    <row r="233" spans="14:17" x14ac:dyDescent="0.15">
      <c r="N233" s="2" t="s">
        <v>19</v>
      </c>
      <c r="O233" s="17">
        <f t="shared" si="37"/>
        <v>0</v>
      </c>
      <c r="P233" s="17">
        <f t="shared" si="38"/>
        <v>0</v>
      </c>
      <c r="Q233" s="2">
        <v>23</v>
      </c>
    </row>
    <row r="234" spans="14:17" x14ac:dyDescent="0.15">
      <c r="N234" s="2" t="s">
        <v>20</v>
      </c>
      <c r="O234" s="17">
        <f>H113+I113</f>
        <v>0</v>
      </c>
      <c r="P234" s="17">
        <f>O113+P113</f>
        <v>0</v>
      </c>
      <c r="Q234" s="2">
        <v>24</v>
      </c>
    </row>
    <row r="236" spans="14:17" x14ac:dyDescent="0.15">
      <c r="N236" s="2" t="s">
        <v>273</v>
      </c>
      <c r="O236" s="317">
        <f>O139</f>
        <v>2040</v>
      </c>
      <c r="P236" s="318"/>
      <c r="Q236" s="2" t="s">
        <v>114</v>
      </c>
    </row>
    <row r="237" spans="14:17" x14ac:dyDescent="0.15">
      <c r="N237" s="2" t="s">
        <v>115</v>
      </c>
      <c r="O237" s="78" t="s">
        <v>329</v>
      </c>
      <c r="P237" s="78" t="s">
        <v>330</v>
      </c>
    </row>
    <row r="238" spans="14:17" x14ac:dyDescent="0.15">
      <c r="N238" s="2" t="s">
        <v>0</v>
      </c>
      <c r="O238" s="17">
        <f>H141+I141</f>
        <v>3</v>
      </c>
      <c r="P238" s="17">
        <f>O141+P141</f>
        <v>7</v>
      </c>
      <c r="Q238" s="2">
        <v>4</v>
      </c>
    </row>
    <row r="239" spans="14:17" x14ac:dyDescent="0.15">
      <c r="N239" s="2" t="s">
        <v>1</v>
      </c>
      <c r="O239" s="17">
        <f t="shared" ref="O239:O257" si="39">H142+I142</f>
        <v>4</v>
      </c>
      <c r="P239" s="17">
        <f t="shared" ref="P239:P257" si="40">O142+P142</f>
        <v>8</v>
      </c>
      <c r="Q239" s="2">
        <v>5</v>
      </c>
    </row>
    <row r="240" spans="14:17" x14ac:dyDescent="0.15">
      <c r="N240" s="2" t="s">
        <v>2</v>
      </c>
      <c r="O240" s="17">
        <f t="shared" si="39"/>
        <v>5</v>
      </c>
      <c r="P240" s="17">
        <f t="shared" si="40"/>
        <v>11</v>
      </c>
      <c r="Q240" s="2">
        <v>6</v>
      </c>
    </row>
    <row r="241" spans="14:17" x14ac:dyDescent="0.15">
      <c r="N241" s="2" t="s">
        <v>3</v>
      </c>
      <c r="O241" s="17">
        <f t="shared" si="39"/>
        <v>4</v>
      </c>
      <c r="P241" s="17">
        <f t="shared" si="40"/>
        <v>7</v>
      </c>
      <c r="Q241" s="2">
        <v>7</v>
      </c>
    </row>
    <row r="242" spans="14:17" x14ac:dyDescent="0.15">
      <c r="N242" s="2" t="s">
        <v>4</v>
      </c>
      <c r="O242" s="17">
        <f t="shared" si="39"/>
        <v>3</v>
      </c>
      <c r="P242" s="17">
        <f t="shared" si="40"/>
        <v>3</v>
      </c>
      <c r="Q242" s="2">
        <v>8</v>
      </c>
    </row>
    <row r="243" spans="14:17" x14ac:dyDescent="0.15">
      <c r="N243" s="2" t="s">
        <v>5</v>
      </c>
      <c r="O243" s="17">
        <f t="shared" si="39"/>
        <v>3</v>
      </c>
      <c r="P243" s="17">
        <f t="shared" si="40"/>
        <v>7</v>
      </c>
      <c r="Q243" s="2">
        <v>9</v>
      </c>
    </row>
    <row r="244" spans="14:17" x14ac:dyDescent="0.15">
      <c r="N244" s="2" t="s">
        <v>6</v>
      </c>
      <c r="O244" s="17">
        <f t="shared" si="39"/>
        <v>3</v>
      </c>
      <c r="P244" s="17">
        <f t="shared" si="40"/>
        <v>6</v>
      </c>
      <c r="Q244" s="2">
        <v>10</v>
      </c>
    </row>
    <row r="245" spans="14:17" x14ac:dyDescent="0.15">
      <c r="N245" s="2" t="s">
        <v>7</v>
      </c>
      <c r="O245" s="17">
        <f t="shared" si="39"/>
        <v>4</v>
      </c>
      <c r="P245" s="17">
        <f t="shared" si="40"/>
        <v>6</v>
      </c>
      <c r="Q245" s="2">
        <v>11</v>
      </c>
    </row>
    <row r="246" spans="14:17" x14ac:dyDescent="0.15">
      <c r="N246" s="2" t="s">
        <v>8</v>
      </c>
      <c r="O246" s="17">
        <f t="shared" si="39"/>
        <v>3</v>
      </c>
      <c r="P246" s="17">
        <f t="shared" si="40"/>
        <v>7</v>
      </c>
      <c r="Q246" s="2">
        <v>12</v>
      </c>
    </row>
    <row r="247" spans="14:17" x14ac:dyDescent="0.15">
      <c r="N247" s="2" t="s">
        <v>9</v>
      </c>
      <c r="O247" s="17">
        <f t="shared" si="39"/>
        <v>10</v>
      </c>
      <c r="P247" s="17">
        <f t="shared" si="40"/>
        <v>11</v>
      </c>
      <c r="Q247" s="2">
        <v>13</v>
      </c>
    </row>
    <row r="248" spans="14:17" x14ac:dyDescent="0.15">
      <c r="N248" s="2" t="s">
        <v>10</v>
      </c>
      <c r="O248" s="17">
        <f t="shared" si="39"/>
        <v>9</v>
      </c>
      <c r="P248" s="17">
        <f t="shared" si="40"/>
        <v>10</v>
      </c>
      <c r="Q248" s="2">
        <v>14</v>
      </c>
    </row>
    <row r="249" spans="14:17" x14ac:dyDescent="0.15">
      <c r="N249" s="2" t="s">
        <v>11</v>
      </c>
      <c r="O249" s="17">
        <f t="shared" si="39"/>
        <v>16</v>
      </c>
      <c r="P249" s="17">
        <f t="shared" si="40"/>
        <v>17</v>
      </c>
      <c r="Q249" s="2">
        <v>15</v>
      </c>
    </row>
    <row r="250" spans="14:17" x14ac:dyDescent="0.15">
      <c r="N250" s="2" t="s">
        <v>12</v>
      </c>
      <c r="O250" s="17">
        <f t="shared" si="39"/>
        <v>19</v>
      </c>
      <c r="P250" s="17">
        <f t="shared" si="40"/>
        <v>19</v>
      </c>
      <c r="Q250" s="2">
        <v>16</v>
      </c>
    </row>
    <row r="251" spans="14:17" x14ac:dyDescent="0.15">
      <c r="N251" s="2" t="s">
        <v>13</v>
      </c>
      <c r="O251" s="17">
        <f t="shared" si="39"/>
        <v>20</v>
      </c>
      <c r="P251" s="17">
        <f t="shared" si="40"/>
        <v>20</v>
      </c>
      <c r="Q251" s="2">
        <v>17</v>
      </c>
    </row>
    <row r="252" spans="14:17" x14ac:dyDescent="0.15">
      <c r="N252" s="2" t="s">
        <v>14</v>
      </c>
      <c r="O252" s="17">
        <f t="shared" si="39"/>
        <v>22</v>
      </c>
      <c r="P252" s="17">
        <f t="shared" si="40"/>
        <v>22</v>
      </c>
      <c r="Q252" s="2">
        <v>18</v>
      </c>
    </row>
    <row r="253" spans="14:17" x14ac:dyDescent="0.15">
      <c r="N253" s="2" t="s">
        <v>15</v>
      </c>
      <c r="O253" s="17">
        <f t="shared" si="39"/>
        <v>29</v>
      </c>
      <c r="P253" s="17">
        <f t="shared" si="40"/>
        <v>29</v>
      </c>
      <c r="Q253" s="2">
        <v>19</v>
      </c>
    </row>
    <row r="254" spans="14:17" x14ac:dyDescent="0.15">
      <c r="N254" s="2" t="s">
        <v>16</v>
      </c>
      <c r="O254" s="17">
        <f t="shared" si="39"/>
        <v>37</v>
      </c>
      <c r="P254" s="17">
        <f t="shared" si="40"/>
        <v>37</v>
      </c>
      <c r="Q254" s="2">
        <v>20</v>
      </c>
    </row>
    <row r="255" spans="14:17" x14ac:dyDescent="0.15">
      <c r="N255" s="2" t="s">
        <v>17</v>
      </c>
      <c r="O255" s="17">
        <f t="shared" si="39"/>
        <v>25</v>
      </c>
      <c r="P255" s="17">
        <f t="shared" si="40"/>
        <v>25</v>
      </c>
      <c r="Q255" s="2">
        <v>21</v>
      </c>
    </row>
    <row r="256" spans="14:17" x14ac:dyDescent="0.15">
      <c r="N256" s="2" t="s">
        <v>18</v>
      </c>
      <c r="O256" s="17">
        <f t="shared" si="39"/>
        <v>11</v>
      </c>
      <c r="P256" s="17">
        <f t="shared" si="40"/>
        <v>11</v>
      </c>
      <c r="Q256" s="2">
        <v>22</v>
      </c>
    </row>
    <row r="257" spans="14:17" x14ac:dyDescent="0.15">
      <c r="N257" s="2" t="s">
        <v>19</v>
      </c>
      <c r="O257" s="17">
        <f t="shared" si="39"/>
        <v>0</v>
      </c>
      <c r="P257" s="17">
        <f t="shared" si="40"/>
        <v>0</v>
      </c>
      <c r="Q257" s="2">
        <v>23</v>
      </c>
    </row>
    <row r="258" spans="14:17" x14ac:dyDescent="0.15">
      <c r="N258" s="2" t="s">
        <v>20</v>
      </c>
      <c r="O258" s="17">
        <f>H161+I161</f>
        <v>0</v>
      </c>
      <c r="P258" s="17">
        <f>O161+P161</f>
        <v>0</v>
      </c>
      <c r="Q258" s="2">
        <v>24</v>
      </c>
    </row>
  </sheetData>
  <mergeCells count="1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2019-03-20T08:38:41Z</cp:lastPrinted>
  <dcterms:created xsi:type="dcterms:W3CDTF">2018-08-17T00:57:13Z</dcterms:created>
  <dcterms:modified xsi:type="dcterms:W3CDTF">2023-03-06T07:43:39Z</dcterms:modified>
</cp:coreProperties>
</file>