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m4BKLfc3j1U6BBpHvF+HeHvZNc01lNblssgnnU6UMb63W2w3vRHmgVbcBjY2Sn5nAX0+cza3tXR1nZLx2/qJg==" workbookSaltValue="Z1lAybYFvCGquYScM99nN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AP8" i="17"/>
  <c r="BO4" i="17" s="1"/>
  <c r="ED4" i="17" s="1"/>
  <c r="AT8" i="17"/>
  <c r="BS4" i="17" s="1"/>
  <c r="CZ4" i="17" s="1"/>
  <c r="DA7" i="17" s="1"/>
  <c r="BB8" i="17"/>
  <c r="CA4" i="17" s="1"/>
  <c r="DH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V6" i="17"/>
  <c r="BX6" i="17"/>
  <c r="BP6" i="17"/>
  <c r="BT6" i="17"/>
  <c r="O42" i="18"/>
  <c r="O60" i="18"/>
  <c r="O52" i="18"/>
  <c r="O24" i="18"/>
  <c r="O34" i="18"/>
  <c r="O16" i="18"/>
  <c r="BZ7" i="17" l="1"/>
  <c r="CA5" i="17"/>
  <c r="BS5" i="17"/>
  <c r="BT7" i="17"/>
  <c r="BT8" i="17" s="1"/>
  <c r="BO5" i="17"/>
  <c r="EH4" i="17"/>
  <c r="BU7" i="17"/>
  <c r="BU8"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10" i="17" l="1"/>
  <c r="BV13" i="17" s="1"/>
  <c r="I152" i="18" s="1"/>
  <c r="BV10" i="17"/>
  <c r="BW13" i="17" s="1"/>
  <c r="DK7" i="17"/>
  <c r="DL10" i="17" s="1"/>
  <c r="P137" i="18" s="1"/>
  <c r="DJ5" i="17"/>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DQ7" i="17" l="1"/>
  <c r="P112" i="18"/>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S7" i="17" l="1"/>
  <c r="P70" i="18" s="1"/>
  <c r="BM10" i="17"/>
  <c r="I119" i="18" s="1"/>
  <c r="EP13" i="17"/>
  <c r="EP30" i="17" s="1"/>
  <c r="P248" i="18"/>
  <c r="P249" i="18"/>
  <c r="P224" i="18"/>
  <c r="I94" i="18"/>
  <c r="CR5" i="17"/>
  <c r="DM5" i="17" s="1"/>
  <c r="DR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J14" i="17"/>
  <c r="DQ11" i="17"/>
  <c r="CG9" i="17"/>
  <c r="BN12" i="17"/>
  <c r="CH9" i="17"/>
  <c r="BM11" i="17"/>
  <c r="CH11" i="17" s="1"/>
  <c r="I27" i="18" s="1"/>
  <c r="P27" i="18" s="1"/>
  <c r="CV14" i="17"/>
  <c r="DT12" i="17"/>
  <c r="DN6" i="17"/>
  <c r="CS8" i="17"/>
  <c r="BL11" i="17"/>
  <c r="BM12" i="17"/>
  <c r="DP12" i="17"/>
  <c r="CI14" i="17"/>
  <c r="BM13" i="17"/>
  <c r="CG10" i="17"/>
  <c r="EP31" i="17" l="1"/>
  <c r="O215" i="18"/>
  <c r="EP14" i="17"/>
  <c r="EY30" i="17"/>
  <c r="DS5" i="17"/>
  <c r="BM15" i="17"/>
  <c r="ED14" i="17"/>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DW10" i="17"/>
  <c r="DW16" i="17" s="1"/>
  <c r="CF12" i="17"/>
  <c r="CK12"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37" i="21" l="1"/>
  <c r="EE7" i="17"/>
  <c r="EE13" i="17"/>
  <c r="EE3" i="17"/>
  <c r="EG4" i="17"/>
  <c r="EE4" i="17"/>
  <c r="EF7" i="17" s="1"/>
  <c r="EE6" i="17"/>
  <c r="EF4" i="17"/>
  <c r="EF21" i="17" s="1"/>
  <c r="DX18" i="17"/>
  <c r="EF3" i="17"/>
  <c r="EG3" i="17"/>
  <c r="EE9" i="17"/>
  <c r="EE12" i="17"/>
  <c r="EE10"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F12" i="17" l="1"/>
  <c r="EE11" i="17"/>
  <c r="EE26" i="17"/>
  <c r="EH6" i="17"/>
  <c r="EG5" i="17"/>
  <c r="EG20" i="17"/>
  <c r="EG6" i="17"/>
  <c r="EF5" i="17"/>
  <c r="EF20" i="17"/>
  <c r="EF22" i="17" s="1"/>
  <c r="EF24" i="17"/>
  <c r="EG10" i="17"/>
  <c r="EE23" i="17"/>
  <c r="EE8" i="17"/>
  <c r="EG7" i="17"/>
  <c r="FB7" i="17" s="1"/>
  <c r="EE21" i="17"/>
  <c r="FB4" i="17"/>
  <c r="EU4" i="17"/>
  <c r="EG21" i="17"/>
  <c r="EH7" i="17"/>
  <c r="EF9" i="17"/>
  <c r="EF6" i="17"/>
  <c r="EF8" i="17" s="1"/>
  <c r="FB3" i="17"/>
  <c r="EE5" i="17"/>
  <c r="EE20" i="17"/>
  <c r="EU3" i="17"/>
  <c r="EE30" i="17"/>
  <c r="EF13" i="17"/>
  <c r="EF30" i="17" s="1"/>
  <c r="EE27" i="17"/>
  <c r="EF10" i="17"/>
  <c r="EE24" i="17"/>
  <c r="EE29" i="17"/>
  <c r="EE31" i="17" s="1"/>
  <c r="EE14" i="17"/>
  <c r="C39" i="21"/>
  <c r="D38" i="21"/>
  <c r="C38" i="21"/>
  <c r="D37" i="21"/>
  <c r="D39" i="21"/>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DZ7" i="17" l="1"/>
  <c r="DZ6" i="17"/>
  <c r="EF26" i="17"/>
  <c r="EG12" i="17"/>
  <c r="FB12" i="17" s="1"/>
  <c r="EF11" i="17"/>
  <c r="EF23" i="17"/>
  <c r="EF25" i="17" s="1"/>
  <c r="EG9" i="17"/>
  <c r="EF27" i="17"/>
  <c r="EG13" i="17"/>
  <c r="EG30" i="17" s="1"/>
  <c r="FB30" i="17" s="1"/>
  <c r="EH24" i="17"/>
  <c r="EI10" i="17"/>
  <c r="FA4" i="17"/>
  <c r="EZ4" i="17"/>
  <c r="EG23" i="17"/>
  <c r="EH9" i="17"/>
  <c r="EG8" i="17"/>
  <c r="FB8" i="17" s="1"/>
  <c r="EG22" i="17"/>
  <c r="EU21" i="17"/>
  <c r="FB21" i="17"/>
  <c r="EH10" i="17"/>
  <c r="EG24" i="17"/>
  <c r="EI9" i="17"/>
  <c r="EH23" i="17"/>
  <c r="EH8" i="17"/>
  <c r="FA3" i="17"/>
  <c r="EZ3" i="17"/>
  <c r="EE22" i="17"/>
  <c r="FB20" i="17"/>
  <c r="EU20" i="17"/>
  <c r="FB6" i="17"/>
  <c r="EE28" i="17"/>
  <c r="FB5" i="17"/>
  <c r="EU5" i="17"/>
  <c r="EE25" i="17"/>
  <c r="FB10" i="17"/>
  <c r="EG27" i="17"/>
  <c r="EH13" i="17"/>
  <c r="EH30" i="17" s="1"/>
  <c r="EF29" i="17"/>
  <c r="EF31" i="17" s="1"/>
  <c r="EF14" i="17"/>
  <c r="D11" i="19"/>
  <c r="CK18" i="17"/>
  <c r="DS20" i="17"/>
  <c r="DS18" i="17"/>
  <c r="CK19" i="17"/>
  <c r="CL19" i="17"/>
  <c r="CF20" i="17"/>
  <c r="EG25" i="17" l="1"/>
  <c r="FB25" i="17" s="1"/>
  <c r="FB27" i="17"/>
  <c r="EI27" i="17"/>
  <c r="EJ13" i="17"/>
  <c r="EJ30" i="17" s="1"/>
  <c r="FA21" i="17"/>
  <c r="EZ21" i="17"/>
  <c r="EG26" i="17"/>
  <c r="EG28" i="17" s="1"/>
  <c r="EH12" i="17"/>
  <c r="EG11" i="17"/>
  <c r="FB11" i="17" s="1"/>
  <c r="FA5" i="17"/>
  <c r="EZ5" i="17"/>
  <c r="FB22" i="17"/>
  <c r="EU22" i="17"/>
  <c r="FB13" i="17"/>
  <c r="FB9" i="17"/>
  <c r="FB24" i="17"/>
  <c r="EG29" i="17"/>
  <c r="EG14" i="17"/>
  <c r="FB14" i="17" s="1"/>
  <c r="EH27" i="17"/>
  <c r="EI13" i="17"/>
  <c r="EI30" i="17" s="1"/>
  <c r="EZ20" i="17"/>
  <c r="FA20" i="17"/>
  <c r="DZ9" i="17"/>
  <c r="DZ10" i="17"/>
  <c r="EH11" i="17"/>
  <c r="EH26" i="17"/>
  <c r="EI12" i="17"/>
  <c r="EF28" i="17"/>
  <c r="FB23" i="17"/>
  <c r="DZ23" i="17"/>
  <c r="EU6" i="17"/>
  <c r="EA9" i="17"/>
  <c r="DZ8" i="17"/>
  <c r="EU8" i="17" s="1"/>
  <c r="EI26" i="17"/>
  <c r="EJ12" i="17"/>
  <c r="EI11" i="17"/>
  <c r="EH25" i="17"/>
  <c r="EA10" i="17"/>
  <c r="EU7" i="17"/>
  <c r="DZ24" i="17"/>
  <c r="EU24" i="17" s="1"/>
  <c r="CK20" i="17"/>
  <c r="CL20" i="17"/>
  <c r="EI28" i="17" l="1"/>
  <c r="FB28" i="17"/>
  <c r="FB26" i="17"/>
  <c r="EA12" i="17"/>
  <c r="DZ26" i="17"/>
  <c r="DZ11" i="17"/>
  <c r="FA22" i="17"/>
  <c r="H36" i="21"/>
  <c r="EZ22" i="17"/>
  <c r="EH29" i="17"/>
  <c r="EH31" i="17" s="1"/>
  <c r="EH14" i="17"/>
  <c r="FA8" i="17"/>
  <c r="EZ8" i="17"/>
  <c r="FA6" i="17"/>
  <c r="EZ6" i="17"/>
  <c r="EZ7" i="17"/>
  <c r="FA7" i="17"/>
  <c r="EA27" i="17"/>
  <c r="EV27" i="17" s="1"/>
  <c r="EB13" i="17"/>
  <c r="EV10" i="17"/>
  <c r="FB29" i="17"/>
  <c r="EG31" i="17"/>
  <c r="FB31" i="17" s="1"/>
  <c r="EJ29" i="17"/>
  <c r="EJ31" i="17" s="1"/>
  <c r="EJ14" i="17"/>
  <c r="EU9" i="17"/>
  <c r="EV9" i="17"/>
  <c r="EA26" i="17"/>
  <c r="EA11" i="17"/>
  <c r="EV11" i="17" s="1"/>
  <c r="EB12" i="17"/>
  <c r="EI29" i="17"/>
  <c r="EI31" i="17" s="1"/>
  <c r="EI14" i="17"/>
  <c r="EA13" i="17"/>
  <c r="EA30" i="17" s="1"/>
  <c r="DZ27" i="17"/>
  <c r="EU10" i="17"/>
  <c r="FA24" i="17"/>
  <c r="EZ24" i="17"/>
  <c r="DZ12" i="17"/>
  <c r="DZ13" i="17"/>
  <c r="DZ25" i="17"/>
  <c r="EU25" i="17" s="1"/>
  <c r="EU23" i="17"/>
  <c r="EH28" i="17"/>
  <c r="EZ9" i="17" l="1"/>
  <c r="FA9" i="17"/>
  <c r="DZ30" i="17"/>
  <c r="EU13" i="17"/>
  <c r="DZ28" i="17"/>
  <c r="EU27" i="17"/>
  <c r="EV13" i="17"/>
  <c r="EB30" i="17"/>
  <c r="EW30" i="17" s="1"/>
  <c r="EW13" i="17"/>
  <c r="DZ29" i="17"/>
  <c r="DZ14" i="17"/>
  <c r="EU12" i="17"/>
  <c r="FA10" i="17"/>
  <c r="EZ10" i="17"/>
  <c r="EB14" i="17"/>
  <c r="EW14" i="17" s="1"/>
  <c r="EW12" i="17"/>
  <c r="EB29" i="17"/>
  <c r="EU11" i="17"/>
  <c r="FA23" i="17"/>
  <c r="EZ23" i="17"/>
  <c r="EU26" i="17"/>
  <c r="FA25" i="17"/>
  <c r="EZ25" i="17"/>
  <c r="H37" i="21"/>
  <c r="EV26" i="17"/>
  <c r="EA28" i="17"/>
  <c r="EV28" i="17" s="1"/>
  <c r="EA29" i="17"/>
  <c r="EA14" i="17"/>
  <c r="EV14" i="17" s="1"/>
  <c r="EV12" i="17"/>
  <c r="EU14" i="17" l="1"/>
  <c r="FA14" i="17" s="1"/>
  <c r="EU28" i="17"/>
  <c r="FA28" i="17" s="1"/>
  <c r="FA27" i="17"/>
  <c r="EZ27" i="17"/>
  <c r="EZ14" i="17"/>
  <c r="FA13" i="17"/>
  <c r="EZ13" i="17"/>
  <c r="FA26" i="17"/>
  <c r="EZ26" i="17"/>
  <c r="EV30" i="17"/>
  <c r="EU30" i="17"/>
  <c r="DZ31" i="17"/>
  <c r="EU29" i="17"/>
  <c r="FA11" i="17"/>
  <c r="EZ11" i="17"/>
  <c r="EW29" i="17"/>
  <c r="EB31" i="17"/>
  <c r="EW31" i="17" s="1"/>
  <c r="EA31" i="17"/>
  <c r="EV29" i="17"/>
  <c r="FA12" i="17"/>
  <c r="EZ12" i="17"/>
  <c r="H38" i="21" l="1"/>
  <c r="EZ28" i="17"/>
  <c r="EV31" i="17"/>
  <c r="FA29" i="17"/>
  <c r="EZ29" i="17"/>
  <c r="EU31" i="17"/>
  <c r="EZ30" i="17"/>
  <c r="FA30" i="17"/>
  <c r="FA31" i="17" l="1"/>
  <c r="H39" i="21"/>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<sst xmlns="http://schemas.openxmlformats.org/spreadsheetml/2006/main" count="1387" uniqueCount="464">
  <si>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</si>
  <si>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</si>
  <si>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</si>
  <si>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</si>
  <si>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</si>
  <si>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</si>
  <si>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</si>
  <si>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</si>
  <si>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</si>
  <si>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</si>
  <si>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</si>
  <si>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</si>
  <si>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</si>
  <si>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</si>
  <si>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</si>
  <si>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</si>
  <si>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</si>
  <si>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</si>
  <si>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</si>
  <si>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</si>
  <si>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</si>
  <si>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</si>
  <si>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</si>
  <si>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</si>
  <si>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</si>
  <si>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</si>
  <si>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</si>
  <si>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</si>
  <si>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</si>
  <si>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</si>
  <si>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</si>
  <si>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</si>
  <si>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</si>
  <si>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</si>
  <si>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</si>
  <si>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</si>
  <si>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</si>
  <si>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</si>
  <si>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</si>
  <si>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</si>
  <si>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</si>
  <si>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</si>
  <si>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</si>
  <si>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</si>
  <si>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</si>
  <si>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</si>
  <si>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</si>
  <si>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</si>
  <si>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</si>
  <si>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</si>
  <si>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</si>
  <si>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</si>
  <si>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</si>
  <si>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</si>
  <si>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</si>
  <si>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</si>
  <si>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</si>
  <si>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</si>
  <si>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</si>
  <si>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</si>
  <si>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</si>
  <si>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</si>
  <si>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</si>
  <si>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</si>
  <si>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</si>
  <si>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</si>
  <si>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</si>
  <si>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</si>
  <si>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</si>
  <si>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</si>
  <si>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</si>
  <si>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</si>
  <si>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</si>
  <si>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</si>
  <si>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</si>
  <si>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</si>
  <si>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</si>
  <si>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</si>
  <si>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</si>
  <si>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</si>
  <si>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</si>
  <si>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</si>
  <si>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</si>
  <si>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</si>
  <si>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</si>
  <si>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</si>
  <si>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</si>
  <si>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</si>
  <si>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</si>
  <si>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</si>
  <si>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</si>
  <si>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</si>
  <si>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</si>
  <si>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</si>
  <si>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</si>
  <si>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</si>
  <si>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</si>
  <si>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</si>
  <si>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</si>
  <si>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</si>
  <si>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</si>
  <si>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</si>
  <si>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</si>
  <si>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</si>
  <si>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</si>
  <si>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</si>
  <si>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</si>
  <si>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</si>
  <si>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</si>
  <si>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</si>
  <si>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</si>
  <si>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</si>
  <si>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</si>
  <si>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</si>
  <si>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</si>
  <si>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</si>
  <si>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</si>
  <si>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</si>
  <si>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</si>
  <si>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</si>
  <si>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</si>
  <si>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</si>
  <si>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</si>
  <si>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</si>
  <si>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</si>
  <si>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</si>
  <si>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</si>
  <si>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</si>
  <si>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</si>
  <si>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</si>
  <si>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</si>
  <si>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</si>
  <si>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</si>
  <si>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</si>
  <si>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</si>
  <si>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</si>
  <si>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</si>
  <si>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</si>
  <si>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</si>
  <si>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</si>
  <si>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</si>
  <si>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</si>
  <si>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</si>
  <si>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</si>
  <si>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</si>
  <si>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</si>
  <si>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</si>
  <si>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</si>
  <si>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</si>
  <si>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</si>
  <si>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</si>
  <si>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</si>
  <si>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</si>
  <si>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</si>
  <si>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</si>
  <si>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</si>
  <si>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</si>
  <si>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</si>
  <si>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</si>
  <si>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</si>
  <si>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</si>
  <si>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</si>
  <si>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</si>
  <si>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</si>
  <si>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</si>
  <si>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</si>
  <si>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</si>
  <si>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</si>
  <si>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</si>
  <si>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</si>
  <si>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</si>
  <si>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</si>
  <si>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</si>
  <si>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</si>
  <si>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</si>
  <si>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</si>
  <si>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</si>
  <si>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</si>
  <si>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</si>
  <si>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</si>
  <si>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</si>
  <si>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</si>
  <si>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</si>
  <si>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</si>
  <si>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</si>
  <si>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</si>
  <si>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</si>
  <si>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</si>
  <si>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</si>
  <si>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</si>
  <si>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</si>
  <si>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</si>
  <si>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</si>
  <si>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</si>
  <si>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</si>
  <si>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</si>
  <si>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</si>
  <si>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</si>
  <si>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</si>
  <si>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</si>
  <si>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</si>
  <si>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</si>
  <si>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</si>
  <si>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</si>
  <si>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</si>
  <si>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</si>
  <si>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</si>
  <si>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</si>
  <si>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</si>
  <si>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</si>
  <si>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</si>
  <si>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</si>
  <si>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</si>
  <si>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</si>
  <si>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</si>
  <si>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</si>
  <si>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</si>
  <si>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</si>
  <si>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</si>
  <si>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</si>
  <si>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</si>
  <si>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</si>
  <si>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</si>
  <si>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</si>
  <si>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</si>
  <si>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</si>
  <si>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</si>
  <si>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</si>
  <si>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</si>
  <si>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</si>
  <si>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</si>
  <si>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</si>
  <si>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</si>
  <si>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</si>
  <si>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</si>
  <si>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</si>
  <si>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</si>
  <si>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</si>
  <si>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</si>
  <si>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</si>
  <si>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</si>
  <si>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</si>
  <si>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</si>
  <si>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</si>
  <si>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</si>
  <si>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</si>
  <si>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</si>
  <si>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</si>
  <si>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</si>
  <si>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</si>
  <si>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</si>
  <si>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</si>
  <si>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</si>
  <si>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</si>
  <si>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</si>
  <si>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</si>
  <si>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</si>
  <si>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</si>
  <si>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</si>
  <si>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</si>
  <si>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</si>
  <si>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</si>
  <si>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</si>
  <si>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</si>
  <si>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</si>
  <si>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</si>
  <si>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</si>
  <si>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</si>
  <si>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</si>
  <si>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</si>
  <si>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</si>
  <si>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</si>
  <si>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</si>
  <si>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</si>
  <si>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</si>
  <si>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</si>
  <si>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</si>
  <si>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</si>
  <si>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</si>
  <si>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</si>
  <si>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</si>
  <si>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</si>
  <si>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</si>
  <si>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</si>
  <si>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</si>
  <si>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</si>
  <si>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</si>
  <si>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</si>
  <si>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</si>
  <si>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</si>
  <si>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</si>
  <si>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</si>
  <si>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</si>
  <si>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</si>
  <si>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</si>
  <si>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</si>
  <si>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</si>
  <si>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</si>
  <si>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</si>
  <si>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</si>
  <si>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</si>
  <si>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</si>
  <si>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</si>
  <si>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</si>
  <si>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</si>
  <si>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</si>
  <si>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</si>
  <si>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</si>
  <si>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</si>
  <si>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</si>
  <si>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</si>
  <si>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</si>
  <si>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</si>
  <si>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</si>
  <si>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</si>
  <si>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</si>
  <si>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</si>
  <si>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</si>
  <si>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</si>
  <si>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</si>
  <si>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</si>
  <si>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</si>
  <si>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</si>
  <si>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</si>
  <si>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</si>
  <si>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</si>
  <si>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</si>
  <si>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</si>
  <si>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</si>
  <si>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</si>
  <si>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</si>
  <si>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</si>
  <si>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</si>
  <si>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</si>
  <si>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</si>
  <si>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</si>
  <si>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</si>
  <si>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</si>
  <si>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</si>
  <si>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</si>
  <si>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</si>
  <si>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</si>
  <si>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</si>
  <si>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</si>
  <si>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</si>
  <si>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</si>
  <si>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</si>
  <si>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</si>
  <si>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</si>
  <si>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</si>
  <si>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</si>
  <si>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</si>
  <si>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</si>
  <si>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</si>
  <si>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</si>
  <si>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</si>
  <si>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</si>
  <si>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</si>
  <si>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</si>
  <si>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</si>
  <si>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</si>
  <si>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</si>
  <si>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</si>
  <si>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</si>
  <si>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</si>
  <si>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</si>
  <si>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</si>
  <si>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</si>
  <si>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</si>
  <si>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</si>
  <si>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</si>
  <si>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</si>
  <si>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</si>
  <si>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</si>
  <si>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</si>
  <si>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</si>
  <si>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</si>
  <si>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</si>
  <si>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</si>
  <si>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</si>
  <si>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</si>
  <si>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</si>
  <si>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</si>
  <si>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</si>
  <si>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</si>
  <si>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</si>
  <si>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</si>
  <si>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</si>
  <si>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</si>
  <si>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</si>
  <si>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</si>
  <si>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</si>
  <si>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</si>
  <si>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</si>
  <si>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</si>
  <si>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</si>
  <si>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</si>
  <si>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</si>
  <si>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</si>
  <si>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</si>
  <si>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</si>
  <si>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</si>
  <si>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</si>
  <si>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</si>
  <si>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</si>
  <si>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</si>
  <si>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</si>
  <si>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</si>
  <si>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</si>
  <si>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</si>
  <si>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</si>
  <si>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</si>
  <si>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</si>
  <si>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</si>
  <si>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</si>
  <si>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</si>
  <si>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</si>
  <si>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</si>
  <si>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</si>
  <si>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</si>
  <si>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</si>
  <si>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</si>
  <si>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</si>
  <si>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</si>
  <si>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</si>
  <si>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</si>
  <si>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</si>
  <si>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</si>
  <si>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</si>
  <si>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</si>
  <si>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</si>
  <si>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</si>
  <si>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</si>
  <si>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</si>
  <si>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</si>
  <si>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</si>
  <si>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</si>
  <si>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</si>
  <si>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</si>
  <si>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</si>
  <si>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</si>
  <si>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</si>
  <si>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</si>
  <si>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</si>
  <si>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</si>
  <si>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</si>
  <si>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</si>
  <si>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</si>
  <si>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</si>
  <si>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</si>
  <si>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</si>
  <si>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</si>
  <si>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</si>
  <si>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</si>
  <si>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</si>
  <si>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</si>
  <si>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</si>
  <si>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</si>
  <si>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</si>
  <si>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</si>
  <si>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</si>
  <si>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</si>
  <si>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45441_16</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</si>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</sst>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27</c:v>
                </c:pt>
                <c:pt idx="1">
                  <c:v>23</c:v>
                </c:pt>
                <c:pt idx="2">
                  <c:v>24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543720"/>
        <c:axId val="394544504"/>
      </c:barChart>
      <c:catAx>
        <c:axId val="394543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4504"/>
        <c:crosses val="autoZero"/>
        <c:auto val="1"/>
        <c:lblAlgn val="ctr"/>
        <c:lblOffset val="100"/>
        <c:noMultiLvlLbl val="0"/>
      </c:catAx>
      <c:valAx>
        <c:axId val="394544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3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c:v>
                </c:pt>
                <c:pt idx="1">
                  <c:v>10</c:v>
                </c:pt>
                <c:pt idx="2">
                  <c:v>11</c:v>
                </c:pt>
                <c:pt idx="3">
                  <c:v>10</c:v>
                </c:pt>
                <c:pt idx="4">
                  <c:v>7</c:v>
                </c:pt>
                <c:pt idx="5">
                  <c:v>5</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546464"/>
        <c:axId val="394540976"/>
      </c:barChart>
      <c:catAx>
        <c:axId val="39454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0976"/>
        <c:crosses val="autoZero"/>
        <c:auto val="1"/>
        <c:lblAlgn val="ctr"/>
        <c:lblOffset val="100"/>
        <c:noMultiLvlLbl val="0"/>
      </c:catAx>
      <c:valAx>
        <c:axId val="394540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6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0.42</c:v>
                </c:pt>
                <c:pt idx="2">
                  <c:v>0.43</c:v>
                </c:pt>
                <c:pt idx="3">
                  <c:v>0.46</c:v>
                </c:pt>
                <c:pt idx="4">
                  <c:v>0.49</c:v>
                </c:pt>
                <c:pt idx="5">
                  <c:v>0.5</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8764232"/>
        <c:axId val="458764624"/>
      </c:barChart>
      <c:catAx>
        <c:axId val="458764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4624"/>
        <c:crosses val="autoZero"/>
        <c:auto val="1"/>
        <c:lblAlgn val="ctr"/>
        <c:lblOffset val="100"/>
        <c:noMultiLvlLbl val="0"/>
      </c:catAx>
      <c:valAx>
        <c:axId val="458764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4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0.25</c:v>
                </c:pt>
                <c:pt idx="2">
                  <c:v>0.2</c:v>
                </c:pt>
                <c:pt idx="3">
                  <c:v>0.22</c:v>
                </c:pt>
                <c:pt idx="4">
                  <c:v>0.28000000000000003</c:v>
                </c:pt>
                <c:pt idx="5">
                  <c:v>0.31</c:v>
                </c:pt>
                <c:pt idx="6">
                  <c:v>0.32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8759920"/>
        <c:axId val="458761096"/>
      </c:barChart>
      <c:catAx>
        <c:axId val="45875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1096"/>
        <c:crosses val="autoZero"/>
        <c:auto val="1"/>
        <c:lblAlgn val="ctr"/>
        <c:lblOffset val="100"/>
        <c:noMultiLvlLbl val="0"/>
      </c:catAx>
      <c:valAx>
        <c:axId val="458761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9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787-4FF9-AE9F-53E985B9AB86}"/>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787-4FF9-AE9F-53E985B9AB86}"/>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787-4FF9-AE9F-53E985B9AB86}"/>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787-4FF9-AE9F-53E985B9AB86}"/>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787-4FF9-AE9F-53E985B9AB86}"/>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787-4FF9-AE9F-53E985B9AB86}"/>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787-4FF9-AE9F-53E985B9AB86}"/>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787-4FF9-AE9F-53E985B9AB86}"/>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787-4FF9-AE9F-53E985B9AB86}"/>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787-4FF9-AE9F-53E985B9AB86}"/>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787-4FF9-AE9F-53E985B9AB86}"/>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787-4FF9-AE9F-53E985B9AB86}"/>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787-4FF9-AE9F-53E985B9AB8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4</c:v>
                </c:pt>
                <c:pt idx="2">
                  <c:v>6</c:v>
                </c:pt>
                <c:pt idx="3">
                  <c:v>8</c:v>
                </c:pt>
                <c:pt idx="4">
                  <c:v>6</c:v>
                </c:pt>
                <c:pt idx="5">
                  <c:v>9</c:v>
                </c:pt>
                <c:pt idx="6">
                  <c:v>13</c:v>
                </c:pt>
                <c:pt idx="7">
                  <c:v>10</c:v>
                </c:pt>
                <c:pt idx="8">
                  <c:v>5</c:v>
                </c:pt>
                <c:pt idx="9">
                  <c:v>9</c:v>
                </c:pt>
                <c:pt idx="10">
                  <c:v>12</c:v>
                </c:pt>
                <c:pt idx="11">
                  <c:v>14</c:v>
                </c:pt>
                <c:pt idx="12">
                  <c:v>13</c:v>
                </c:pt>
                <c:pt idx="13">
                  <c:v>17</c:v>
                </c:pt>
                <c:pt idx="14">
                  <c:v>27</c:v>
                </c:pt>
                <c:pt idx="15">
                  <c:v>26</c:v>
                </c:pt>
                <c:pt idx="16">
                  <c:v>17</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765016"/>
        <c:axId val="4587607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6</c:v>
                </c:pt>
                <c:pt idx="2">
                  <c:v>6</c:v>
                </c:pt>
                <c:pt idx="3">
                  <c:v>3</c:v>
                </c:pt>
                <c:pt idx="4">
                  <c:v>2</c:v>
                </c:pt>
                <c:pt idx="5">
                  <c:v>2</c:v>
                </c:pt>
                <c:pt idx="6">
                  <c:v>2</c:v>
                </c:pt>
                <c:pt idx="7">
                  <c:v>8</c:v>
                </c:pt>
                <c:pt idx="8">
                  <c:v>9</c:v>
                </c:pt>
                <c:pt idx="9">
                  <c:v>6</c:v>
                </c:pt>
                <c:pt idx="10">
                  <c:v>12</c:v>
                </c:pt>
                <c:pt idx="11">
                  <c:v>13</c:v>
                </c:pt>
                <c:pt idx="12">
                  <c:v>19</c:v>
                </c:pt>
                <c:pt idx="13">
                  <c:v>18</c:v>
                </c:pt>
                <c:pt idx="14">
                  <c:v>21</c:v>
                </c:pt>
                <c:pt idx="15">
                  <c:v>26</c:v>
                </c:pt>
                <c:pt idx="16">
                  <c:v>17</c:v>
                </c:pt>
                <c:pt idx="17">
                  <c:v>8</c:v>
                </c:pt>
                <c:pt idx="18">
                  <c:v>5</c:v>
                </c:pt>
                <c:pt idx="19">
                  <c:v>1</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763448"/>
        <c:axId val="458761488"/>
      </c:barChart>
      <c:catAx>
        <c:axId val="458765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0704"/>
        <c:crosses val="autoZero"/>
        <c:auto val="1"/>
        <c:lblAlgn val="ctr"/>
        <c:lblOffset val="100"/>
        <c:noMultiLvlLbl val="0"/>
      </c:catAx>
      <c:valAx>
        <c:axId val="4587607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5016"/>
        <c:crosses val="autoZero"/>
        <c:crossBetween val="between"/>
        <c:majorUnit val="25"/>
      </c:valAx>
      <c:valAx>
        <c:axId val="4587614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3448"/>
        <c:crosses val="max"/>
        <c:crossBetween val="between"/>
        <c:majorUnit val="25"/>
      </c:valAx>
      <c:catAx>
        <c:axId val="458763448"/>
        <c:scaling>
          <c:orientation val="minMax"/>
        </c:scaling>
        <c:delete val="1"/>
        <c:axPos val="l"/>
        <c:numFmt formatCode="General" sourceLinked="1"/>
        <c:majorTickMark val="out"/>
        <c:minorTickMark val="none"/>
        <c:tickLblPos val="nextTo"/>
        <c:crossAx val="458761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74-45B7-B867-60E2A932BDC6}"/>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74-45B7-B867-60E2A932BDC6}"/>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574-45B7-B867-60E2A932BDC6}"/>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574-45B7-B867-60E2A932BDC6}"/>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574-45B7-B867-60E2A932BDC6}"/>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574-45B7-B867-60E2A932BDC6}"/>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574-45B7-B867-60E2A932BDC6}"/>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574-45B7-B867-60E2A932BDC6}"/>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574-45B7-B867-60E2A932BDC6}"/>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574-45B7-B867-60E2A932BDC6}"/>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574-45B7-B867-60E2A932BDC6}"/>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574-45B7-B867-60E2A932BDC6}"/>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574-45B7-B867-60E2A932BDC6}"/>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574-45B7-B867-60E2A932BDC6}"/>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4574-45B7-B867-60E2A932BDC6}"/>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4574-45B7-B867-60E2A932BDC6}"/>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4574-45B7-B867-60E2A932BD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1</c:v>
                </c:pt>
                <c:pt idx="2">
                  <c:v>3</c:v>
                </c:pt>
                <c:pt idx="3">
                  <c:v>3</c:v>
                </c:pt>
                <c:pt idx="4">
                  <c:v>3</c:v>
                </c:pt>
                <c:pt idx="5">
                  <c:v>9</c:v>
                </c:pt>
                <c:pt idx="6">
                  <c:v>8</c:v>
                </c:pt>
                <c:pt idx="7">
                  <c:v>7</c:v>
                </c:pt>
                <c:pt idx="8">
                  <c:v>10</c:v>
                </c:pt>
                <c:pt idx="9">
                  <c:v>14</c:v>
                </c:pt>
                <c:pt idx="10">
                  <c:v>6</c:v>
                </c:pt>
                <c:pt idx="11">
                  <c:v>9</c:v>
                </c:pt>
                <c:pt idx="12">
                  <c:v>13</c:v>
                </c:pt>
                <c:pt idx="13">
                  <c:v>15</c:v>
                </c:pt>
                <c:pt idx="14">
                  <c:v>12</c:v>
                </c:pt>
                <c:pt idx="15">
                  <c:v>14</c:v>
                </c:pt>
                <c:pt idx="16">
                  <c:v>16</c:v>
                </c:pt>
                <c:pt idx="17">
                  <c:v>11</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765408"/>
        <c:axId val="4587661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3</c:v>
                </c:pt>
                <c:pt idx="3">
                  <c:v>3</c:v>
                </c:pt>
                <c:pt idx="4">
                  <c:v>1</c:v>
                </c:pt>
                <c:pt idx="5">
                  <c:v>1</c:v>
                </c:pt>
                <c:pt idx="6">
                  <c:v>3</c:v>
                </c:pt>
                <c:pt idx="7">
                  <c:v>2</c:v>
                </c:pt>
                <c:pt idx="8">
                  <c:v>2</c:v>
                </c:pt>
                <c:pt idx="9">
                  <c:v>6</c:v>
                </c:pt>
                <c:pt idx="10">
                  <c:v>9</c:v>
                </c:pt>
                <c:pt idx="11">
                  <c:v>7</c:v>
                </c:pt>
                <c:pt idx="12">
                  <c:v>13</c:v>
                </c:pt>
                <c:pt idx="13">
                  <c:v>14</c:v>
                </c:pt>
                <c:pt idx="14">
                  <c:v>18</c:v>
                </c:pt>
                <c:pt idx="15">
                  <c:v>16</c:v>
                </c:pt>
                <c:pt idx="16">
                  <c:v>14</c:v>
                </c:pt>
                <c:pt idx="17">
                  <c:v>13</c:v>
                </c:pt>
                <c:pt idx="18">
                  <c:v>5</c:v>
                </c:pt>
                <c:pt idx="19">
                  <c:v>1</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759136"/>
        <c:axId val="458758744"/>
      </c:barChart>
      <c:catAx>
        <c:axId val="458765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6192"/>
        <c:crosses val="autoZero"/>
        <c:auto val="1"/>
        <c:lblAlgn val="ctr"/>
        <c:lblOffset val="100"/>
        <c:noMultiLvlLbl val="0"/>
      </c:catAx>
      <c:valAx>
        <c:axId val="45876619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5408"/>
        <c:crosses val="autoZero"/>
        <c:crossBetween val="between"/>
        <c:majorUnit val="25"/>
      </c:valAx>
      <c:valAx>
        <c:axId val="4587587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9136"/>
        <c:crosses val="max"/>
        <c:crossBetween val="between"/>
        <c:majorUnit val="25"/>
      </c:valAx>
      <c:catAx>
        <c:axId val="458759136"/>
        <c:scaling>
          <c:orientation val="minMax"/>
        </c:scaling>
        <c:delete val="1"/>
        <c:axPos val="l"/>
        <c:numFmt formatCode="General" sourceLinked="1"/>
        <c:majorTickMark val="out"/>
        <c:minorTickMark val="none"/>
        <c:tickLblPos val="nextTo"/>
        <c:crossAx val="458758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651</c:v>
                </c:pt>
                <c:pt idx="1">
                  <c:v>572</c:v>
                </c:pt>
                <c:pt idx="2">
                  <c:v>515</c:v>
                </c:pt>
                <c:pt idx="3">
                  <c:v>461</c:v>
                </c:pt>
                <c:pt idx="4">
                  <c:v>397</c:v>
                </c:pt>
                <c:pt idx="5">
                  <c:v>344</c:v>
                </c:pt>
                <c:pt idx="6">
                  <c:v>296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56C-4BC2-862C-8D2C69ECD1B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56C-4BC2-862C-8D2C69ECD1B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56C-4BC2-862C-8D2C69ECD1BF}"/>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56C-4BC2-862C-8D2C69ECD1B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470</c:v>
                </c:pt>
                <c:pt idx="4" formatCode="#,##0_);[Red]\(#,##0\)">
                  <c:v>417</c:v>
                </c:pt>
                <c:pt idx="5" formatCode="#,##0_);[Red]\(#,##0\)">
                  <c:v>373</c:v>
                </c:pt>
                <c:pt idx="6" formatCode="#,##0_);[Red]\(#,##0\)">
                  <c:v>338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761880"/>
        <c:axId val="458762272"/>
      </c:barChart>
      <c:catAx>
        <c:axId val="458761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2272"/>
        <c:crosses val="autoZero"/>
        <c:auto val="1"/>
        <c:lblAlgn val="ctr"/>
        <c:lblOffset val="100"/>
        <c:noMultiLvlLbl val="0"/>
      </c:catAx>
      <c:valAx>
        <c:axId val="458762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618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27</c:v>
                </c:pt>
                <c:pt idx="1">
                  <c:v>23</c:v>
                </c:pt>
                <c:pt idx="2">
                  <c:v>24</c:v>
                </c:pt>
                <c:pt idx="3">
                  <c:v>18</c:v>
                </c:pt>
                <c:pt idx="4">
                  <c:v>13</c:v>
                </c:pt>
                <c:pt idx="5">
                  <c:v>9</c:v>
                </c:pt>
                <c:pt idx="6">
                  <c:v>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19</c:v>
                </c:pt>
                <c:pt idx="4">
                  <c:v>15</c:v>
                </c:pt>
                <c:pt idx="5">
                  <c:v>14</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6148624"/>
        <c:axId val="396148232"/>
      </c:barChart>
      <c:catAx>
        <c:axId val="396148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8232"/>
        <c:crosses val="autoZero"/>
        <c:auto val="1"/>
        <c:lblAlgn val="ctr"/>
        <c:lblOffset val="100"/>
        <c:noMultiLvlLbl val="0"/>
      </c:catAx>
      <c:valAx>
        <c:axId val="396148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8624"/>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0.42</c:v>
                </c:pt>
                <c:pt idx="2">
                  <c:v>0.43</c:v>
                </c:pt>
                <c:pt idx="3">
                  <c:v>0.46</c:v>
                </c:pt>
                <c:pt idx="4">
                  <c:v>0.49</c:v>
                </c:pt>
                <c:pt idx="5">
                  <c:v>0.5</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990-4E37-98E1-8ACACD655143}"/>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990-4E37-98E1-8ACACD655143}"/>
                </c:ext>
                <c:ext xmlns:c15="http://schemas.microsoft.com/office/drawing/2012/chart" uri="{CE6537A1-D6FC-4f65-9D91-7224C49458BB}"/>
              </c:extLst>
            </c:dLbl>
            <c:dLbl>
              <c:idx val="5"/>
              <c:layout>
                <c:manualLayout>
                  <c:x val="6.9656244598342194E-3"/>
                  <c:y val="-0.1147232643083210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990-4E37-98E1-8ACACD655143}"/>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990-4E37-98E1-8ACACD6551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0.46</c:v>
                </c:pt>
                <c:pt idx="5" formatCode="0%">
                  <c:v>0.46</c:v>
                </c:pt>
                <c:pt idx="6" formatCode="0%">
                  <c:v>0.46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6151760"/>
        <c:axId val="396147448"/>
      </c:barChart>
      <c:catAx>
        <c:axId val="396151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7448"/>
        <c:crosses val="autoZero"/>
        <c:auto val="1"/>
        <c:lblAlgn val="ctr"/>
        <c:lblOffset val="100"/>
        <c:noMultiLvlLbl val="0"/>
      </c:catAx>
      <c:valAx>
        <c:axId val="396147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517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0.25</c:v>
                </c:pt>
                <c:pt idx="2">
                  <c:v>0.2</c:v>
                </c:pt>
                <c:pt idx="3">
                  <c:v>0.22</c:v>
                </c:pt>
                <c:pt idx="4">
                  <c:v>0.28000000000000003</c:v>
                </c:pt>
                <c:pt idx="5">
                  <c:v>0.31</c:v>
                </c:pt>
                <c:pt idx="6">
                  <c:v>0.32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E99-4422-B425-8EDC6458D38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E99-4422-B425-8EDC6458D38B}"/>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E99-4422-B425-8EDC6458D38B}"/>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E99-4422-B425-8EDC6458D38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0.26</c:v>
                </c:pt>
                <c:pt idx="5" formatCode="0%">
                  <c:v>0.28999999999999998</c:v>
                </c:pt>
                <c:pt idx="6" formatCode="0%">
                  <c:v>0.28000000000000003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6149800"/>
        <c:axId val="396150976"/>
      </c:barChart>
      <c:catAx>
        <c:axId val="396149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50976"/>
        <c:crosses val="autoZero"/>
        <c:auto val="1"/>
        <c:lblAlgn val="ctr"/>
        <c:lblOffset val="100"/>
        <c:noMultiLvlLbl val="0"/>
      </c:catAx>
      <c:valAx>
        <c:axId val="396150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98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c:v>
                </c:pt>
                <c:pt idx="1">
                  <c:v>10</c:v>
                </c:pt>
                <c:pt idx="2">
                  <c:v>11</c:v>
                </c:pt>
                <c:pt idx="3">
                  <c:v>10</c:v>
                </c:pt>
                <c:pt idx="4">
                  <c:v>7</c:v>
                </c:pt>
                <c:pt idx="5">
                  <c:v>5</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6150584"/>
        <c:axId val="396151368"/>
      </c:barChart>
      <c:catAx>
        <c:axId val="396150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51368"/>
        <c:crosses val="autoZero"/>
        <c:auto val="1"/>
        <c:lblAlgn val="ctr"/>
        <c:lblOffset val="100"/>
        <c:noMultiLvlLbl val="0"/>
      </c:catAx>
      <c:valAx>
        <c:axId val="396151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50584"/>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c:v>
                </c:pt>
                <c:pt idx="1">
                  <c:v>10</c:v>
                </c:pt>
                <c:pt idx="2">
                  <c:v>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546856"/>
        <c:axId val="394542936"/>
      </c:barChart>
      <c:catAx>
        <c:axId val="394546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2936"/>
        <c:crosses val="autoZero"/>
        <c:auto val="1"/>
        <c:lblAlgn val="ctr"/>
        <c:lblOffset val="100"/>
        <c:noMultiLvlLbl val="0"/>
      </c:catAx>
      <c:valAx>
        <c:axId val="394542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6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2D-485E-94DA-A338121B2101}"/>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2D-485E-94DA-A338121B2101}"/>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02D-485E-94DA-A338121B2101}"/>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02D-485E-94DA-A338121B2101}"/>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02D-485E-94DA-A338121B2101}"/>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02D-485E-94DA-A338121B2101}"/>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02D-485E-94DA-A338121B2101}"/>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02D-485E-94DA-A338121B21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5</c:v>
                </c:pt>
                <c:pt idx="2">
                  <c:v>7</c:v>
                </c:pt>
                <c:pt idx="3">
                  <c:v>9</c:v>
                </c:pt>
                <c:pt idx="4">
                  <c:v>6</c:v>
                </c:pt>
                <c:pt idx="5">
                  <c:v>11</c:v>
                </c:pt>
                <c:pt idx="6">
                  <c:v>15</c:v>
                </c:pt>
                <c:pt idx="7">
                  <c:v>10</c:v>
                </c:pt>
                <c:pt idx="8">
                  <c:v>5</c:v>
                </c:pt>
                <c:pt idx="9">
                  <c:v>9</c:v>
                </c:pt>
                <c:pt idx="10">
                  <c:v>12</c:v>
                </c:pt>
                <c:pt idx="11">
                  <c:v>14</c:v>
                </c:pt>
                <c:pt idx="12">
                  <c:v>13</c:v>
                </c:pt>
                <c:pt idx="13">
                  <c:v>17</c:v>
                </c:pt>
                <c:pt idx="14">
                  <c:v>27</c:v>
                </c:pt>
                <c:pt idx="15">
                  <c:v>26</c:v>
                </c:pt>
                <c:pt idx="16">
                  <c:v>17</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6146272"/>
        <c:axId val="3961450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7</c:v>
                </c:pt>
                <c:pt idx="2">
                  <c:v>7</c:v>
                </c:pt>
                <c:pt idx="3">
                  <c:v>4</c:v>
                </c:pt>
                <c:pt idx="4">
                  <c:v>2</c:v>
                </c:pt>
                <c:pt idx="5">
                  <c:v>4</c:v>
                </c:pt>
                <c:pt idx="6">
                  <c:v>4</c:v>
                </c:pt>
                <c:pt idx="7">
                  <c:v>8</c:v>
                </c:pt>
                <c:pt idx="8">
                  <c:v>10</c:v>
                </c:pt>
                <c:pt idx="9">
                  <c:v>7</c:v>
                </c:pt>
                <c:pt idx="10">
                  <c:v>12</c:v>
                </c:pt>
                <c:pt idx="11">
                  <c:v>13</c:v>
                </c:pt>
                <c:pt idx="12">
                  <c:v>19</c:v>
                </c:pt>
                <c:pt idx="13">
                  <c:v>18</c:v>
                </c:pt>
                <c:pt idx="14">
                  <c:v>21</c:v>
                </c:pt>
                <c:pt idx="15">
                  <c:v>26</c:v>
                </c:pt>
                <c:pt idx="16">
                  <c:v>17</c:v>
                </c:pt>
                <c:pt idx="17">
                  <c:v>8</c:v>
                </c:pt>
                <c:pt idx="18">
                  <c:v>5</c:v>
                </c:pt>
                <c:pt idx="19">
                  <c:v>1</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6147056"/>
        <c:axId val="396146664"/>
      </c:barChart>
      <c:catAx>
        <c:axId val="396146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5096"/>
        <c:crosses val="autoZero"/>
        <c:auto val="1"/>
        <c:lblAlgn val="ctr"/>
        <c:lblOffset val="100"/>
        <c:noMultiLvlLbl val="0"/>
      </c:catAx>
      <c:valAx>
        <c:axId val="3961450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6272"/>
        <c:crosses val="autoZero"/>
        <c:crossBetween val="between"/>
        <c:majorUnit val="25"/>
      </c:valAx>
      <c:valAx>
        <c:axId val="39614666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7056"/>
        <c:crosses val="max"/>
        <c:crossBetween val="between"/>
        <c:majorUnit val="25"/>
      </c:valAx>
      <c:catAx>
        <c:axId val="396147056"/>
        <c:scaling>
          <c:orientation val="minMax"/>
        </c:scaling>
        <c:delete val="1"/>
        <c:axPos val="l"/>
        <c:numFmt formatCode="General" sourceLinked="1"/>
        <c:majorTickMark val="out"/>
        <c:minorTickMark val="none"/>
        <c:tickLblPos val="nextTo"/>
        <c:crossAx val="396146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7ED-4679-AED7-E40881CA629E}"/>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7ED-4679-AED7-E40881CA629E}"/>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7ED-4679-AED7-E40881CA629E}"/>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ED-4679-AED7-E40881CA629E}"/>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7ED-4679-AED7-E40881CA629E}"/>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7ED-4679-AED7-E40881CA629E}"/>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7ED-4679-AED7-E40881CA629E}"/>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7ED-4679-AED7-E40881CA629E}"/>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7ED-4679-AED7-E40881CA629E}"/>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7ED-4679-AED7-E40881CA629E}"/>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7ED-4679-AED7-E40881CA62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4</c:v>
                </c:pt>
                <c:pt idx="2">
                  <c:v>6</c:v>
                </c:pt>
                <c:pt idx="3">
                  <c:v>4</c:v>
                </c:pt>
                <c:pt idx="4">
                  <c:v>4</c:v>
                </c:pt>
                <c:pt idx="5">
                  <c:v>12</c:v>
                </c:pt>
                <c:pt idx="6">
                  <c:v>11</c:v>
                </c:pt>
                <c:pt idx="7">
                  <c:v>9</c:v>
                </c:pt>
                <c:pt idx="8">
                  <c:v>12</c:v>
                </c:pt>
                <c:pt idx="9">
                  <c:v>14</c:v>
                </c:pt>
                <c:pt idx="10">
                  <c:v>6</c:v>
                </c:pt>
                <c:pt idx="11">
                  <c:v>9</c:v>
                </c:pt>
                <c:pt idx="12">
                  <c:v>13</c:v>
                </c:pt>
                <c:pt idx="13">
                  <c:v>15</c:v>
                </c:pt>
                <c:pt idx="14">
                  <c:v>12</c:v>
                </c:pt>
                <c:pt idx="15">
                  <c:v>14</c:v>
                </c:pt>
                <c:pt idx="16">
                  <c:v>16</c:v>
                </c:pt>
                <c:pt idx="17">
                  <c:v>11</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6145488"/>
        <c:axId val="3961478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5</c:v>
                </c:pt>
                <c:pt idx="2">
                  <c:v>5</c:v>
                </c:pt>
                <c:pt idx="3">
                  <c:v>5</c:v>
                </c:pt>
                <c:pt idx="4">
                  <c:v>1</c:v>
                </c:pt>
                <c:pt idx="5">
                  <c:v>4</c:v>
                </c:pt>
                <c:pt idx="6">
                  <c:v>5</c:v>
                </c:pt>
                <c:pt idx="7">
                  <c:v>4</c:v>
                </c:pt>
                <c:pt idx="8">
                  <c:v>4</c:v>
                </c:pt>
                <c:pt idx="9">
                  <c:v>7</c:v>
                </c:pt>
                <c:pt idx="10">
                  <c:v>10</c:v>
                </c:pt>
                <c:pt idx="11">
                  <c:v>8</c:v>
                </c:pt>
                <c:pt idx="12">
                  <c:v>13</c:v>
                </c:pt>
                <c:pt idx="13">
                  <c:v>14</c:v>
                </c:pt>
                <c:pt idx="14">
                  <c:v>18</c:v>
                </c:pt>
                <c:pt idx="15">
                  <c:v>16</c:v>
                </c:pt>
                <c:pt idx="16">
                  <c:v>14</c:v>
                </c:pt>
                <c:pt idx="17">
                  <c:v>13</c:v>
                </c:pt>
                <c:pt idx="18">
                  <c:v>5</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494816"/>
        <c:axId val="396145880"/>
      </c:barChart>
      <c:catAx>
        <c:axId val="396145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7840"/>
        <c:crosses val="autoZero"/>
        <c:auto val="1"/>
        <c:lblAlgn val="ctr"/>
        <c:lblOffset val="100"/>
        <c:noMultiLvlLbl val="0"/>
      </c:catAx>
      <c:valAx>
        <c:axId val="3961478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145488"/>
        <c:crosses val="autoZero"/>
        <c:crossBetween val="between"/>
        <c:majorUnit val="25"/>
      </c:valAx>
      <c:valAx>
        <c:axId val="39614588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4816"/>
        <c:crosses val="max"/>
        <c:crossBetween val="between"/>
        <c:majorUnit val="25"/>
      </c:valAx>
      <c:catAx>
        <c:axId val="460494816"/>
        <c:scaling>
          <c:orientation val="minMax"/>
        </c:scaling>
        <c:delete val="1"/>
        <c:axPos val="l"/>
        <c:numFmt formatCode="General" sourceLinked="1"/>
        <c:majorTickMark val="out"/>
        <c:minorTickMark val="none"/>
        <c:tickLblPos val="nextTo"/>
        <c:crossAx val="396145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D9-4307-B3DE-645C54C5BFAB}"/>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CD9-4307-B3DE-645C54C5BFAB}"/>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CD9-4307-B3DE-645C54C5BFAB}"/>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CD9-4307-B3DE-645C54C5BFA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c:v>
                </c:pt>
                <c:pt idx="1">
                  <c:v>10</c:v>
                </c:pt>
                <c:pt idx="2">
                  <c:v>12</c:v>
                </c:pt>
                <c:pt idx="3">
                  <c:v>11</c:v>
                </c:pt>
                <c:pt idx="4">
                  <c:v>8</c:v>
                </c:pt>
                <c:pt idx="5">
                  <c:v>11</c:v>
                </c:pt>
                <c:pt idx="6">
                  <c:v>15</c:v>
                </c:pt>
                <c:pt idx="7">
                  <c:v>18</c:v>
                </c:pt>
                <c:pt idx="8">
                  <c:v>14</c:v>
                </c:pt>
                <c:pt idx="9">
                  <c:v>15</c:v>
                </c:pt>
                <c:pt idx="10">
                  <c:v>24</c:v>
                </c:pt>
                <c:pt idx="11">
                  <c:v>27</c:v>
                </c:pt>
                <c:pt idx="12">
                  <c:v>32</c:v>
                </c:pt>
                <c:pt idx="13">
                  <c:v>35</c:v>
                </c:pt>
                <c:pt idx="14">
                  <c:v>48</c:v>
                </c:pt>
                <c:pt idx="15">
                  <c:v>52</c:v>
                </c:pt>
                <c:pt idx="16">
                  <c:v>34</c:v>
                </c:pt>
                <c:pt idx="17">
                  <c:v>15</c:v>
                </c:pt>
                <c:pt idx="18">
                  <c:v>8</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495208"/>
        <c:axId val="46049677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c:v>
                </c:pt>
                <c:pt idx="1">
                  <c:v>12</c:v>
                </c:pt>
                <c:pt idx="2">
                  <c:v>14</c:v>
                </c:pt>
                <c:pt idx="3">
                  <c:v>13</c:v>
                </c:pt>
                <c:pt idx="4">
                  <c:v>8</c:v>
                </c:pt>
                <c:pt idx="5">
                  <c:v>15</c:v>
                </c:pt>
                <c:pt idx="6">
                  <c:v>19</c:v>
                </c:pt>
                <c:pt idx="7">
                  <c:v>18</c:v>
                </c:pt>
                <c:pt idx="8">
                  <c:v>15</c:v>
                </c:pt>
                <c:pt idx="9">
                  <c:v>16</c:v>
                </c:pt>
                <c:pt idx="10">
                  <c:v>24</c:v>
                </c:pt>
                <c:pt idx="11">
                  <c:v>27</c:v>
                </c:pt>
                <c:pt idx="12">
                  <c:v>32</c:v>
                </c:pt>
                <c:pt idx="13">
                  <c:v>35</c:v>
                </c:pt>
                <c:pt idx="14">
                  <c:v>48</c:v>
                </c:pt>
                <c:pt idx="15">
                  <c:v>52</c:v>
                </c:pt>
                <c:pt idx="16">
                  <c:v>34</c:v>
                </c:pt>
                <c:pt idx="17">
                  <c:v>15</c:v>
                </c:pt>
                <c:pt idx="18">
                  <c:v>8</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495600"/>
        <c:axId val="460499912"/>
      </c:barChart>
      <c:catAx>
        <c:axId val="460495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6776"/>
        <c:crosses val="autoZero"/>
        <c:auto val="1"/>
        <c:lblAlgn val="ctr"/>
        <c:lblOffset val="100"/>
        <c:noMultiLvlLbl val="0"/>
      </c:catAx>
      <c:valAx>
        <c:axId val="4604967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5208"/>
        <c:crosses val="autoZero"/>
        <c:crossBetween val="between"/>
        <c:majorUnit val="50"/>
      </c:valAx>
      <c:valAx>
        <c:axId val="4604999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5600"/>
        <c:crosses val="max"/>
        <c:crossBetween val="between"/>
        <c:majorUnit val="50"/>
      </c:valAx>
      <c:catAx>
        <c:axId val="460495600"/>
        <c:scaling>
          <c:orientation val="minMax"/>
        </c:scaling>
        <c:delete val="1"/>
        <c:axPos val="l"/>
        <c:numFmt formatCode="General" sourceLinked="1"/>
        <c:majorTickMark val="out"/>
        <c:minorTickMark val="none"/>
        <c:tickLblPos val="nextTo"/>
        <c:crossAx val="46049991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057-49ED-8ED5-1F94368A697D}"/>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057-49ED-8ED5-1F94368A697D}"/>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057-49ED-8ED5-1F94368A697D}"/>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057-49ED-8ED5-1F94368A697D}"/>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057-49ED-8ED5-1F94368A697D}"/>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057-49ED-8ED5-1F94368A697D}"/>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057-49ED-8ED5-1F94368A697D}"/>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057-49ED-8ED5-1F94368A69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3</c:v>
                </c:pt>
                <c:pt idx="2">
                  <c:v>6</c:v>
                </c:pt>
                <c:pt idx="3">
                  <c:v>6</c:v>
                </c:pt>
                <c:pt idx="4">
                  <c:v>4</c:v>
                </c:pt>
                <c:pt idx="5">
                  <c:v>10</c:v>
                </c:pt>
                <c:pt idx="6">
                  <c:v>11</c:v>
                </c:pt>
                <c:pt idx="7">
                  <c:v>9</c:v>
                </c:pt>
                <c:pt idx="8">
                  <c:v>12</c:v>
                </c:pt>
                <c:pt idx="9">
                  <c:v>20</c:v>
                </c:pt>
                <c:pt idx="10">
                  <c:v>15</c:v>
                </c:pt>
                <c:pt idx="11">
                  <c:v>16</c:v>
                </c:pt>
                <c:pt idx="12">
                  <c:v>26</c:v>
                </c:pt>
                <c:pt idx="13">
                  <c:v>29</c:v>
                </c:pt>
                <c:pt idx="14">
                  <c:v>30</c:v>
                </c:pt>
                <c:pt idx="15">
                  <c:v>30</c:v>
                </c:pt>
                <c:pt idx="16">
                  <c:v>30</c:v>
                </c:pt>
                <c:pt idx="17">
                  <c:v>24</c:v>
                </c:pt>
                <c:pt idx="18">
                  <c:v>10</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500304"/>
        <c:axId val="46049638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9</c:v>
                </c:pt>
                <c:pt idx="2">
                  <c:v>11</c:v>
                </c:pt>
                <c:pt idx="3">
                  <c:v>9</c:v>
                </c:pt>
                <c:pt idx="4">
                  <c:v>5</c:v>
                </c:pt>
                <c:pt idx="5">
                  <c:v>16</c:v>
                </c:pt>
                <c:pt idx="6">
                  <c:v>16</c:v>
                </c:pt>
                <c:pt idx="7">
                  <c:v>13</c:v>
                </c:pt>
                <c:pt idx="8">
                  <c:v>16</c:v>
                </c:pt>
                <c:pt idx="9">
                  <c:v>21</c:v>
                </c:pt>
                <c:pt idx="10">
                  <c:v>16</c:v>
                </c:pt>
                <c:pt idx="11">
                  <c:v>17</c:v>
                </c:pt>
                <c:pt idx="12">
                  <c:v>26</c:v>
                </c:pt>
                <c:pt idx="13">
                  <c:v>29</c:v>
                </c:pt>
                <c:pt idx="14">
                  <c:v>30</c:v>
                </c:pt>
                <c:pt idx="15">
                  <c:v>30</c:v>
                </c:pt>
                <c:pt idx="16">
                  <c:v>30</c:v>
                </c:pt>
                <c:pt idx="17">
                  <c:v>24</c:v>
                </c:pt>
                <c:pt idx="18">
                  <c:v>10</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497560"/>
        <c:axId val="460494032"/>
      </c:barChart>
      <c:catAx>
        <c:axId val="460500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6384"/>
        <c:crosses val="autoZero"/>
        <c:auto val="1"/>
        <c:lblAlgn val="ctr"/>
        <c:lblOffset val="100"/>
        <c:noMultiLvlLbl val="0"/>
      </c:catAx>
      <c:valAx>
        <c:axId val="4604963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500304"/>
        <c:crosses val="autoZero"/>
        <c:crossBetween val="between"/>
        <c:majorUnit val="50"/>
      </c:valAx>
      <c:valAx>
        <c:axId val="4604940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7560"/>
        <c:crosses val="max"/>
        <c:crossBetween val="between"/>
        <c:majorUnit val="50"/>
      </c:valAx>
      <c:catAx>
        <c:axId val="460497560"/>
        <c:scaling>
          <c:orientation val="minMax"/>
        </c:scaling>
        <c:delete val="1"/>
        <c:axPos val="l"/>
        <c:numFmt formatCode="General" sourceLinked="1"/>
        <c:majorTickMark val="out"/>
        <c:minorTickMark val="none"/>
        <c:tickLblPos val="nextTo"/>
        <c:crossAx val="4604940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大字下野</c:v>
                </c:pt>
              </c:strCache>
            </c:strRef>
          </c:cat>
          <c:val>
            <c:numRef>
              <c:f>管理者用地域特徴シート!$H$3:$H$5</c:f>
              <c:numCache>
                <c:formatCode>0.0%</c:formatCode>
                <c:ptCount val="3"/>
                <c:pt idx="0">
                  <c:v>0.46108733927332846</c:v>
                </c:pt>
                <c:pt idx="1">
                  <c:v>0.65919680497004662</c:v>
                </c:pt>
                <c:pt idx="2">
                  <c:v>0.6990903071266743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497952"/>
        <c:axId val="460492856"/>
      </c:barChart>
      <c:catAx>
        <c:axId val="460497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2856"/>
        <c:crosses val="autoZero"/>
        <c:auto val="1"/>
        <c:lblAlgn val="ctr"/>
        <c:lblOffset val="100"/>
        <c:noMultiLvlLbl val="0"/>
      </c:catAx>
      <c:valAx>
        <c:axId val="460492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7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大字下野</c:v>
                </c:pt>
              </c:strCache>
            </c:strRef>
          </c:cat>
          <c:val>
            <c:numRef>
              <c:f>管理者用地域特徴シート!$J$3:$J$5</c:f>
              <c:numCache>
                <c:formatCode>0.0%</c:formatCode>
                <c:ptCount val="3"/>
                <c:pt idx="0">
                  <c:v>0.15075281438403673</c:v>
                </c:pt>
                <c:pt idx="1">
                  <c:v>0.16529842467273131</c:v>
                </c:pt>
                <c:pt idx="2">
                  <c:v>0.15944989240662336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493640"/>
        <c:axId val="460498736"/>
      </c:barChart>
      <c:catAx>
        <c:axId val="460493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8736"/>
        <c:crosses val="autoZero"/>
        <c:auto val="1"/>
        <c:lblAlgn val="ctr"/>
        <c:lblOffset val="100"/>
        <c:noMultiLvlLbl val="0"/>
      </c:catAx>
      <c:valAx>
        <c:axId val="460498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36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大字下野</c:v>
                </c:pt>
              </c:strCache>
            </c:strRef>
          </c:cat>
          <c:val>
            <c:numRef>
              <c:f>管理者用地域特徴シート!$P$3:$P$5</c:f>
              <c:numCache>
                <c:formatCode>0.0%</c:formatCode>
                <c:ptCount val="3"/>
                <c:pt idx="0">
                  <c:v>0.34758352842621743</c:v>
                </c:pt>
                <c:pt idx="1">
                  <c:v>0.27383611063391172</c:v>
                </c:pt>
                <c:pt idx="2">
                  <c:v>0.16992569037428179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499128"/>
        <c:axId val="460493248"/>
      </c:barChart>
      <c:catAx>
        <c:axId val="460499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3248"/>
        <c:crosses val="autoZero"/>
        <c:auto val="1"/>
        <c:lblAlgn val="ctr"/>
        <c:lblOffset val="100"/>
        <c:noMultiLvlLbl val="0"/>
      </c:catAx>
      <c:valAx>
        <c:axId val="4604932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99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大字下野</c:v>
                </c:pt>
              </c:strCache>
            </c:strRef>
          </c:cat>
          <c:val>
            <c:numRef>
              <c:f>管理者用地域特徴シート!$AO$3:$AO$5</c:f>
              <c:numCache>
                <c:formatCode>0.0%</c:formatCode>
                <c:ptCount val="3"/>
                <c:pt idx="0">
                  <c:v>0.5259093009439566</c:v>
                </c:pt>
                <c:pt idx="1">
                  <c:v>0.51949317738791423</c:v>
                </c:pt>
                <c:pt idx="2">
                  <c:v>0.48022441074414735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731096"/>
        <c:axId val="459731880"/>
      </c:barChart>
      <c:catAx>
        <c:axId val="459731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31880"/>
        <c:crosses val="autoZero"/>
        <c:auto val="1"/>
        <c:lblAlgn val="ctr"/>
        <c:lblOffset val="100"/>
        <c:noMultiLvlLbl val="0"/>
      </c:catAx>
      <c:valAx>
        <c:axId val="459731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31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大字下野</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0.36593493352832063</c:v>
                </c:pt>
                <c:pt idx="1">
                  <c:v>0</c:v>
                </c:pt>
                <c:pt idx="2">
                  <c:v>0</c:v>
                </c:pt>
                <c:pt idx="3">
                  <c:v>0.12099763789791119</c:v>
                </c:pt>
                <c:pt idx="4">
                  <c:v>5.2079837434475119E-2</c:v>
                </c:pt>
                <c:pt idx="5">
                  <c:v>3.6391636674463807E-3</c:v>
                </c:pt>
                <c:pt idx="6">
                  <c:v>2.2630921804515794E-4</c:v>
                </c:pt>
                <c:pt idx="7">
                  <c:v>1.9327364427457694E-2</c:v>
                </c:pt>
                <c:pt idx="8">
                  <c:v>7.4801840132610181E-2</c:v>
                </c:pt>
                <c:pt idx="9">
                  <c:v>6.8257088988024463E-3</c:v>
                </c:pt>
                <c:pt idx="10">
                  <c:v>8.1835642070733922E-3</c:v>
                </c:pt>
                <c:pt idx="11">
                  <c:v>2.8208072467390415E-2</c:v>
                </c:pt>
                <c:pt idx="12">
                  <c:v>2.2966528094904074E-2</c:v>
                </c:pt>
                <c:pt idx="13">
                  <c:v>1.5461891541966156E-2</c:v>
                </c:pt>
                <c:pt idx="14">
                  <c:v>2.1590456607909272E-2</c:v>
                </c:pt>
                <c:pt idx="15">
                  <c:v>0.14784785505703066</c:v>
                </c:pt>
                <c:pt idx="16">
                  <c:v>2.956592777566136E-2</c:v>
                </c:pt>
                <c:pt idx="17">
                  <c:v>3.7523182764689599E-2</c:v>
                </c:pt>
                <c:pt idx="18">
                  <c:v>4.4819726278306209E-2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727176"/>
        <c:axId val="459726000"/>
      </c:barChart>
      <c:catAx>
        <c:axId val="459727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26000"/>
        <c:crosses val="autoZero"/>
        <c:auto val="1"/>
        <c:lblAlgn val="ctr"/>
        <c:lblOffset val="100"/>
        <c:noMultiLvlLbl val="0"/>
      </c:catAx>
      <c:valAx>
        <c:axId val="4597260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27176"/>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大字下野</c:v>
                </c:pt>
              </c:strCache>
            </c:strRef>
          </c:cat>
          <c:val>
            <c:numRef>
              <c:f>管理者用地域特徴シート!$CK$3:$CK$5</c:f>
              <c:numCache>
                <c:formatCode>0.0%</c:formatCode>
                <c:ptCount val="3"/>
                <c:pt idx="0">
                  <c:v>0.82747216160708559</c:v>
                </c:pt>
                <c:pt idx="1">
                  <c:v>0.89164748438013841</c:v>
                </c:pt>
                <c:pt idx="2">
                  <c:v>0.90949174292865476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730704"/>
        <c:axId val="459732272"/>
      </c:barChart>
      <c:catAx>
        <c:axId val="459730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32272"/>
        <c:crosses val="autoZero"/>
        <c:auto val="1"/>
        <c:lblAlgn val="ctr"/>
        <c:lblOffset val="100"/>
        <c:noMultiLvlLbl val="0"/>
      </c:catAx>
      <c:valAx>
        <c:axId val="45973227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730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0.42</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546072"/>
        <c:axId val="394544896"/>
      </c:barChart>
      <c:catAx>
        <c:axId val="394546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4896"/>
        <c:crosses val="autoZero"/>
        <c:auto val="1"/>
        <c:lblAlgn val="ctr"/>
        <c:lblOffset val="100"/>
        <c:noMultiLvlLbl val="0"/>
      </c:catAx>
      <c:valAx>
        <c:axId val="394544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6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0.25</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541368"/>
        <c:axId val="395288984"/>
      </c:barChart>
      <c:catAx>
        <c:axId val="394541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88984"/>
        <c:crosses val="autoZero"/>
        <c:auto val="1"/>
        <c:lblAlgn val="ctr"/>
        <c:lblOffset val="100"/>
        <c:noMultiLvlLbl val="0"/>
      </c:catAx>
      <c:valAx>
        <c:axId val="395288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1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82A-498C-83C9-45548FC141C2}"/>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82A-498C-83C9-45548FC141C2}"/>
                </c:ext>
                <c:ext xmlns:c15="http://schemas.microsoft.com/office/drawing/2012/chart" uri="{CE6537A1-D6FC-4f65-9D91-7224C49458BB}"/>
              </c:extLst>
            </c:dLbl>
            <c:dLbl>
              <c:idx val="19"/>
              <c:layout>
                <c:manualLayout>
                  <c:x val="-4.1208878129748421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82A-498C-83C9-45548FC141C2}"/>
                </c:ext>
                <c:ext xmlns:c15="http://schemas.microsoft.com/office/drawing/2012/chart" uri="{CE6537A1-D6FC-4f65-9D91-7224C49458BB}"/>
              </c:extLst>
            </c:dLbl>
            <c:dLbl>
              <c:idx val="20"/>
              <c:layout>
                <c:manualLayout>
                  <c:x val="-1.9629301819580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82A-498C-83C9-45548FC141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14</c:v>
                </c:pt>
                <c:pt idx="1">
                  <c:v>14</c:v>
                </c:pt>
                <c:pt idx="2">
                  <c:v>8</c:v>
                </c:pt>
                <c:pt idx="3">
                  <c:v>21</c:v>
                </c:pt>
                <c:pt idx="4">
                  <c:v>5</c:v>
                </c:pt>
                <c:pt idx="5">
                  <c:v>12</c:v>
                </c:pt>
                <c:pt idx="6">
                  <c:v>8</c:v>
                </c:pt>
                <c:pt idx="7">
                  <c:v>15</c:v>
                </c:pt>
                <c:pt idx="8">
                  <c:v>12</c:v>
                </c:pt>
                <c:pt idx="9">
                  <c:v>16</c:v>
                </c:pt>
                <c:pt idx="10">
                  <c:v>25</c:v>
                </c:pt>
                <c:pt idx="11">
                  <c:v>28</c:v>
                </c:pt>
                <c:pt idx="12">
                  <c:v>33</c:v>
                </c:pt>
                <c:pt idx="13">
                  <c:v>19</c:v>
                </c:pt>
                <c:pt idx="14">
                  <c:v>23</c:v>
                </c:pt>
                <c:pt idx="15">
                  <c:v>25</c:v>
                </c:pt>
                <c:pt idx="16">
                  <c:v>19</c:v>
                </c:pt>
                <c:pt idx="17">
                  <c:v>9</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90944"/>
        <c:axId val="3952882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9</c:v>
                </c:pt>
                <c:pt idx="1">
                  <c:v>10</c:v>
                </c:pt>
                <c:pt idx="2">
                  <c:v>13</c:v>
                </c:pt>
                <c:pt idx="3">
                  <c:v>11</c:v>
                </c:pt>
                <c:pt idx="4">
                  <c:v>9</c:v>
                </c:pt>
                <c:pt idx="5">
                  <c:v>9</c:v>
                </c:pt>
                <c:pt idx="6">
                  <c:v>12</c:v>
                </c:pt>
                <c:pt idx="7">
                  <c:v>17</c:v>
                </c:pt>
                <c:pt idx="8">
                  <c:v>17</c:v>
                </c:pt>
                <c:pt idx="9">
                  <c:v>16</c:v>
                </c:pt>
                <c:pt idx="10">
                  <c:v>19</c:v>
                </c:pt>
                <c:pt idx="11">
                  <c:v>30</c:v>
                </c:pt>
                <c:pt idx="12">
                  <c:v>28</c:v>
                </c:pt>
                <c:pt idx="13">
                  <c:v>19</c:v>
                </c:pt>
                <c:pt idx="14">
                  <c:v>29</c:v>
                </c:pt>
                <c:pt idx="15">
                  <c:v>29</c:v>
                </c:pt>
                <c:pt idx="16">
                  <c:v>31</c:v>
                </c:pt>
                <c:pt idx="17">
                  <c:v>23</c:v>
                </c:pt>
                <c:pt idx="18">
                  <c:v>8</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89376"/>
        <c:axId val="395287808"/>
      </c:barChart>
      <c:catAx>
        <c:axId val="395290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88200"/>
        <c:crosses val="autoZero"/>
        <c:auto val="1"/>
        <c:lblAlgn val="ctr"/>
        <c:lblOffset val="100"/>
        <c:noMultiLvlLbl val="0"/>
      </c:catAx>
      <c:valAx>
        <c:axId val="39528820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0944"/>
        <c:crosses val="autoZero"/>
        <c:crossBetween val="between"/>
        <c:majorUnit val="25"/>
      </c:valAx>
      <c:valAx>
        <c:axId val="3952878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89376"/>
        <c:crosses val="max"/>
        <c:crossBetween val="between"/>
        <c:majorUnit val="25"/>
      </c:valAx>
      <c:catAx>
        <c:axId val="395289376"/>
        <c:scaling>
          <c:orientation val="minMax"/>
        </c:scaling>
        <c:delete val="1"/>
        <c:axPos val="l"/>
        <c:numFmt formatCode="General" sourceLinked="1"/>
        <c:majorTickMark val="out"/>
        <c:minorTickMark val="none"/>
        <c:tickLblPos val="nextTo"/>
        <c:crossAx val="395287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309</c:v>
                </c:pt>
                <c:pt idx="1">
                  <c:v>283</c:v>
                </c:pt>
                <c:pt idx="2">
                  <c:v>263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342</c:v>
                </c:pt>
                <c:pt idx="1">
                  <c:v>289</c:v>
                </c:pt>
                <c:pt idx="2">
                  <c:v>252</c:v>
                </c:pt>
              </c:numCache>
            </c:numRef>
          </c:val>
          <c:extLst xmlns:c16r2="http://schemas.microsoft.com/office/drawing/2015/06/chart">
            <c:ext xmlns:c16="http://schemas.microsoft.com/office/drawing/2014/chart" uri="{C3380CC4-5D6E-409C-BE32-E72D297353CC}">
              <c16:uniqueId val="{00000000-2EF5-4F02-9068-6F074DDA9F28}"/>
            </c:ext>
          </c:extLst>
        </c:ser>
        <c:dLbls>
          <c:showLegendKey val="0"/>
          <c:showVal val="0"/>
          <c:showCatName val="0"/>
          <c:showSerName val="0"/>
          <c:showPercent val="0"/>
          <c:showBubbleSize val="0"/>
        </c:dLbls>
        <c:gapWidth val="219"/>
        <c:overlap val="100"/>
        <c:axId val="395287416"/>
        <c:axId val="39529368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651</c:v>
                </c:pt>
                <c:pt idx="1">
                  <c:v>572</c:v>
                </c:pt>
                <c:pt idx="2">
                  <c:v>515</c:v>
                </c:pt>
              </c:numCache>
            </c:numRef>
          </c:val>
          <c:smooth val="0"/>
          <c:extLst xmlns:c16r2="http://schemas.microsoft.com/office/drawing/2015/06/chart">
            <c:ext xmlns:c16="http://schemas.microsoft.com/office/drawing/2014/chart" uri="{C3380CC4-5D6E-409C-BE32-E72D297353CC}">
              <c16:uniqueId val="{00000001-2EF5-4F02-9068-6F074DDA9F28}"/>
            </c:ext>
          </c:extLst>
        </c:ser>
        <c:dLbls>
          <c:showLegendKey val="0"/>
          <c:showVal val="0"/>
          <c:showCatName val="0"/>
          <c:showSerName val="0"/>
          <c:showPercent val="0"/>
          <c:showBubbleSize val="0"/>
        </c:dLbls>
        <c:marker val="1"/>
        <c:smooth val="0"/>
        <c:axId val="395287416"/>
        <c:axId val="395293688"/>
      </c:lineChart>
      <c:catAx>
        <c:axId val="395287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3688"/>
        <c:crosses val="autoZero"/>
        <c:auto val="1"/>
        <c:lblAlgn val="ctr"/>
        <c:lblOffset val="100"/>
        <c:noMultiLvlLbl val="0"/>
      </c:catAx>
      <c:valAx>
        <c:axId val="395293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8741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7B0-4C87-9236-22D1E7787612}"/>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7B0-4C87-9236-22D1E7787612}"/>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7B0-4C87-9236-22D1E7787612}"/>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7B0-4C87-9236-22D1E7787612}"/>
                </c:ext>
                <c:ext xmlns:c15="http://schemas.microsoft.com/office/drawing/2012/chart" uri="{CE6537A1-D6FC-4f65-9D91-7224C49458BB}"/>
              </c:extLst>
            </c:dLbl>
            <c:dLbl>
              <c:idx val="19"/>
              <c:layout>
                <c:manualLayout>
                  <c:x val="-2.106070864963652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7B0-4C87-9236-22D1E7787612}"/>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7B0-4C87-9236-22D1E77876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12</c:v>
                </c:pt>
                <c:pt idx="2">
                  <c:v>10</c:v>
                </c:pt>
                <c:pt idx="3">
                  <c:v>9</c:v>
                </c:pt>
                <c:pt idx="4">
                  <c:v>10</c:v>
                </c:pt>
                <c:pt idx="5">
                  <c:v>14</c:v>
                </c:pt>
                <c:pt idx="6">
                  <c:v>7</c:v>
                </c:pt>
                <c:pt idx="7">
                  <c:v>7</c:v>
                </c:pt>
                <c:pt idx="8">
                  <c:v>11</c:v>
                </c:pt>
                <c:pt idx="9">
                  <c:v>14</c:v>
                </c:pt>
                <c:pt idx="10">
                  <c:v>12</c:v>
                </c:pt>
                <c:pt idx="11">
                  <c:v>16</c:v>
                </c:pt>
                <c:pt idx="12">
                  <c:v>29</c:v>
                </c:pt>
                <c:pt idx="13">
                  <c:v>32</c:v>
                </c:pt>
                <c:pt idx="14">
                  <c:v>29</c:v>
                </c:pt>
                <c:pt idx="15">
                  <c:v>17</c:v>
                </c:pt>
                <c:pt idx="16">
                  <c:v>10</c:v>
                </c:pt>
                <c:pt idx="17">
                  <c:v>12</c:v>
                </c:pt>
                <c:pt idx="18">
                  <c:v>6</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90160"/>
        <c:axId val="3952905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8</c:v>
                </c:pt>
                <c:pt idx="1">
                  <c:v>6</c:v>
                </c:pt>
                <c:pt idx="2">
                  <c:v>11</c:v>
                </c:pt>
                <c:pt idx="3">
                  <c:v>5</c:v>
                </c:pt>
                <c:pt idx="4">
                  <c:v>1</c:v>
                </c:pt>
                <c:pt idx="5">
                  <c:v>9</c:v>
                </c:pt>
                <c:pt idx="6">
                  <c:v>11</c:v>
                </c:pt>
                <c:pt idx="7">
                  <c:v>7</c:v>
                </c:pt>
                <c:pt idx="8">
                  <c:v>12</c:v>
                </c:pt>
                <c:pt idx="9">
                  <c:v>11</c:v>
                </c:pt>
                <c:pt idx="10">
                  <c:v>17</c:v>
                </c:pt>
                <c:pt idx="11">
                  <c:v>17</c:v>
                </c:pt>
                <c:pt idx="12">
                  <c:v>23</c:v>
                </c:pt>
                <c:pt idx="13">
                  <c:v>30</c:v>
                </c:pt>
                <c:pt idx="14">
                  <c:v>25</c:v>
                </c:pt>
                <c:pt idx="15">
                  <c:v>16</c:v>
                </c:pt>
                <c:pt idx="16">
                  <c:v>17</c:v>
                </c:pt>
                <c:pt idx="17">
                  <c:v>16</c:v>
                </c:pt>
                <c:pt idx="18">
                  <c:v>9</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91728"/>
        <c:axId val="395291336"/>
      </c:barChart>
      <c:catAx>
        <c:axId val="395290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0552"/>
        <c:crosses val="autoZero"/>
        <c:auto val="1"/>
        <c:lblAlgn val="ctr"/>
        <c:lblOffset val="100"/>
        <c:noMultiLvlLbl val="0"/>
      </c:catAx>
      <c:valAx>
        <c:axId val="39529055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0160"/>
        <c:crosses val="autoZero"/>
        <c:crossBetween val="between"/>
        <c:majorUnit val="25"/>
      </c:valAx>
      <c:valAx>
        <c:axId val="39529133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1728"/>
        <c:crosses val="max"/>
        <c:crossBetween val="between"/>
        <c:majorUnit val="25"/>
      </c:valAx>
      <c:catAx>
        <c:axId val="395291728"/>
        <c:scaling>
          <c:orientation val="minMax"/>
        </c:scaling>
        <c:delete val="1"/>
        <c:axPos val="l"/>
        <c:numFmt formatCode="General" sourceLinked="1"/>
        <c:majorTickMark val="out"/>
        <c:minorTickMark val="none"/>
        <c:tickLblPos val="nextTo"/>
        <c:crossAx val="395291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27C-4C5C-B90E-BC9D1174791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27C-4C5C-B90E-BC9D1174791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27C-4C5C-B90E-BC9D1174791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7C-4C5C-B90E-BC9D1174791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27C-4C5C-B90E-BC9D1174791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309</c:v>
                </c:pt>
                <c:pt idx="1">
                  <c:v>283</c:v>
                </c:pt>
                <c:pt idx="2">
                  <c:v>263</c:v>
                </c:pt>
                <c:pt idx="3">
                  <c:v>240</c:v>
                </c:pt>
                <c:pt idx="4">
                  <c:v>209</c:v>
                </c:pt>
                <c:pt idx="5">
                  <c:v>183</c:v>
                </c:pt>
                <c:pt idx="6">
                  <c:v>161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27C-4C5C-B90E-BC9D1174791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27C-4C5C-B90E-BC9D1174791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27C-4C5C-B90E-BC9D1174791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342</c:v>
                </c:pt>
                <c:pt idx="1">
                  <c:v>289</c:v>
                </c:pt>
                <c:pt idx="2">
                  <c:v>252</c:v>
                </c:pt>
                <c:pt idx="3">
                  <c:v>221</c:v>
                </c:pt>
                <c:pt idx="4">
                  <c:v>188</c:v>
                </c:pt>
                <c:pt idx="5">
                  <c:v>161</c:v>
                </c:pt>
                <c:pt idx="6">
                  <c:v>135</c:v>
                </c:pt>
              </c:numCache>
            </c:numRef>
          </c:val>
          <c:extLst xmlns:c16r2="http://schemas.microsoft.com/office/drawing/2015/06/chart">
            <c:ext xmlns:c16="http://schemas.microsoft.com/office/drawing/2014/chart" uri="{C3380CC4-5D6E-409C-BE32-E72D297353CC}">
              <c16:uniqueId val="{00000010-E27C-4C5C-B90E-BC9D11747916}"/>
            </c:ext>
          </c:extLst>
        </c:ser>
        <c:dLbls>
          <c:showLegendKey val="0"/>
          <c:showVal val="0"/>
          <c:showCatName val="0"/>
          <c:showSerName val="0"/>
          <c:showPercent val="0"/>
          <c:showBubbleSize val="0"/>
        </c:dLbls>
        <c:gapWidth val="219"/>
        <c:overlap val="100"/>
        <c:axId val="395292512"/>
        <c:axId val="3952940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651</c:v>
                </c:pt>
                <c:pt idx="1">
                  <c:v>572</c:v>
                </c:pt>
                <c:pt idx="2">
                  <c:v>515</c:v>
                </c:pt>
                <c:pt idx="3">
                  <c:v>461</c:v>
                </c:pt>
                <c:pt idx="4">
                  <c:v>397</c:v>
                </c:pt>
                <c:pt idx="5">
                  <c:v>344</c:v>
                </c:pt>
                <c:pt idx="6">
                  <c:v>296</c:v>
                </c:pt>
              </c:numCache>
            </c:numRef>
          </c:val>
          <c:smooth val="0"/>
          <c:extLst xmlns:c16r2="http://schemas.microsoft.com/office/drawing/2015/06/chart">
            <c:ext xmlns:c16="http://schemas.microsoft.com/office/drawing/2014/chart" uri="{C3380CC4-5D6E-409C-BE32-E72D297353CC}">
              <c16:uniqueId val="{00000011-E27C-4C5C-B90E-BC9D11747916}"/>
            </c:ext>
          </c:extLst>
        </c:ser>
        <c:dLbls>
          <c:showLegendKey val="0"/>
          <c:showVal val="0"/>
          <c:showCatName val="0"/>
          <c:showSerName val="0"/>
          <c:showPercent val="0"/>
          <c:showBubbleSize val="0"/>
        </c:dLbls>
        <c:marker val="1"/>
        <c:smooth val="0"/>
        <c:axId val="395292512"/>
        <c:axId val="395294080"/>
      </c:lineChart>
      <c:catAx>
        <c:axId val="395292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4080"/>
        <c:crosses val="autoZero"/>
        <c:auto val="1"/>
        <c:lblAlgn val="ctr"/>
        <c:lblOffset val="100"/>
        <c:noMultiLvlLbl val="0"/>
      </c:catAx>
      <c:valAx>
        <c:axId val="395294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25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27</c:v>
                </c:pt>
                <c:pt idx="1">
                  <c:v>23</c:v>
                </c:pt>
                <c:pt idx="2">
                  <c:v>24</c:v>
                </c:pt>
                <c:pt idx="3">
                  <c:v>18</c:v>
                </c:pt>
                <c:pt idx="4">
                  <c:v>13</c:v>
                </c:pt>
                <c:pt idx="5">
                  <c:v>9</c:v>
                </c:pt>
                <c:pt idx="6">
                  <c:v>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294472"/>
        <c:axId val="394547640"/>
      </c:barChart>
      <c:catAx>
        <c:axId val="395294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547640"/>
        <c:crosses val="autoZero"/>
        <c:auto val="1"/>
        <c:lblAlgn val="ctr"/>
        <c:lblOffset val="100"/>
        <c:noMultiLvlLbl val="0"/>
      </c:catAx>
      <c:valAx>
        <c:axId val="394547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94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大字下野</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45441_16</v>
      </c>
      <c r="B5" s="201" t="str">
        <f>VLOOKUP($A$5,$A$7:$CP$50,2,FALSE)</f>
        <v>高千穂町</v>
      </c>
      <c r="C5" s="201" t="str">
        <f>VLOOKUP($A$5,$A$7:$CP$50,3,FALSE)</f>
        <v>大字下野</v>
      </c>
      <c r="D5" s="188">
        <f>VLOOKUP($A$5,$A$7:$CP$70,4,FALSE)</f>
        <v>199.60996414818749</v>
      </c>
      <c r="E5" s="189">
        <f>VLOOKUP($A$5,$A$7:$CP$70,5,FALSE)</f>
        <v>139.54539114190084</v>
      </c>
      <c r="F5" s="189">
        <f>VLOOKUP($A$5,$A$7:$CP$70,6,FALSE)</f>
        <v>34.121359713185498</v>
      </c>
      <c r="G5" s="190">
        <f>VLOOKUP($A$5,$A$7:$CP$70,7,FALSE)</f>
        <v>31.827787306718438</v>
      </c>
      <c r="H5" s="178">
        <f>VLOOKUP($A$5,$A$7:$CP$70,8,FALSE)</f>
        <v>0.6990903071266743</v>
      </c>
      <c r="I5" s="179">
        <f>VLOOKUP($A$5,$A$7:$CP$70,9,FALSE)</f>
        <v>0.17094016252542535</v>
      </c>
      <c r="J5" s="180">
        <f>VLOOKUP($A$5,$A$7:$CP$70,10,FALSE)</f>
        <v>0.15944989240662336</v>
      </c>
      <c r="K5" s="188">
        <f>VLOOKUP($A$5,$A$7:$CP$70,11,FALSE)</f>
        <v>516.37177917481313</v>
      </c>
      <c r="L5" s="189">
        <f>VLOOKUP($A$5,$A$7:$CP$70,12,FALSE)</f>
        <v>141.86679975640914</v>
      </c>
      <c r="M5" s="189">
        <f>VLOOKUP($A$5,$A$7:$CP$70,13,FALSE)</f>
        <v>87.744831066076301</v>
      </c>
      <c r="N5" s="190">
        <f>VLOOKUP($A$5,$A$7:$CP$70,14,FALSE)</f>
        <v>283.98242244698923</v>
      </c>
      <c r="O5" s="178">
        <f>VLOOKUP($A$5,$A$7:$CP$70,15,FALSE)</f>
        <v>0.27473770929759</v>
      </c>
      <c r="P5" s="179">
        <f>VLOOKUP($A$5,$A$7:$CP$70,16,FALSE)</f>
        <v>0.16992569037428179</v>
      </c>
      <c r="Q5" s="180">
        <f>VLOOKUP($A$5,$A$7:$CP$70,17,FALSE)</f>
        <v>0.54995728639703501</v>
      </c>
      <c r="R5" s="188">
        <f>VLOOKUP($A$5,$A$7:$CP$70,18,FALSE)</f>
        <v>516.37177917481313</v>
      </c>
      <c r="S5" s="189">
        <f>VLOOKUP($A$5,$A$7:$CP$70,19,FALSE)</f>
        <v>20.21046122006053</v>
      </c>
      <c r="T5" s="189">
        <f>VLOOKUP($A$5,$A$7:$CP$70,20,FALSE)</f>
        <v>18.343012010128252</v>
      </c>
      <c r="U5" s="189">
        <f>VLOOKUP($A$5,$A$7:$CP$70,21,FALSE)</f>
        <v>20.434657301544419</v>
      </c>
      <c r="V5" s="189">
        <f>VLOOKUP($A$5,$A$7:$CP$70,22,FALSE)</f>
        <v>2.9216227180527383</v>
      </c>
      <c r="W5" s="190">
        <f>VLOOKUP($A$5,$A$7:$CP$70,23,FALSE)</f>
        <v>61.909753249785943</v>
      </c>
      <c r="X5" s="188">
        <f>VLOOKUP($A$5,$A$7:$CP$70,24,FALSE)</f>
        <v>262.51029336214913</v>
      </c>
      <c r="Y5" s="189">
        <f>VLOOKUP($A$5,$A$7:$CP$70,25,FALSE)</f>
        <v>7.5723650749316622</v>
      </c>
      <c r="Z5" s="189">
        <f>VLOOKUP($A$5,$A$7:$CP$70,26,FALSE)</f>
        <v>9.4509487680804405</v>
      </c>
      <c r="AA5" s="189">
        <f>VLOOKUP($A$5,$A$7:$CP$70,27,FALSE)</f>
        <v>12.234241915027084</v>
      </c>
      <c r="AB5" s="189">
        <f>VLOOKUP($A$5,$A$7:$CP$70,28,FALSE)</f>
        <v>2.9216227180527383</v>
      </c>
      <c r="AC5" s="191">
        <f>VLOOKUP($A$5,$A$7:$CP$70,29,FALSE)</f>
        <v>32.179178476091927</v>
      </c>
      <c r="AD5" s="188">
        <f>VLOOKUP($A$5,$A$7:$CP$70,30,FALSE)</f>
        <v>253.86148581266397</v>
      </c>
      <c r="AE5" s="189">
        <f>VLOOKUP($A$5,$A$7:$CP$70,31,FALSE)</f>
        <v>12.63809614512887</v>
      </c>
      <c r="AF5" s="189">
        <f>VLOOKUP($A$5,$A$7:$CP$70,32,FALSE)</f>
        <v>8.8920632420478114</v>
      </c>
      <c r="AG5" s="189">
        <f>VLOOKUP($A$5,$A$7:$CP$70,33,FALSE)</f>
        <v>8.2004153865173368</v>
      </c>
      <c r="AH5" s="189">
        <f>VLOOKUP($A$5,$A$7:$CP$70,34,FALSE)</f>
        <v>0</v>
      </c>
      <c r="AI5" s="191">
        <f>VLOOKUP($A$5,$A$7:$CP$70,35,FALSE)</f>
        <v>29.730574773694016</v>
      </c>
      <c r="AJ5" s="178">
        <f>VLOOKUP($A$5,$A$7:$CP$70,36,FALSE)</f>
        <v>0.11989375823117347</v>
      </c>
      <c r="AK5" s="179">
        <f>VLOOKUP($A$5,$A$7:$CP$70,37,FALSE)</f>
        <v>0.29628630461698174</v>
      </c>
      <c r="AL5" s="179">
        <f>VLOOKUP($A$5,$A$7:$CP$70,38,FALSE)</f>
        <v>0.3300716967663746</v>
      </c>
      <c r="AM5" s="179">
        <f>VLOOKUP($A$5,$A$7:$CP$70,39,FALSE)</f>
        <v>4.7191638872552608E-2</v>
      </c>
      <c r="AN5" s="182">
        <f>VLOOKUP($A$5,$A$7:$CP$70,40,FALSE)</f>
        <v>0.51977558925585265</v>
      </c>
      <c r="AO5" s="180">
        <f>VLOOKUP($A$5,$A$7:$CP$70,41,FALSE)</f>
        <v>0.48022441074414735</v>
      </c>
      <c r="AP5" s="192">
        <f>VLOOKUP($A$5,$A$7:$CP$70,42,FALSE)</f>
        <v>305.62071731097672</v>
      </c>
      <c r="AQ5" s="189">
        <f>VLOOKUP($A$5,$A$7:$CP$70,43,FALSE)</f>
        <v>111.83729687406993</v>
      </c>
      <c r="AR5" s="189">
        <f>VLOOKUP($A$5,$A$7:$CP$70,44,FALSE)</f>
        <v>0</v>
      </c>
      <c r="AS5" s="189">
        <f>VLOOKUP($A$5,$A$7:$CP$70,45,FALSE)</f>
        <v>0</v>
      </c>
      <c r="AT5" s="189">
        <f>VLOOKUP($A$5,$A$7:$CP$70,46,FALSE)</f>
        <v>36.979384887293442</v>
      </c>
      <c r="AU5" s="189">
        <f>VLOOKUP($A$5,$A$7:$CP$70,47,FALSE)</f>
        <v>15.916677274163343</v>
      </c>
      <c r="AV5" s="189">
        <f>VLOOKUP($A$5,$A$7:$CP$70,48,FALSE)</f>
        <v>1.1122038104570076</v>
      </c>
      <c r="AW5" s="189">
        <f>VLOOKUP($A$5,$A$7:$CP$70,49,FALSE)</f>
        <v>6.9164785553047406E-2</v>
      </c>
      <c r="AX5" s="189">
        <f>VLOOKUP($A$5,$A$7:$CP$70,50,FALSE)</f>
        <v>5.9068429800502749</v>
      </c>
      <c r="AY5" s="189">
        <f>VLOOKUP($A$5,$A$7:$CP$70,51,FALSE)</f>
        <v>22.86099203750933</v>
      </c>
      <c r="AZ5" s="189">
        <f>VLOOKUP($A$5,$A$7:$CP$70,52,FALSE)</f>
        <v>2.0860780498079206</v>
      </c>
      <c r="BA5" s="189">
        <f>VLOOKUP($A$5,$A$7:$CP$70,53,FALSE)</f>
        <v>2.5010667631262047</v>
      </c>
      <c r="BB5" s="189">
        <f>VLOOKUP($A$5,$A$7:$CP$70,54,FALSE)</f>
        <v>8.6209713414438713</v>
      </c>
      <c r="BC5" s="189">
        <f>VLOOKUP($A$5,$A$7:$CP$70,55,FALSE)</f>
        <v>7.0190467905072822</v>
      </c>
      <c r="BD5" s="189">
        <f>VLOOKUP($A$5,$A$7:$CP$70,56,FALSE)</f>
        <v>4.7254743840402202</v>
      </c>
      <c r="BE5" s="189">
        <f>VLOOKUP($A$5,$A$7:$CP$70,57,FALSE)</f>
        <v>6.5984908355807494</v>
      </c>
      <c r="BF5" s="189">
        <f>VLOOKUP($A$5,$A$7:$CP$70,58,FALSE)</f>
        <v>45.185367515419024</v>
      </c>
      <c r="BG5" s="189">
        <f>VLOOKUP($A$5,$A$7:$CP$70,59,FALSE)</f>
        <v>9.035960054762155</v>
      </c>
      <c r="BH5" s="189">
        <f>VLOOKUP($A$5,$A$7:$CP$70,60,FALSE)</f>
        <v>11.467862032335313</v>
      </c>
      <c r="BI5" s="189">
        <f>VLOOKUP($A$5,$A$7:$CP$70,61,FALSE)</f>
        <v>13.697836894857577</v>
      </c>
      <c r="BJ5" s="178">
        <f>VLOOKUP($A$5,$A$7:$CP$70,62,FALSE)</f>
        <v>0.36593493352832063</v>
      </c>
      <c r="BK5" s="179">
        <f>VLOOKUP($A$5,$A$7:$CP$70,63,FALSE)</f>
        <v>0</v>
      </c>
      <c r="BL5" s="179">
        <f>VLOOKUP($A$5,$A$7:$CP$70,64,FALSE)</f>
        <v>0</v>
      </c>
      <c r="BM5" s="179">
        <f>VLOOKUP($A$5,$A$7:$CP$70,65,FALSE)</f>
        <v>0.12099763789791119</v>
      </c>
      <c r="BN5" s="179">
        <f>VLOOKUP($A$5,$A$7:$CP$70,66,FALSE)</f>
        <v>5.2079837434475119E-2</v>
      </c>
      <c r="BO5" s="179">
        <f>VLOOKUP($A$5,$A$7:$CP$70,67,FALSE)</f>
        <v>3.6391636674463807E-3</v>
      </c>
      <c r="BP5" s="179">
        <f>VLOOKUP($A$5,$A$7:$CP$70,68,FALSE)</f>
        <v>2.2630921804515794E-4</v>
      </c>
      <c r="BQ5" s="179">
        <f>VLOOKUP($A$5,$A$7:$CP$70,69,FALSE)</f>
        <v>1.9327364427457694E-2</v>
      </c>
      <c r="BR5" s="179">
        <f>VLOOKUP($A$5,$A$7:$CP$70,70,FALSE)</f>
        <v>7.4801840132610181E-2</v>
      </c>
      <c r="BS5" s="179">
        <f>VLOOKUP($A$5,$A$7:$CP$70,71,FALSE)</f>
        <v>6.8257088988024463E-3</v>
      </c>
      <c r="BT5" s="179">
        <f>VLOOKUP($A$5,$A$7:$CP$70,72,FALSE)</f>
        <v>8.1835642070733922E-3</v>
      </c>
      <c r="BU5" s="179">
        <f>VLOOKUP($A$5,$A$7:$CP$70,73,FALSE)</f>
        <v>2.8208072467390415E-2</v>
      </c>
      <c r="BV5" s="179">
        <f>VLOOKUP($A$5,$A$7:$CP$70,74,FALSE)</f>
        <v>2.2966528094904074E-2</v>
      </c>
      <c r="BW5" s="179">
        <f>VLOOKUP($A$5,$A$7:$CP$70,75,FALSE)</f>
        <v>1.5461891541966156E-2</v>
      </c>
      <c r="BX5" s="179">
        <f>VLOOKUP($A$5,$A$7:$CP$70,76,FALSE)</f>
        <v>2.1590456607909272E-2</v>
      </c>
      <c r="BY5" s="179">
        <f>VLOOKUP($A$5,$A$7:$CP$70,77,FALSE)</f>
        <v>0.14784785505703066</v>
      </c>
      <c r="BZ5" s="179">
        <f>VLOOKUP($A$5,$A$7:$CP$70,78,FALSE)</f>
        <v>2.956592777566136E-2</v>
      </c>
      <c r="CA5" s="179">
        <f>VLOOKUP($A$5,$A$7:$CP$70,79,FALSE)</f>
        <v>3.7523182764689599E-2</v>
      </c>
      <c r="CB5" s="180">
        <f>VLOOKUP($A$5,$A$7:$CP$70,80,FALSE)</f>
        <v>4.4819726278306209E-2</v>
      </c>
      <c r="CC5" s="188">
        <f>VLOOKUP($A$5,$A$7:$CP$70,81,FALSE)</f>
        <v>305.62071731097672</v>
      </c>
      <c r="CD5" s="190">
        <f>VLOOKUP($A$5,$A$7:$CP$70,82,FALSE)</f>
        <v>277.9595188622659</v>
      </c>
      <c r="CE5" s="189">
        <f>VLOOKUP($A$5,$A$7:$CP$70,83,FALSE)</f>
        <v>24.260989473395025</v>
      </c>
      <c r="CF5" s="191">
        <f>VLOOKUP($A$5,$A$7:$CP$70,84,FALSE)</f>
        <v>3.2618794042097266</v>
      </c>
      <c r="CG5" s="188">
        <f>VLOOKUP($A$5,$A$7:$CP$70,85,FALSE)</f>
        <v>12.793127441059712</v>
      </c>
      <c r="CH5" s="189">
        <f>VLOOKUP($A$5,$A$7:$CP$70,86,FALSE)</f>
        <v>12.516468298847522</v>
      </c>
      <c r="CI5" s="189">
        <f>VLOOKUP($A$5,$A$7:$CP$70,87,FALSE)</f>
        <v>0.27665914221218962</v>
      </c>
      <c r="CJ5" s="191">
        <f>VLOOKUP($A$5,$A$7:$CP$70,88,FALSE)</f>
        <v>0</v>
      </c>
      <c r="CK5" s="178">
        <f>VLOOKUP($A$5,$A$7:$CP$70,89,FALSE)</f>
        <v>0.90949174292865476</v>
      </c>
      <c r="CL5" s="179">
        <f>VLOOKUP($A$5,$A$7:$CP$70,90,FALSE)</f>
        <v>7.9382673029684908E-2</v>
      </c>
      <c r="CM5" s="180">
        <f>VLOOKUP($A$5,$A$7:$CP$70,91,FALSE)</f>
        <v>1.0672965605570132E-2</v>
      </c>
      <c r="CN5" s="178">
        <f>VLOOKUP($A$5,$A$7:$CP$70,92,FALSE)</f>
        <v>0.978374393322758</v>
      </c>
      <c r="CO5" s="179">
        <f>VLOOKUP($A$5,$A$7:$CP$70,93,FALSE)</f>
        <v>2.1625606677242067E-2</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大字下野</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515</v>
      </c>
      <c r="F6" s="257"/>
      <c r="G6" s="20" t="s">
        <v>54</v>
      </c>
    </row>
    <row r="7" spans="1:10" ht="22.5" customHeight="1" x14ac:dyDescent="0.15">
      <c r="A7" s="250">
        <f>管理者用グラフシート!B4</f>
        <v>2010</v>
      </c>
      <c r="B7" s="250"/>
      <c r="C7" s="82" t="s">
        <v>226</v>
      </c>
      <c r="D7" s="249">
        <f>E6-管理者用グラフシート!E4</f>
        <v>-136</v>
      </c>
      <c r="E7" s="249"/>
      <c r="F7" s="20" t="s">
        <v>356</v>
      </c>
    </row>
    <row r="8" spans="1:10" ht="22.5" customHeight="1" x14ac:dyDescent="0.15">
      <c r="A8" s="258" t="s">
        <v>380</v>
      </c>
      <c r="B8" s="258"/>
      <c r="C8" s="203">
        <f>管理者用グラフシート!C6-管理者用グラフシート!C4</f>
        <v>-46</v>
      </c>
      <c r="D8" s="206" t="s">
        <v>381</v>
      </c>
      <c r="F8" s="203">
        <f>管理者用グラフシート!D6-管理者用グラフシート!D4</f>
        <v>-90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24</v>
      </c>
      <c r="G36" s="254"/>
      <c r="H36" s="20" t="s">
        <v>54</v>
      </c>
    </row>
    <row r="37" spans="1:9" ht="22.5" customHeight="1" x14ac:dyDescent="0.15">
      <c r="A37" s="20" t="s">
        <v>66</v>
      </c>
      <c r="F37" s="254">
        <f>管理者用グラフシート!C16</f>
        <v>11</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-3</v>
      </c>
      <c r="E40" s="249"/>
      <c r="F40" s="20" t="s">
        <v>60</v>
      </c>
    </row>
    <row r="41" spans="1:9" ht="22.5" customHeight="1" x14ac:dyDescent="0.15">
      <c r="B41" s="20" t="s">
        <v>69</v>
      </c>
      <c r="D41" s="249">
        <f>F37-管理者用グラフシート!C14</f>
        <v>-4</v>
      </c>
      <c r="E41" s="249"/>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220</v>
      </c>
      <c r="D70" s="254"/>
      <c r="E70" s="20" t="s">
        <v>76</v>
      </c>
      <c r="F70" s="37"/>
      <c r="G70" s="253">
        <f>管理者用グラフシート!C32</f>
        <v>0.43</v>
      </c>
      <c r="H70" s="253"/>
      <c r="I70" s="20" t="s">
        <v>77</v>
      </c>
    </row>
    <row r="71" spans="1:9" ht="22.5" customHeight="1" x14ac:dyDescent="0.15">
      <c r="A71" s="20" t="s">
        <v>78</v>
      </c>
      <c r="C71" s="254">
        <f>管理者用グラフシート!C26</f>
        <v>104</v>
      </c>
      <c r="D71" s="254"/>
      <c r="E71" s="20" t="s">
        <v>76</v>
      </c>
      <c r="F71" s="37"/>
      <c r="G71" s="253">
        <f>管理者用グラフシート!C36</f>
        <v>0.2</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3ポイント低下</v>
      </c>
      <c r="F75" s="255"/>
      <c r="G75" s="255"/>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v>
      </c>
      <c r="G135" s="207" t="s">
        <v>386</v>
      </c>
      <c r="H135" s="111"/>
    </row>
    <row r="136" spans="1:8" ht="22.5" customHeight="1" x14ac:dyDescent="0.15">
      <c r="A136" s="35" t="s">
        <v>387</v>
      </c>
      <c r="C136" s="205">
        <f>SUM(管理者用グラフシート!B95:C96)-SUM(管理者用グラフシート!B47:C48)</f>
        <v>-20</v>
      </c>
      <c r="D136" s="20" t="s">
        <v>388</v>
      </c>
      <c r="E136" s="34"/>
      <c r="F136" s="205">
        <f>SUM(管理者用グラフシート!B97:C98)-SUM(管理者用グラフシート!B49:C50)</f>
        <v>-13</v>
      </c>
      <c r="G136" s="20" t="s">
        <v>386</v>
      </c>
    </row>
    <row r="137" spans="1:8" ht="18.75" x14ac:dyDescent="0.15">
      <c r="A137" s="20" t="s">
        <v>389</v>
      </c>
      <c r="C137" s="205">
        <f>SUM(管理者用グラフシート!B99:C100)-SUM(管理者用グラフシート!B51:C52)</f>
        <v>-40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大字下野</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397</v>
      </c>
      <c r="E6" s="254"/>
      <c r="F6" s="20" t="s">
        <v>231</v>
      </c>
      <c r="H6" s="34"/>
      <c r="I6" s="34"/>
    </row>
    <row r="7" spans="1:9" ht="22.5" customHeight="1" x14ac:dyDescent="0.15">
      <c r="A7" s="250">
        <f>管理者入力シート!B5</f>
        <v>2020</v>
      </c>
      <c r="B7" s="250"/>
      <c r="C7" s="195" t="s">
        <v>362</v>
      </c>
      <c r="D7" s="249">
        <f>D6-現況シート!E6</f>
        <v>-118</v>
      </c>
      <c r="E7" s="249"/>
      <c r="F7" s="20" t="s">
        <v>232</v>
      </c>
      <c r="I7" s="34"/>
    </row>
    <row r="8" spans="1:9" ht="22.5" customHeight="1" x14ac:dyDescent="0.15">
      <c r="A8" s="258" t="s">
        <v>397</v>
      </c>
      <c r="B8" s="258"/>
      <c r="C8" s="205">
        <f>管理者用グラフシート!I8-管理者用グラフシート!C6</f>
        <v>-54</v>
      </c>
      <c r="D8" s="206" t="s">
        <v>398</v>
      </c>
      <c r="F8" s="259">
        <f>管理者用グラフシート!J8-管理者用グラフシート!D6</f>
        <v>-64</v>
      </c>
      <c r="G8" s="259"/>
      <c r="H8" s="20" t="s">
        <v>399</v>
      </c>
    </row>
    <row r="10" spans="1:9" ht="22.5" customHeight="1" x14ac:dyDescent="0.15">
      <c r="A10" s="250">
        <f>管理者入力シート!B11</f>
        <v>2040</v>
      </c>
      <c r="B10" s="250"/>
      <c r="C10" s="20" t="s">
        <v>361</v>
      </c>
      <c r="D10" s="254">
        <f>管理者用グラフシート!K10</f>
        <v>296</v>
      </c>
      <c r="E10" s="254"/>
      <c r="F10" s="20" t="s">
        <v>231</v>
      </c>
      <c r="H10" s="34"/>
    </row>
    <row r="11" spans="1:9" ht="22.5" customHeight="1" x14ac:dyDescent="0.15">
      <c r="A11" s="250">
        <f>管理者入力シート!B5</f>
        <v>2020</v>
      </c>
      <c r="B11" s="250"/>
      <c r="C11" s="195" t="s">
        <v>362</v>
      </c>
      <c r="D11" s="249">
        <f>D10-現況シート!E6</f>
        <v>-219</v>
      </c>
      <c r="E11" s="249"/>
      <c r="F11" s="20" t="s">
        <v>232</v>
      </c>
      <c r="H11" s="34"/>
    </row>
    <row r="12" spans="1:9" ht="22.5" customHeight="1" x14ac:dyDescent="0.15">
      <c r="A12" s="258" t="s">
        <v>397</v>
      </c>
      <c r="B12" s="258"/>
      <c r="C12" s="205">
        <f>管理者用グラフシート!I10-管理者用グラフシート!C6</f>
        <v>-102</v>
      </c>
      <c r="D12" s="206" t="s">
        <v>398</v>
      </c>
      <c r="F12" s="259">
        <f>管理者用グラフシート!J10-管理者用グラフシート!D6</f>
        <v>-117</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6</v>
      </c>
      <c r="G36" s="254"/>
      <c r="H36" s="82" t="s">
        <v>233</v>
      </c>
      <c r="I36" s="34"/>
    </row>
    <row r="37" spans="1:9" ht="22.5" customHeight="1" x14ac:dyDescent="0.15">
      <c r="A37" s="20" t="s">
        <v>234</v>
      </c>
      <c r="F37" s="254">
        <f>管理者用グラフシート!I28</f>
        <v>4</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-18</v>
      </c>
      <c r="G40" s="249"/>
      <c r="H40" s="35" t="s">
        <v>60</v>
      </c>
    </row>
    <row r="41" spans="1:9" ht="22.5" customHeight="1" x14ac:dyDescent="0.15">
      <c r="A41" s="20" t="s">
        <v>69</v>
      </c>
      <c r="C41" s="199">
        <f>管理者入力シート!B5</f>
        <v>2020</v>
      </c>
      <c r="D41" s="20" t="s">
        <v>374</v>
      </c>
      <c r="F41" s="249">
        <f>F37-現況シート!F37</f>
        <v>-7</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154</v>
      </c>
      <c r="D70" s="254"/>
      <c r="E70" s="82" t="s">
        <v>239</v>
      </c>
      <c r="F70" s="34"/>
      <c r="G70" s="253">
        <f>管理者用グラフシート!I56</f>
        <v>0.52</v>
      </c>
      <c r="H70" s="253"/>
      <c r="I70" s="110" t="s">
        <v>240</v>
      </c>
    </row>
    <row r="71" spans="1:9" ht="22.5" customHeight="1" x14ac:dyDescent="0.15">
      <c r="A71" s="20" t="s">
        <v>241</v>
      </c>
      <c r="C71" s="254">
        <f>管理者用グラフシート!I46</f>
        <v>95</v>
      </c>
      <c r="D71" s="254"/>
      <c r="E71" s="20" t="s">
        <v>239</v>
      </c>
      <c r="G71" s="261">
        <f>管理者用グラフシート!I64</f>
        <v>0.32</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-15</v>
      </c>
      <c r="H103" s="207" t="s">
        <v>60</v>
      </c>
    </row>
    <row r="104" spans="1:8" ht="22.5" customHeight="1" x14ac:dyDescent="0.15">
      <c r="A104" s="35" t="s">
        <v>387</v>
      </c>
      <c r="C104" s="205">
        <f>SUM(管理者用グラフシート!H99:I100)-SUM(管理者用グラフシート!B95:C96)</f>
        <v>1</v>
      </c>
      <c r="D104" s="20" t="s">
        <v>423</v>
      </c>
      <c r="E104" s="34"/>
      <c r="G104" s="205">
        <f>SUM(管理者用グラフシート!H101:I102)-SUM(管理者用グラフシート!B97:C98)</f>
        <v>-19</v>
      </c>
      <c r="H104" s="20" t="s">
        <v>60</v>
      </c>
    </row>
    <row r="105" spans="1:8" ht="22.5" customHeight="1" x14ac:dyDescent="0.15">
      <c r="A105" s="20" t="s">
        <v>389</v>
      </c>
      <c r="C105" s="205">
        <f>SUM(管理者用グラフシート!H103:I104)-SUM(管理者用グラフシート!B99:C100)</f>
        <v>-11</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-20</v>
      </c>
      <c r="H137" s="207" t="s">
        <v>60</v>
      </c>
    </row>
    <row r="138" spans="1:8" ht="22.5" customHeight="1" x14ac:dyDescent="0.15">
      <c r="A138" s="35" t="s">
        <v>387</v>
      </c>
      <c r="C138" s="205">
        <f>SUM(管理者用グラフシート!H147:I148)-SUM(管理者用グラフシート!B95:C96)</f>
        <v>-12</v>
      </c>
      <c r="D138" s="20" t="s">
        <v>423</v>
      </c>
      <c r="E138" s="34"/>
      <c r="G138" s="205">
        <f>SUM(管理者用グラフシート!H149:I150)-SUM(管理者用グラフシート!B97:C98)</f>
        <v>-16</v>
      </c>
      <c r="H138" s="20" t="s">
        <v>60</v>
      </c>
    </row>
    <row r="139" spans="1:8" ht="22.5" customHeight="1" x14ac:dyDescent="0.15">
      <c r="A139" s="20" t="s">
        <v>389</v>
      </c>
      <c r="C139" s="205">
        <f>SUM(管理者用グラフシート!H151:I152)-SUM(管理者用グラフシート!B99:C100)</f>
        <v>-31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大字下野</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497</v>
      </c>
      <c r="I36" s="271"/>
    </row>
    <row r="37" spans="1:9" s="130" customFormat="1" ht="17.25" customHeight="1" x14ac:dyDescent="0.15">
      <c r="A37" s="165"/>
      <c r="B37" s="225" t="s">
        <v>5</v>
      </c>
      <c r="C37" s="226">
        <f>管理者用人口入力シート!DX1</f>
        <v>6</v>
      </c>
      <c r="D37" s="227">
        <f>C37</f>
        <v>6</v>
      </c>
      <c r="F37" s="162"/>
      <c r="G37" s="237">
        <f>管理者入力シート!B9</f>
        <v>2030</v>
      </c>
      <c r="H37" s="270">
        <f>管理者用人口入力シート!EU25</f>
        <v>484</v>
      </c>
      <c r="I37" s="271"/>
    </row>
    <row r="38" spans="1:9" s="132" customFormat="1" ht="17.25" customHeight="1" x14ac:dyDescent="0.15">
      <c r="A38" s="160"/>
      <c r="B38" s="225" t="s">
        <v>6</v>
      </c>
      <c r="C38" s="226">
        <f>C37</f>
        <v>6</v>
      </c>
      <c r="D38" s="227">
        <f>C37</f>
        <v>6</v>
      </c>
      <c r="F38" s="162"/>
      <c r="G38" s="237">
        <f>管理者入力シート!B10</f>
        <v>2035</v>
      </c>
      <c r="H38" s="270">
        <f>管理者用人口入力シート!EU28</f>
        <v>482</v>
      </c>
      <c r="I38" s="271"/>
    </row>
    <row r="39" spans="1:9" ht="17.25" customHeight="1" thickBot="1" x14ac:dyDescent="0.2">
      <c r="A39" s="166"/>
      <c r="B39" s="228" t="s">
        <v>7</v>
      </c>
      <c r="C39" s="229">
        <f>C37</f>
        <v>6</v>
      </c>
      <c r="D39" s="230">
        <f>C37</f>
        <v>6</v>
      </c>
      <c r="F39" s="162"/>
      <c r="G39" s="238">
        <f>管理者入力シート!B11</f>
        <v>2040</v>
      </c>
      <c r="H39" s="272">
        <f>管理者用人口入力シート!EU31</f>
        <v>482</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417</v>
      </c>
      <c r="E43" s="254"/>
      <c r="F43" s="20" t="s">
        <v>231</v>
      </c>
      <c r="H43" s="34"/>
      <c r="I43" s="34"/>
    </row>
    <row r="44" spans="1:9" ht="22.5" customHeight="1" x14ac:dyDescent="0.15">
      <c r="A44" s="250">
        <f>管理者入力シート!B11</f>
        <v>2040</v>
      </c>
      <c r="B44" s="250"/>
      <c r="C44" s="20" t="s">
        <v>417</v>
      </c>
      <c r="D44" s="254">
        <f>管理者用グラフシート!U10</f>
        <v>338</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42</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12</v>
      </c>
      <c r="G78" s="254"/>
      <c r="H78" s="82" t="s">
        <v>264</v>
      </c>
      <c r="I78" s="34"/>
    </row>
    <row r="79" spans="1:9" ht="22.5" customHeight="1" x14ac:dyDescent="0.15">
      <c r="A79" s="20" t="s">
        <v>234</v>
      </c>
      <c r="F79" s="254">
        <f>管理者用グラフシート!Q28</f>
        <v>6</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2</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154</v>
      </c>
      <c r="D112" s="254"/>
      <c r="E112" s="20" t="s">
        <v>270</v>
      </c>
      <c r="F112" s="36"/>
      <c r="G112" s="111">
        <f>管理者用グラフシート!Q56</f>
        <v>0.46</v>
      </c>
      <c r="H112" s="82" t="s">
        <v>271</v>
      </c>
      <c r="I112" s="34"/>
    </row>
    <row r="113" spans="1:9" ht="22.5" customHeight="1" x14ac:dyDescent="0.15">
      <c r="A113" s="20" t="s">
        <v>268</v>
      </c>
      <c r="C113" s="254">
        <f>管理者用グラフシート!Q46</f>
        <v>95</v>
      </c>
      <c r="D113" s="254"/>
      <c r="E113" s="82" t="s">
        <v>270</v>
      </c>
      <c r="F113" s="34"/>
      <c r="G113" s="111">
        <f>管理者用グラフシート!Q64</f>
        <v>0.28000000000000003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大字下野</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0.6990903071266743</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大字下野</v>
      </c>
      <c r="B11" s="256"/>
      <c r="C11" s="257">
        <f>管理者用地域特徴シート!D5</f>
        <v>199.60996414818749</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0.15944989240662336</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0.16992569037428179</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61.909753249785943</v>
      </c>
      <c r="F70" s="282"/>
      <c r="G70" s="20" t="s">
        <v>290</v>
      </c>
    </row>
    <row r="71" spans="1:8" ht="22.5" customHeight="1" x14ac:dyDescent="0.15">
      <c r="A71" s="20" t="s">
        <v>295</v>
      </c>
      <c r="F71" s="281">
        <f>管理者用地域特徴シート!AK5</f>
        <v>0.29628630461698174</v>
      </c>
      <c r="G71" s="281"/>
      <c r="H71" s="20" t="s">
        <v>271</v>
      </c>
    </row>
    <row r="72" spans="1:8" ht="22.5" customHeight="1" x14ac:dyDescent="0.15">
      <c r="A72" s="20" t="s">
        <v>296</v>
      </c>
      <c r="F72" s="281">
        <f>管理者用地域特徴シート!AL5</f>
        <v>0.3300716967663746</v>
      </c>
      <c r="G72" s="281"/>
      <c r="H72" s="20" t="s">
        <v>297</v>
      </c>
    </row>
    <row r="73" spans="1:8" ht="22.5" customHeight="1" x14ac:dyDescent="0.15">
      <c r="A73" s="20" t="s">
        <v>298</v>
      </c>
      <c r="E73" s="281"/>
      <c r="F73" s="281"/>
    </row>
    <row r="74" spans="1:8" ht="22.5" customHeight="1" x14ac:dyDescent="0.15">
      <c r="A74" s="20" t="s">
        <v>339</v>
      </c>
      <c r="C74" s="177">
        <f>管理者用地域特徴シート!AN5</f>
        <v>0.51977558925585265</v>
      </c>
      <c r="D74" s="156" t="s">
        <v>299</v>
      </c>
      <c r="E74" s="177">
        <f>管理者用地域特徴シート!AO5</f>
        <v>0.48022441074414735</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0.90949174292865476</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0.978374393322758</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大字下野</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45441_16</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463</v>
      </c>
      <c r="DW1" s="313"/>
      <c r="DX1" s="308">
        <f>DW17</f>
        <v>6</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12.165077129474035</v>
      </c>
      <c r="E3" s="9">
        <v>12.303406700580132</v>
      </c>
      <c r="F3" s="9">
        <v>27.320941762553858</v>
      </c>
      <c r="G3" s="9">
        <v>13.761434438802375</v>
      </c>
      <c r="H3" s="9">
        <v>10.776214176804839</v>
      </c>
      <c r="I3" s="9">
        <v>10.078999079666115</v>
      </c>
      <c r="J3" s="9">
        <v>14.458649535941099</v>
      </c>
      <c r="K3" s="9">
        <v>9.3126191969743459</v>
      </c>
      <c r="L3" s="9">
        <v>15.703615675895952</v>
      </c>
      <c r="M3" s="9">
        <v>25.367626042243785</v>
      </c>
      <c r="N3" s="9">
        <v>31.625860191667545</v>
      </c>
      <c r="O3" s="9">
        <v>29.050061401380042</v>
      </c>
      <c r="P3" s="9">
        <v>21.201037184236192</v>
      </c>
      <c r="Q3" s="9">
        <v>21.887117798158418</v>
      </c>
      <c r="R3" s="9">
        <v>27.5920336631578</v>
      </c>
      <c r="S3" s="9">
        <v>29.055628642988292</v>
      </c>
      <c r="T3" s="9">
        <v>15.081132605918526</v>
      </c>
      <c r="U3" s="9">
        <v>7.2265411471664249</v>
      </c>
      <c r="V3" s="9">
        <v>2.4319019775731574</v>
      </c>
      <c r="W3" s="9">
        <v>1.9477484787018255</v>
      </c>
      <c r="X3" s="9">
        <v>1.1122038104570076</v>
      </c>
      <c r="Y3" s="9">
        <f>SUM(D3:X3)</f>
        <v>339.45985064034176</v>
      </c>
      <c r="Z3" s="9">
        <f>E3*3/5+F3*3/5</f>
        <v>23.774609077880395</v>
      </c>
      <c r="AA3" s="9">
        <f>F3*2/5+G3*1/5</f>
        <v>13.680663592782018</v>
      </c>
      <c r="AB3" s="9">
        <f t="shared" ref="AB3:AB20" si="0">SUM(Q3:X3)</f>
        <v>106.33430812412146</v>
      </c>
      <c r="AC3" s="9">
        <f>SUM(S3:X3)</f>
        <v>56.855156662805236</v>
      </c>
      <c r="AD3" s="13">
        <f>AB3/Y3</f>
        <v>0.31324561041176807</v>
      </c>
      <c r="AE3" s="13">
        <f>AC3/Y3</f>
        <v>0.1674871315578447</v>
      </c>
      <c r="AF3" s="9">
        <f>SUM(H3:K3)</f>
        <v>44.626481989386399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1.0267565020050167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1.0685155818282288</v>
      </c>
      <c r="AO3" s="6">
        <f t="shared" si="1"/>
        <v>0.62391588754901461</v>
      </c>
      <c r="AP3" s="6">
        <f t="shared" si="1"/>
        <v>1.7340242186001644</v>
      </c>
      <c r="AQ3" s="6">
        <f t="shared" si="1"/>
        <v>1.3033123767031529</v>
      </c>
      <c r="AR3" s="6">
        <f t="shared" si="1"/>
        <v>1.3827289420838735</v>
      </c>
      <c r="AS3" s="6">
        <f t="shared" si="1"/>
        <v>0.58534216612433054</v>
      </c>
      <c r="AT3" s="6">
        <f t="shared" si="1"/>
        <v>1.7902389818153237</v>
      </c>
      <c r="AU3" s="6">
        <f t="shared" si="1"/>
        <v>1.1675028658135924</v>
      </c>
      <c r="AV3" s="6">
        <f t="shared" si="1"/>
        <v>0.87280955735101218</v>
      </c>
      <c r="AW3" s="6">
        <f t="shared" si="1"/>
        <v>1.0078710474480788</v>
      </c>
      <c r="AX3" s="6">
        <f t="shared" si="1"/>
        <v>1.0340668220164522</v>
      </c>
      <c r="AY3" s="6">
        <f t="shared" si="1"/>
        <v>1.0420635040051487</v>
      </c>
      <c r="AZ3" s="6">
        <f t="shared" si="1"/>
        <v>0.8991965854313162</v>
      </c>
      <c r="BA3" s="6">
        <f t="shared" si="1"/>
        <v>0.9219864823826589</v>
      </c>
      <c r="BB3" s="6">
        <f t="shared" si="1"/>
        <v>0.54122537886762678</v>
      </c>
      <c r="BC3" s="6">
        <f t="shared" si="1"/>
        <v>0.53240917665716569</v>
      </c>
      <c r="BD3" s="6">
        <f t="shared" si="1"/>
        <v>0.45677980001053164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5.1266325293499904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5.535741216523494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12.742270593001823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6.8769631905525026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7.9425533640870221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11.243604030153557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15.433658686530611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4.4404995566696384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7.8655479147546323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12.912277348028079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13.524704914983516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12.245330996972106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16.956150452246625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28.980777175837062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30.338445570011963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24.696330147500404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12.037022902309534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5.8709055357937014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5.4080660667756622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0.10212945089583432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1.3832957110609481E-4</v>
      </c>
      <c r="CF3" s="9">
        <f t="shared" ref="CF3:CF14" si="2">SUM(BK3:CE3)</f>
        <v>240.27974997254884</v>
      </c>
      <c r="CG3" s="9">
        <f>BL3*3/5+BM3*3/5</f>
        <v>10.966807085715191</v>
      </c>
      <c r="CH3" s="9">
        <f>BM3*2/5+BN3*1/5</f>
        <v>6.4723008753112303</v>
      </c>
      <c r="CI3" s="9">
        <f t="shared" ref="CI3:CI14" si="3">SUM(BX3:CE3)</f>
        <v>107.43381517869524</v>
      </c>
      <c r="CJ3" s="9">
        <f>SUM(BZ3:CE3)</f>
        <v>48.114592432846244</v>
      </c>
      <c r="CK3" s="13">
        <f>CI3/CF3</f>
        <v>0.44711972270226347</v>
      </c>
      <c r="CL3" s="13">
        <f>CJ3/CF3</f>
        <v>0.20024405901181092</v>
      </c>
      <c r="CM3" s="9">
        <f>SUM(BO3:BR3)</f>
        <v>39.06031563744083</v>
      </c>
      <c r="CO3" s="7" t="str">
        <f>CP3&amp;"_"&amp;IF(CQ3="男性",1,IF(CQ3="女性",2,IF(CQ3="合計",3)))</f>
        <v>2025_1</v>
      </c>
      <c r="CP3" s="28">
        <f>管理者入力シート!B8</f>
        <v>2025</v>
      </c>
      <c r="CQ3" s="3" t="s">
        <v>21</v>
      </c>
      <c r="CR3" s="9">
        <f>BK3+将来予測シート②!$G17</f>
        <v>6.1266325293499904</v>
      </c>
      <c r="CS3" s="9">
        <f>BL3+将来予測シート②!$G18</f>
        <v>5.535741216523494</v>
      </c>
      <c r="CT3" s="9">
        <f>BM3+将来予測シート②!$G19</f>
        <v>13.742270593001823</v>
      </c>
      <c r="CU3" s="9">
        <f>BN3+将来予測シート②!$G20</f>
        <v>6.8769631905525026</v>
      </c>
      <c r="CV3" s="9">
        <f>BO3+将来予測シート②!$G21</f>
        <v>7.9425533640870221</v>
      </c>
      <c r="CW3" s="9">
        <f>BP3+将来予測シート②!$G22</f>
        <v>13.243604030153557</v>
      </c>
      <c r="CX3" s="9">
        <f>BQ3+将来予測シート②!$G23</f>
        <v>15.433658686530611</v>
      </c>
      <c r="CY3" s="9">
        <f>BR3+将来予測シート②!$G24</f>
        <v>4.4404995566696384</v>
      </c>
      <c r="CZ3" s="9">
        <f>BS3+将来予測シート②!$G25</f>
        <v>7.8655479147546323</v>
      </c>
      <c r="DA3" s="9">
        <f>BT3+将来予測シート②!$G26</f>
        <v>12.912277348028079</v>
      </c>
      <c r="DB3" s="9">
        <f>BU3+将来予測シート②!$G27</f>
        <v>13.524704914983516</v>
      </c>
      <c r="DC3" s="9">
        <f>BV3+将来予測シート②!$G28</f>
        <v>12.245330996972106</v>
      </c>
      <c r="DD3" s="9">
        <f>BW3+将来予測シート②!$G29</f>
        <v>16.956150452246625</v>
      </c>
      <c r="DE3" s="9">
        <f>BX3</f>
        <v>28.980777175837062</v>
      </c>
      <c r="DF3" s="9">
        <f t="shared" ref="DF3:DL3" si="4">BY3</f>
        <v>30.338445570011963</v>
      </c>
      <c r="DG3" s="9">
        <f t="shared" si="4"/>
        <v>24.696330147500404</v>
      </c>
      <c r="DH3" s="9">
        <f t="shared" si="4"/>
        <v>12.037022902309534</v>
      </c>
      <c r="DI3" s="9">
        <f t="shared" si="4"/>
        <v>5.8709055357937014</v>
      </c>
      <c r="DJ3" s="9">
        <f t="shared" si="4"/>
        <v>5.4080660667756622</v>
      </c>
      <c r="DK3" s="9">
        <f t="shared" si="4"/>
        <v>0.10212945089583432</v>
      </c>
      <c r="DL3" s="9">
        <f t="shared" si="4"/>
        <v>1.3832957110609481E-4</v>
      </c>
      <c r="DM3" s="9">
        <f t="shared" ref="DM3:DM4" si="5">SUM(CR3:DL3)</f>
        <v>244.27974997254884</v>
      </c>
      <c r="DN3" s="9">
        <f>CS3*3/5+CT3*3/5</f>
        <v>11.566807085715192</v>
      </c>
      <c r="DO3" s="9">
        <f>CT3*2/5+CU3*1/5</f>
        <v>6.8723008753112307</v>
      </c>
      <c r="DP3" s="9">
        <f t="shared" ref="DP3:DP14" si="6">SUM(DE3:DL3)</f>
        <v>107.43381517869524</v>
      </c>
      <c r="DQ3" s="9">
        <f>SUM(DG3:DL3)</f>
        <v>48.114592432846244</v>
      </c>
      <c r="DR3" s="13">
        <f>DP3/DM3</f>
        <v>0.43979828532970178</v>
      </c>
      <c r="DS3" s="13">
        <f>DQ3/DM3</f>
        <v>0.19696512886660955</v>
      </c>
      <c r="DT3" s="9">
        <f>SUM(CV3:CY3)</f>
        <v>41.06031563744083</v>
      </c>
      <c r="DV3" s="312"/>
      <c r="DW3" s="313"/>
      <c r="DX3" s="28">
        <f>管理者入力シート!B8</f>
        <v>2025</v>
      </c>
      <c r="DY3" s="3" t="s">
        <v>21</v>
      </c>
      <c r="DZ3" s="9">
        <f>BK$3</f>
        <v>5.1266325293499904</v>
      </c>
      <c r="EA3" s="9">
        <f>BL$3</f>
        <v>5.535741216523494</v>
      </c>
      <c r="EB3" s="9">
        <f t="shared" ref="EB3:ED3" si="7">BM$3</f>
        <v>12.742270593001823</v>
      </c>
      <c r="EC3" s="9">
        <f t="shared" si="7"/>
        <v>6.8769631905525026</v>
      </c>
      <c r="ED3" s="9">
        <f t="shared" si="7"/>
        <v>7.9425533640870221</v>
      </c>
      <c r="EE3" s="9">
        <f>BP$3+DX1</f>
        <v>17.243604030153556</v>
      </c>
      <c r="EF3" s="9">
        <f>BQ$3+DX1</f>
        <v>21.433658686530613</v>
      </c>
      <c r="EG3" s="9">
        <f>BR$3+DX1</f>
        <v>10.440499556669639</v>
      </c>
      <c r="EH3" s="9">
        <f t="shared" ref="EH3:ET3" si="8">BS$3</f>
        <v>7.8655479147546323</v>
      </c>
      <c r="EI3" s="9">
        <f t="shared" si="8"/>
        <v>12.912277348028079</v>
      </c>
      <c r="EJ3" s="9">
        <f t="shared" si="8"/>
        <v>13.524704914983516</v>
      </c>
      <c r="EK3" s="9">
        <f t="shared" si="8"/>
        <v>12.245330996972106</v>
      </c>
      <c r="EL3" s="9">
        <f t="shared" si="8"/>
        <v>16.956150452246625</v>
      </c>
      <c r="EM3" s="9">
        <f t="shared" si="8"/>
        <v>28.980777175837062</v>
      </c>
      <c r="EN3" s="9">
        <f t="shared" si="8"/>
        <v>30.338445570011963</v>
      </c>
      <c r="EO3" s="9">
        <f t="shared" si="8"/>
        <v>24.696330147500404</v>
      </c>
      <c r="EP3" s="9">
        <f t="shared" si="8"/>
        <v>12.037022902309534</v>
      </c>
      <c r="EQ3" s="9">
        <f t="shared" si="8"/>
        <v>5.8709055357937014</v>
      </c>
      <c r="ER3" s="9">
        <f t="shared" si="8"/>
        <v>5.4080660667756622</v>
      </c>
      <c r="ES3" s="9">
        <f t="shared" si="8"/>
        <v>0.10212945089583432</v>
      </c>
      <c r="ET3" s="9">
        <f t="shared" si="8"/>
        <v>1.3832957110609481E-4</v>
      </c>
      <c r="EU3" s="9">
        <f t="shared" ref="EU3:EU4" si="9">SUM(DZ3:ET3)</f>
        <v>258.27974997254887</v>
      </c>
      <c r="EV3" s="9">
        <f>EA3*3/5+EB3*3/5</f>
        <v>10.966807085715191</v>
      </c>
      <c r="EW3" s="9">
        <f>EB3*2/5+EC3*1/5</f>
        <v>6.4723008753112303</v>
      </c>
      <c r="EX3" s="9">
        <f t="shared" ref="EX3:EX14" si="10">SUM(EM3:ET3)</f>
        <v>107.43381517869524</v>
      </c>
      <c r="EY3" s="9">
        <f>SUM(EO3:ET3)</f>
        <v>48.114592432846244</v>
      </c>
      <c r="EZ3" s="13">
        <f>EX3/EU3</f>
        <v>0.41595911096442439</v>
      </c>
      <c r="FA3" s="13">
        <f>EY3/EU3</f>
        <v>0.18628867512052369</v>
      </c>
      <c r="FB3" s="9">
        <f>SUM(ED3:EG3)</f>
        <v>57.060315637440823</v>
      </c>
    </row>
    <row r="4" spans="1:158" x14ac:dyDescent="0.15">
      <c r="A4" s="7" t="str">
        <f t="shared" ref="A4:A14" si="11">B4&amp;"_"&amp;IF(C4="男性",1,IF(C4="女性",2,IF(C4="合計",3)))</f>
        <v>2005_2</v>
      </c>
      <c r="B4" s="29">
        <v>2005</v>
      </c>
      <c r="C4" s="4" t="s">
        <v>22</v>
      </c>
      <c r="D4" s="10">
        <v>11.260367675676171</v>
      </c>
      <c r="E4" s="10">
        <v>13.415610511037139</v>
      </c>
      <c r="F4" s="10">
        <v>14.251155179281957</v>
      </c>
      <c r="G4" s="10">
        <v>10.77064693519659</v>
      </c>
      <c r="H4" s="10">
        <v>7.7854266731990531</v>
      </c>
      <c r="I4" s="10">
        <v>11.467862032335313</v>
      </c>
      <c r="J4" s="10">
        <v>14.458649535941099</v>
      </c>
      <c r="K4" s="10">
        <v>15.922244515771592</v>
      </c>
      <c r="L4" s="10">
        <v>15.634450890342904</v>
      </c>
      <c r="M4" s="10">
        <v>19.66827741885265</v>
      </c>
      <c r="N4" s="10">
        <v>31.343633807847105</v>
      </c>
      <c r="O4" s="10">
        <v>25.649852426064221</v>
      </c>
      <c r="P4" s="10">
        <v>19.316886249479165</v>
      </c>
      <c r="Q4" s="10">
        <v>27.655631207102598</v>
      </c>
      <c r="R4" s="10">
        <v>34.541915668112033</v>
      </c>
      <c r="S4" s="10">
        <v>35.723284264122086</v>
      </c>
      <c r="T4" s="10">
        <v>28.214516733135227</v>
      </c>
      <c r="U4" s="10">
        <v>14.873638249259383</v>
      </c>
      <c r="V4" s="10">
        <v>6.9443147633459859</v>
      </c>
      <c r="W4" s="10">
        <v>2.846890690891442</v>
      </c>
      <c r="X4" s="10">
        <v>0.13832957110609481</v>
      </c>
      <c r="Y4" s="10">
        <f>SUM(D4:X4)</f>
        <v>361.88358499809976</v>
      </c>
      <c r="Z4" s="10">
        <f t="shared" ref="Z4:Z11" si="12">E4*3/5+F4*3/5</f>
        <v>16.600059414191456</v>
      </c>
      <c r="AA4" s="10">
        <f t="shared" ref="AA4:AA11" si="13">F4*2/5+G4*1/5</f>
        <v>7.8545914587521013</v>
      </c>
      <c r="AB4" s="10">
        <f t="shared" si="0"/>
        <v>150.93852114707479</v>
      </c>
      <c r="AC4" s="10">
        <f t="shared" ref="AC4:AC11" si="14">SUM(S4:X4)</f>
        <v>88.740974271860225</v>
      </c>
      <c r="AD4" s="14">
        <f t="shared" ref="AD4:AD11" si="15">AB4/Y4</f>
        <v>0.417091372486175</v>
      </c>
      <c r="AE4" s="14">
        <f t="shared" ref="AE4:AE11" si="16">AC4/Y4</f>
        <v>0.24521967270863143</v>
      </c>
      <c r="AF4" s="10">
        <f t="shared" ref="AF4:AF20" si="17">SUM(H4:K4)</f>
        <v>49.634182757247061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0.85139876452817076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1.0979686769097694</v>
      </c>
      <c r="AO4" s="193">
        <f t="shared" si="18"/>
        <v>0.86897612788197487</v>
      </c>
      <c r="AP4" s="193">
        <f t="shared" si="18"/>
        <v>0.17049353592053568</v>
      </c>
      <c r="AQ4" s="193">
        <f t="shared" si="18"/>
        <v>1.9222660620936156</v>
      </c>
      <c r="AR4" s="193">
        <f t="shared" si="18"/>
        <v>1.2419771470274412</v>
      </c>
      <c r="AS4" s="193">
        <f t="shared" si="18"/>
        <v>1.0287128174369424</v>
      </c>
      <c r="AT4" s="193">
        <f t="shared" si="18"/>
        <v>1.0058205549353001</v>
      </c>
      <c r="AU4" s="193">
        <f t="shared" si="18"/>
        <v>0.91158998495272281</v>
      </c>
      <c r="AV4" s="193">
        <f t="shared" si="18"/>
        <v>1.2300040036742079</v>
      </c>
      <c r="AW4" s="193">
        <f t="shared" si="18"/>
        <v>0.99605066813387999</v>
      </c>
      <c r="AX4" s="193">
        <f t="shared" si="18"/>
        <v>1.155032868872736</v>
      </c>
      <c r="AY4" s="193">
        <f t="shared" si="18"/>
        <v>0.93947177737464815</v>
      </c>
      <c r="AZ4" s="193">
        <f t="shared" si="18"/>
        <v>0.95789695527138607</v>
      </c>
      <c r="BA4" s="193">
        <f t="shared" si="18"/>
        <v>0.84461602329340191</v>
      </c>
      <c r="BB4" s="193">
        <f t="shared" si="18"/>
        <v>0.66464014464314802</v>
      </c>
      <c r="BC4" s="193">
        <f t="shared" si="18"/>
        <v>0.62078192615529826</v>
      </c>
      <c r="BD4" s="193">
        <f t="shared" si="18"/>
        <v>0.4410858257295191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0.13553492010354673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6.2126809043730509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7.6309621502234997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4.4412288628724115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8.4119009140825849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1.213098955233082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2.0134337606291597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8.4268014033796437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10.612964389811111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6.5012449719579042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10.394969745263076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13.198444597418657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17.221341884040189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19.386259286403643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21.591525377409834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29.535150512944554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21.974096726766501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12.56256502587736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10.790746606584914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7.3087689483151284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1.5378144843154253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1.3832957110609481E-3</v>
      </c>
      <c r="CF4" s="10">
        <f t="shared" si="2"/>
        <v>220.96738280361279</v>
      </c>
      <c r="CG4" s="10">
        <f t="shared" ref="CG4:CG14" si="20">BL4*3/5+BM4*3/5</f>
        <v>7.2433146078575472</v>
      </c>
      <c r="CH4" s="10">
        <f t="shared" ref="CH4:CH14" si="21">BM4*2/5+BN4*1/5</f>
        <v>3.4588717279654819</v>
      </c>
      <c r="CI4" s="10">
        <f t="shared" si="3"/>
        <v>105.30205097792479</v>
      </c>
      <c r="CJ4" s="10">
        <f t="shared" ref="CJ4:CJ14" si="22">SUM(BZ4:CE4)</f>
        <v>54.17537508757038</v>
      </c>
      <c r="CK4" s="14">
        <f t="shared" ref="CK4:CK14" si="23">CI4/CF4</f>
        <v>0.4765502023052568</v>
      </c>
      <c r="CL4" s="14">
        <f t="shared" ref="CL4:CL14" si="24">CJ4/CF4</f>
        <v>0.24517362879624341</v>
      </c>
      <c r="CM4" s="10">
        <f t="shared" ref="CM4:CM14" si="25">SUM(BO4:BR4)</f>
        <v>22.266298509052994</v>
      </c>
      <c r="CO4" s="7" t="str">
        <f t="shared" ref="CO4:CO20" si="26">CP4&amp;"_"&amp;IF(CQ4="男性",1,IF(CQ4="女性",2,IF(CQ4="合計",3)))</f>
        <v>2025_2</v>
      </c>
      <c r="CP4" s="29">
        <f>CP3</f>
        <v>2025</v>
      </c>
      <c r="CQ4" s="4" t="s">
        <v>22</v>
      </c>
      <c r="CR4" s="10">
        <f>BK4+将来予測シート②!$H17</f>
        <v>7.2126809043730509</v>
      </c>
      <c r="CS4" s="10">
        <f>BL4+将来予測シート②!$H18</f>
        <v>7.6309621502234997</v>
      </c>
      <c r="CT4" s="10">
        <f>BM4+将来予測シート②!$H19</f>
        <v>5.4412288628724115</v>
      </c>
      <c r="CU4" s="10">
        <f>BN4+将来予測シート②!$H20</f>
        <v>8.4119009140825849</v>
      </c>
      <c r="CV4" s="10">
        <f>BO4+将来予測シート②!$H21</f>
        <v>1.213098955233082</v>
      </c>
      <c r="CW4" s="10">
        <f>BP4+将来予測シート②!$H22</f>
        <v>4.0134337606291597</v>
      </c>
      <c r="CX4" s="10">
        <f>BQ4+将来予測シート②!$H23</f>
        <v>8.4268014033796437</v>
      </c>
      <c r="CY4" s="10">
        <f>BR4+将来予測シート②!$H24</f>
        <v>10.612964389811111</v>
      </c>
      <c r="CZ4" s="10">
        <f>BS4+将来予測シート②!$H25</f>
        <v>7.5012449719579042</v>
      </c>
      <c r="DA4" s="10">
        <f>BT4+将来予測シート②!$H26</f>
        <v>10.394969745263076</v>
      </c>
      <c r="DB4" s="10">
        <f>BU4+将来予測シート②!$H27</f>
        <v>13.198444597418657</v>
      </c>
      <c r="DC4" s="10">
        <f>BV4+将来予測シート②!$H28</f>
        <v>17.221341884040189</v>
      </c>
      <c r="DD4" s="10">
        <f>BW4+将来予測シート②!$H29</f>
        <v>19.386259286403643</v>
      </c>
      <c r="DE4" s="10">
        <f>BX4</f>
        <v>21.591525377409834</v>
      </c>
      <c r="DF4" s="10">
        <f t="shared" ref="DF4" si="27">BY4</f>
        <v>29.535150512944554</v>
      </c>
      <c r="DG4" s="10">
        <f t="shared" ref="DG4" si="28">BZ4</f>
        <v>21.974096726766501</v>
      </c>
      <c r="DH4" s="10">
        <f t="shared" ref="DH4" si="29">CA4</f>
        <v>12.56256502587736</v>
      </c>
      <c r="DI4" s="10">
        <f t="shared" ref="DI4" si="30">CB4</f>
        <v>10.790746606584914</v>
      </c>
      <c r="DJ4" s="10">
        <f t="shared" ref="DJ4" si="31">CC4</f>
        <v>7.3087689483151284</v>
      </c>
      <c r="DK4" s="10">
        <f t="shared" ref="DK4" si="32">CD4</f>
        <v>1.5378144843154253</v>
      </c>
      <c r="DL4" s="10">
        <f t="shared" ref="DL4" si="33">CE4</f>
        <v>1.3832957110609481E-3</v>
      </c>
      <c r="DM4" s="10">
        <f t="shared" si="5"/>
        <v>225.96738280361279</v>
      </c>
      <c r="DN4" s="10">
        <f t="shared" ref="DN4:DN14" si="34">CS4*3/5+CT4*3/5</f>
        <v>7.8433146078575469</v>
      </c>
      <c r="DO4" s="10">
        <f t="shared" ref="DO4:DO14" si="35">CT4*2/5+CU4*1/5</f>
        <v>3.8588717279654814</v>
      </c>
      <c r="DP4" s="10">
        <f t="shared" si="6"/>
        <v>105.30205097792479</v>
      </c>
      <c r="DQ4" s="10">
        <f t="shared" ref="DQ4:DQ14" si="36">SUM(DG4:DL4)</f>
        <v>54.17537508757038</v>
      </c>
      <c r="DR4" s="14">
        <f t="shared" ref="DR4:DR14" si="37">DP4/DM4</f>
        <v>0.46600553438919246</v>
      </c>
      <c r="DS4" s="14">
        <f t="shared" ref="DS4:DS14" si="38">DQ4/DM4</f>
        <v>0.23974865051499025</v>
      </c>
      <c r="DT4" s="10">
        <f>SUM(CV4:CY4)</f>
        <v>24.266298509052994</v>
      </c>
      <c r="DV4" s="312"/>
      <c r="DW4" s="313"/>
      <c r="DX4" s="29">
        <f>DX3</f>
        <v>2025</v>
      </c>
      <c r="DY4" s="4" t="s">
        <v>22</v>
      </c>
      <c r="DZ4" s="10">
        <f>BK$4</f>
        <v>6.2126809043730509</v>
      </c>
      <c r="EA4" s="10">
        <f>BL$4</f>
        <v>7.6309621502234997</v>
      </c>
      <c r="EB4" s="10">
        <f t="shared" ref="EB4:ED4" si="39">BM$4</f>
        <v>4.4412288628724115</v>
      </c>
      <c r="EC4" s="10">
        <f t="shared" si="39"/>
        <v>8.4119009140825849</v>
      </c>
      <c r="ED4" s="10">
        <f t="shared" si="39"/>
        <v>1.213098955233082</v>
      </c>
      <c r="EE4" s="10">
        <f>BP$4+DX1</f>
        <v>8.0134337606291588</v>
      </c>
      <c r="EF4" s="10">
        <f>BQ$4+DX1</f>
        <v>14.426801403379644</v>
      </c>
      <c r="EG4" s="10">
        <f>BR$4+DX1</f>
        <v>16.612964389811111</v>
      </c>
      <c r="EH4" s="10">
        <f t="shared" ref="EH4:ET4" si="40">BS$4</f>
        <v>6.5012449719579042</v>
      </c>
      <c r="EI4" s="10">
        <f t="shared" si="40"/>
        <v>10.394969745263076</v>
      </c>
      <c r="EJ4" s="10">
        <f t="shared" si="40"/>
        <v>13.198444597418657</v>
      </c>
      <c r="EK4" s="10">
        <f t="shared" si="40"/>
        <v>17.221341884040189</v>
      </c>
      <c r="EL4" s="10">
        <f t="shared" si="40"/>
        <v>19.386259286403643</v>
      </c>
      <c r="EM4" s="10">
        <f t="shared" si="40"/>
        <v>21.591525377409834</v>
      </c>
      <c r="EN4" s="10">
        <f t="shared" si="40"/>
        <v>29.535150512944554</v>
      </c>
      <c r="EO4" s="10">
        <f t="shared" si="40"/>
        <v>21.974096726766501</v>
      </c>
      <c r="EP4" s="10">
        <f t="shared" si="40"/>
        <v>12.56256502587736</v>
      </c>
      <c r="EQ4" s="10">
        <f t="shared" si="40"/>
        <v>10.790746606584914</v>
      </c>
      <c r="ER4" s="10">
        <f t="shared" si="40"/>
        <v>7.3087689483151284</v>
      </c>
      <c r="ES4" s="10">
        <f t="shared" si="40"/>
        <v>1.5378144843154253</v>
      </c>
      <c r="ET4" s="10">
        <f t="shared" si="40"/>
        <v>1.3832957110609481E-3</v>
      </c>
      <c r="EU4" s="10">
        <f t="shared" si="9"/>
        <v>238.96738280361279</v>
      </c>
      <c r="EV4" s="10">
        <f t="shared" ref="EV4:EV14" si="41">EA4*3/5+EB4*3/5</f>
        <v>7.2433146078575472</v>
      </c>
      <c r="EW4" s="10">
        <f t="shared" ref="EW4:EW14" si="42">EB4*2/5+EC4*1/5</f>
        <v>3.4588717279654819</v>
      </c>
      <c r="EX4" s="10">
        <f t="shared" si="10"/>
        <v>105.30205097792479</v>
      </c>
      <c r="EY4" s="10">
        <f t="shared" ref="EY4:EY14" si="43">SUM(EO4:ET4)</f>
        <v>54.17537508757038</v>
      </c>
      <c r="EZ4" s="14">
        <f t="shared" ref="EZ4:EZ14" si="44">EX4/EU4</f>
        <v>0.44065449327226258</v>
      </c>
      <c r="FA4" s="14">
        <f t="shared" ref="FA4:FA14" si="45">EY4/EU4</f>
        <v>0.22670614898139704</v>
      </c>
      <c r="FB4" s="10">
        <f>SUM(ED4:EG4)</f>
        <v>40.266298509052994</v>
      </c>
    </row>
    <row r="5" spans="1:158" x14ac:dyDescent="0.15">
      <c r="A5" s="7" t="str">
        <f t="shared" si="11"/>
        <v>2005_3</v>
      </c>
      <c r="B5" s="30">
        <v>2005</v>
      </c>
      <c r="C5" s="5" t="s">
        <v>23</v>
      </c>
      <c r="D5" s="11">
        <v>23.425444805150207</v>
      </c>
      <c r="E5" s="11">
        <v>25.71901721161727</v>
      </c>
      <c r="F5" s="11">
        <v>41.572096941835817</v>
      </c>
      <c r="G5" s="11">
        <v>24.532081373998963</v>
      </c>
      <c r="H5" s="11">
        <v>18.56164085000389</v>
      </c>
      <c r="I5" s="11">
        <v>21.54686111200143</v>
      </c>
      <c r="J5" s="11">
        <v>28.917299071882198</v>
      </c>
      <c r="K5" s="11">
        <v>25.234863712745938</v>
      </c>
      <c r="L5" s="11">
        <v>31.338066566238858</v>
      </c>
      <c r="M5" s="11">
        <v>45.035903461096439</v>
      </c>
      <c r="N5" s="11">
        <v>62.969493999514654</v>
      </c>
      <c r="O5" s="11">
        <v>54.699913827444263</v>
      </c>
      <c r="P5" s="11">
        <v>40.517923433715353</v>
      </c>
      <c r="Q5" s="11">
        <v>49.542749005261015</v>
      </c>
      <c r="R5" s="11">
        <v>62.133949331269832</v>
      </c>
      <c r="S5" s="11">
        <v>64.778912907110382</v>
      </c>
      <c r="T5" s="11">
        <v>43.295649339053753</v>
      </c>
      <c r="U5" s="11">
        <v>22.100179396425808</v>
      </c>
      <c r="V5" s="11">
        <v>9.3762167409191441</v>
      </c>
      <c r="W5" s="11">
        <v>4.7946391695932675</v>
      </c>
      <c r="X5" s="11">
        <v>1.2505333815631023</v>
      </c>
      <c r="Y5" s="11">
        <f>SUM(D5:X5)</f>
        <v>701.34343563844152</v>
      </c>
      <c r="Z5" s="11">
        <f t="shared" si="12"/>
        <v>40.374668492071848</v>
      </c>
      <c r="AA5" s="11">
        <f t="shared" si="13"/>
        <v>21.535255051534119</v>
      </c>
      <c r="AB5" s="11">
        <f t="shared" si="0"/>
        <v>257.27282927119626</v>
      </c>
      <c r="AC5" s="11">
        <f t="shared" si="14"/>
        <v>145.59613093466547</v>
      </c>
      <c r="AD5" s="15">
        <f t="shared" si="15"/>
        <v>0.36682859808475665</v>
      </c>
      <c r="AE5" s="15">
        <f t="shared" si="16"/>
        <v>0.20759605570718365</v>
      </c>
      <c r="AF5" s="11">
        <f t="shared" si="17"/>
        <v>94.260664746633452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0.71044524805894105</v>
      </c>
      <c r="AN5" s="6">
        <f t="shared" si="1"/>
        <v>0.98514600799407348</v>
      </c>
      <c r="AO5" s="6">
        <f t="shared" si="1"/>
        <v>0.70160636589814007</v>
      </c>
      <c r="AP5" s="6">
        <f t="shared" si="1"/>
        <v>0.49349825758440774</v>
      </c>
      <c r="AQ5" s="6">
        <f t="shared" si="1"/>
        <v>1.0452338797053196</v>
      </c>
      <c r="AR5" s="6">
        <f t="shared" si="1"/>
        <v>0.91994508304502476</v>
      </c>
      <c r="AS5" s="6">
        <f t="shared" si="1"/>
        <v>0.76642186700755743</v>
      </c>
      <c r="AT5" s="6">
        <f t="shared" si="1"/>
        <v>0.80532984319358136</v>
      </c>
      <c r="AU5" s="6">
        <f t="shared" si="1"/>
        <v>1.0909090909090908</v>
      </c>
      <c r="AV5" s="6">
        <f t="shared" si="1"/>
        <v>1.0043850724811707</v>
      </c>
      <c r="AW5" s="6">
        <f t="shared" si="1"/>
        <v>1.0963919854188267</v>
      </c>
      <c r="AX5" s="6">
        <f t="shared" si="1"/>
        <v>1.0906338270483196</v>
      </c>
      <c r="AY5" s="6">
        <f t="shared" si="1"/>
        <v>0.98511442081203615</v>
      </c>
      <c r="AZ5" s="6">
        <f t="shared" si="1"/>
        <v>0.98542106008398278</v>
      </c>
      <c r="BA5" s="6">
        <f t="shared" si="1"/>
        <v>0.79693511760878954</v>
      </c>
      <c r="BB5" s="6">
        <f t="shared" si="1"/>
        <v>0.90059405116074265</v>
      </c>
      <c r="BC5" s="6">
        <f t="shared" si="1"/>
        <v>0.66183292225662516</v>
      </c>
      <c r="BD5" s="6">
        <f t="shared" si="1"/>
        <v>0.43994871601175167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0.32656397238615265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11.339313433723042</v>
      </c>
      <c r="BL5" s="16">
        <f t="shared" ref="BL5:CE5" si="46">BL3+BL4</f>
        <v>13.166703366746994</v>
      </c>
      <c r="BM5" s="16">
        <f t="shared" si="46"/>
        <v>17.183499455874234</v>
      </c>
      <c r="BN5" s="16">
        <f t="shared" si="46"/>
        <v>15.288864104635088</v>
      </c>
      <c r="BO5" s="16">
        <f t="shared" si="46"/>
        <v>9.1556523193201045</v>
      </c>
      <c r="BP5" s="16">
        <f t="shared" si="46"/>
        <v>13.257037790782718</v>
      </c>
      <c r="BQ5" s="16">
        <f t="shared" si="46"/>
        <v>23.860460089910255</v>
      </c>
      <c r="BR5" s="16">
        <f t="shared" si="46"/>
        <v>15.05346394648075</v>
      </c>
      <c r="BS5" s="16">
        <f t="shared" si="46"/>
        <v>14.366792886712537</v>
      </c>
      <c r="BT5" s="16">
        <f t="shared" si="46"/>
        <v>23.307247093291153</v>
      </c>
      <c r="BU5" s="16">
        <f t="shared" si="46"/>
        <v>26.723149512402173</v>
      </c>
      <c r="BV5" s="16">
        <f t="shared" si="46"/>
        <v>29.466672881012293</v>
      </c>
      <c r="BW5" s="16">
        <f t="shared" si="46"/>
        <v>36.342409738650268</v>
      </c>
      <c r="BX5" s="16">
        <f t="shared" si="46"/>
        <v>50.572302553246899</v>
      </c>
      <c r="BY5" s="16">
        <f t="shared" si="46"/>
        <v>59.873596082956517</v>
      </c>
      <c r="BZ5" s="16">
        <f t="shared" si="46"/>
        <v>46.670426874266909</v>
      </c>
      <c r="CA5" s="16">
        <f t="shared" si="46"/>
        <v>24.599587928186892</v>
      </c>
      <c r="CB5" s="16">
        <f t="shared" si="46"/>
        <v>16.661652142378614</v>
      </c>
      <c r="CC5" s="16">
        <f t="shared" si="46"/>
        <v>12.716835015090791</v>
      </c>
      <c r="CD5" s="16">
        <f t="shared" si="46"/>
        <v>1.6399439352112597</v>
      </c>
      <c r="CE5" s="16">
        <f t="shared" si="46"/>
        <v>1.521625282167043E-3</v>
      </c>
      <c r="CF5" s="11">
        <f>SUM(BK5:CE5)</f>
        <v>461.24713277616172</v>
      </c>
      <c r="CG5" s="11">
        <f t="shared" si="20"/>
        <v>18.210121693572738</v>
      </c>
      <c r="CH5" s="11">
        <f t="shared" si="21"/>
        <v>9.9311726032767105</v>
      </c>
      <c r="CI5" s="11">
        <f t="shared" si="3"/>
        <v>212.73586615662009</v>
      </c>
      <c r="CJ5" s="11">
        <f t="shared" si="22"/>
        <v>102.28996752041664</v>
      </c>
      <c r="CK5" s="15">
        <f t="shared" si="23"/>
        <v>0.46121883701737509</v>
      </c>
      <c r="CL5" s="15">
        <f t="shared" si="24"/>
        <v>0.22176824580946905</v>
      </c>
      <c r="CM5" s="11">
        <f t="shared" si="25"/>
        <v>61.326614146493824</v>
      </c>
      <c r="CO5" s="7" t="str">
        <f t="shared" si="26"/>
        <v>2025_3</v>
      </c>
      <c r="CP5" s="30">
        <f>CP4</f>
        <v>2025</v>
      </c>
      <c r="CQ5" s="5" t="s">
        <v>23</v>
      </c>
      <c r="CR5" s="16">
        <f>CR3+CR4</f>
        <v>13.339313433723042</v>
      </c>
      <c r="CS5" s="16">
        <f t="shared" ref="CS5" si="47">CS3+CS4</f>
        <v>13.166703366746994</v>
      </c>
      <c r="CT5" s="16">
        <f t="shared" ref="CT5" si="48">CT3+CT4</f>
        <v>19.183499455874234</v>
      </c>
      <c r="CU5" s="16">
        <f t="shared" ref="CU5" si="49">CU3+CU4</f>
        <v>15.288864104635088</v>
      </c>
      <c r="CV5" s="16">
        <f t="shared" ref="CV5" si="50">CV3+CV4</f>
        <v>9.1556523193201045</v>
      </c>
      <c r="CW5" s="16">
        <f t="shared" ref="CW5" si="51">CW3+CW4</f>
        <v>17.257037790782718</v>
      </c>
      <c r="CX5" s="16">
        <f t="shared" ref="CX5" si="52">CX3+CX4</f>
        <v>23.860460089910255</v>
      </c>
      <c r="CY5" s="16">
        <f t="shared" ref="CY5" si="53">CY3+CY4</f>
        <v>15.05346394648075</v>
      </c>
      <c r="CZ5" s="16">
        <f t="shared" ref="CZ5" si="54">CZ3+CZ4</f>
        <v>15.366792886712537</v>
      </c>
      <c r="DA5" s="16">
        <f t="shared" ref="DA5" si="55">DA3+DA4</f>
        <v>23.307247093291153</v>
      </c>
      <c r="DB5" s="16">
        <f t="shared" ref="DB5" si="56">DB3+DB4</f>
        <v>26.723149512402173</v>
      </c>
      <c r="DC5" s="16">
        <f t="shared" ref="DC5" si="57">DC3+DC4</f>
        <v>29.466672881012293</v>
      </c>
      <c r="DD5" s="16">
        <f t="shared" ref="DD5" si="58">DD3+DD4</f>
        <v>36.342409738650268</v>
      </c>
      <c r="DE5" s="16">
        <f t="shared" ref="DE5" si="59">DE3+DE4</f>
        <v>50.572302553246899</v>
      </c>
      <c r="DF5" s="16">
        <f t="shared" ref="DF5" si="60">DF3+DF4</f>
        <v>59.873596082956517</v>
      </c>
      <c r="DG5" s="16">
        <f t="shared" ref="DG5" si="61">DG3+DG4</f>
        <v>46.670426874266909</v>
      </c>
      <c r="DH5" s="16">
        <f t="shared" ref="DH5" si="62">DH3+DH4</f>
        <v>24.599587928186892</v>
      </c>
      <c r="DI5" s="16">
        <f t="shared" ref="DI5" si="63">DI3+DI4</f>
        <v>16.661652142378614</v>
      </c>
      <c r="DJ5" s="16">
        <f t="shared" ref="DJ5" si="64">DJ3+DJ4</f>
        <v>12.716835015090791</v>
      </c>
      <c r="DK5" s="16">
        <f t="shared" ref="DK5" si="65">DK3+DK4</f>
        <v>1.6399439352112597</v>
      </c>
      <c r="DL5" s="16">
        <f t="shared" ref="DL5" si="66">DL3+DL4</f>
        <v>1.521625282167043E-3</v>
      </c>
      <c r="DM5" s="11">
        <f>SUM(CR5:DL5)</f>
        <v>470.24713277616172</v>
      </c>
      <c r="DN5" s="11">
        <f t="shared" si="34"/>
        <v>19.410121693572734</v>
      </c>
      <c r="DO5" s="11">
        <f t="shared" si="35"/>
        <v>10.731172603276711</v>
      </c>
      <c r="DP5" s="11">
        <f t="shared" si="6"/>
        <v>212.73586615662009</v>
      </c>
      <c r="DQ5" s="11">
        <f t="shared" si="36"/>
        <v>102.28996752041664</v>
      </c>
      <c r="DR5" s="15">
        <f t="shared" si="37"/>
        <v>0.452391628420375</v>
      </c>
      <c r="DS5" s="15">
        <f t="shared" si="38"/>
        <v>0.21752385158955728</v>
      </c>
      <c r="DT5" s="11">
        <f>SUM(CV5:CY5)</f>
        <v>65.326614146493824</v>
      </c>
      <c r="DV5" s="312"/>
      <c r="DW5" s="313"/>
      <c r="DX5" s="30">
        <f>DX4</f>
        <v>2025</v>
      </c>
      <c r="DY5" s="5" t="s">
        <v>23</v>
      </c>
      <c r="DZ5" s="16">
        <f>DZ3+DZ4</f>
        <v>11.339313433723042</v>
      </c>
      <c r="EA5" s="16">
        <f t="shared" ref="EA5:ET5" si="67">EA3+EA4</f>
        <v>13.166703366746994</v>
      </c>
      <c r="EB5" s="16">
        <f t="shared" si="67"/>
        <v>17.183499455874234</v>
      </c>
      <c r="EC5" s="16">
        <f t="shared" si="67"/>
        <v>15.288864104635088</v>
      </c>
      <c r="ED5" s="16">
        <f t="shared" si="67"/>
        <v>9.1556523193201045</v>
      </c>
      <c r="EE5" s="16">
        <f t="shared" si="67"/>
        <v>25.257037790782714</v>
      </c>
      <c r="EF5" s="16">
        <f t="shared" si="67"/>
        <v>35.860460089910255</v>
      </c>
      <c r="EG5" s="16">
        <f t="shared" si="67"/>
        <v>27.05346394648075</v>
      </c>
      <c r="EH5" s="16">
        <f t="shared" si="67"/>
        <v>14.366792886712537</v>
      </c>
      <c r="EI5" s="16">
        <f t="shared" si="67"/>
        <v>23.307247093291153</v>
      </c>
      <c r="EJ5" s="16">
        <f t="shared" si="67"/>
        <v>26.723149512402173</v>
      </c>
      <c r="EK5" s="16">
        <f t="shared" si="67"/>
        <v>29.466672881012293</v>
      </c>
      <c r="EL5" s="16">
        <f t="shared" si="67"/>
        <v>36.342409738650268</v>
      </c>
      <c r="EM5" s="16">
        <f t="shared" si="67"/>
        <v>50.572302553246899</v>
      </c>
      <c r="EN5" s="16">
        <f t="shared" si="67"/>
        <v>59.873596082956517</v>
      </c>
      <c r="EO5" s="16">
        <f t="shared" si="67"/>
        <v>46.670426874266909</v>
      </c>
      <c r="EP5" s="16">
        <f t="shared" si="67"/>
        <v>24.599587928186892</v>
      </c>
      <c r="EQ5" s="16">
        <f t="shared" si="67"/>
        <v>16.661652142378614</v>
      </c>
      <c r="ER5" s="16">
        <f t="shared" si="67"/>
        <v>12.716835015090791</v>
      </c>
      <c r="ES5" s="16">
        <f t="shared" si="67"/>
        <v>1.6399439352112597</v>
      </c>
      <c r="ET5" s="16">
        <f t="shared" si="67"/>
        <v>1.521625282167043E-3</v>
      </c>
      <c r="EU5" s="11">
        <f>SUM(DZ5:ET5)</f>
        <v>497.24713277616172</v>
      </c>
      <c r="EV5" s="11">
        <f t="shared" si="41"/>
        <v>18.210121693572738</v>
      </c>
      <c r="EW5" s="11">
        <f t="shared" si="42"/>
        <v>9.9311726032767105</v>
      </c>
      <c r="EX5" s="11">
        <f t="shared" si="10"/>
        <v>212.73586615662009</v>
      </c>
      <c r="EY5" s="11">
        <f t="shared" si="43"/>
        <v>102.28996752041664</v>
      </c>
      <c r="EZ5" s="15">
        <f t="shared" si="44"/>
        <v>0.42782723546117302</v>
      </c>
      <c r="FA5" s="15">
        <f t="shared" si="45"/>
        <v>0.20571253362352312</v>
      </c>
      <c r="FB5" s="11">
        <f>SUM(ED5:EG5)</f>
        <v>97.326614146493824</v>
      </c>
    </row>
    <row r="6" spans="1:158" x14ac:dyDescent="0.15">
      <c r="A6" s="7" t="str">
        <f t="shared" si="11"/>
        <v>2010_1</v>
      </c>
      <c r="B6" s="28">
        <v>2010</v>
      </c>
      <c r="C6" s="3" t="s">
        <v>21</v>
      </c>
      <c r="D6" s="9">
        <v>13.692269653249328</v>
      </c>
      <c r="E6" s="9">
        <v>13.968928795461517</v>
      </c>
      <c r="F6" s="9">
        <v>7.9181890026968986</v>
      </c>
      <c r="G6" s="9">
        <v>21.275769211397488</v>
      </c>
      <c r="H6" s="9">
        <v>4.5871448129341248</v>
      </c>
      <c r="I6" s="9">
        <v>12.165077129474035</v>
      </c>
      <c r="J6" s="9">
        <v>8.3387449576234332</v>
      </c>
      <c r="K6" s="9">
        <v>15.363358989738964</v>
      </c>
      <c r="L6" s="9">
        <v>12.234241915027084</v>
      </c>
      <c r="M6" s="9">
        <v>15.772780461448999</v>
      </c>
      <c r="N6" s="9">
        <v>25.229296471137687</v>
      </c>
      <c r="O6" s="9">
        <v>28.358413545849569</v>
      </c>
      <c r="P6" s="9">
        <v>32.525002403857158</v>
      </c>
      <c r="Q6" s="9">
        <v>18.976629563322177</v>
      </c>
      <c r="R6" s="9">
        <v>22.930156823062376</v>
      </c>
      <c r="S6" s="9">
        <v>25.160131685584641</v>
      </c>
      <c r="T6" s="9">
        <v>18.694403179501737</v>
      </c>
      <c r="U6" s="9">
        <v>8.6845688853886696</v>
      </c>
      <c r="V6" s="9">
        <v>3.4057762169240702</v>
      </c>
      <c r="W6" s="9">
        <v>6.9164785553047406E-2</v>
      </c>
      <c r="X6" s="9">
        <v>6.9164785553047406E-2</v>
      </c>
      <c r="Y6" s="9">
        <f t="shared" ref="Y6:Y11" si="68">SUM(D6:X6)</f>
        <v>309.4192132747861</v>
      </c>
      <c r="Z6" s="9">
        <f t="shared" si="12"/>
        <v>13.132270678895051</v>
      </c>
      <c r="AA6" s="9">
        <f t="shared" si="13"/>
        <v>7.4224294433582569</v>
      </c>
      <c r="AB6" s="9">
        <f t="shared" si="0"/>
        <v>97.989995924889755</v>
      </c>
      <c r="AC6" s="9">
        <f t="shared" si="14"/>
        <v>56.083209538505216</v>
      </c>
      <c r="AD6" s="13">
        <f t="shared" si="15"/>
        <v>0.31669008167850171</v>
      </c>
      <c r="AE6" s="13">
        <f t="shared" si="16"/>
        <v>0.18125315795661134</v>
      </c>
      <c r="AF6" s="9">
        <f t="shared" si="17"/>
        <v>40.454325889770558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1.1086089522635896</v>
      </c>
      <c r="AN6" s="193">
        <f t="shared" si="18"/>
        <v>0.50303018953325429</v>
      </c>
      <c r="AO6" s="193">
        <f t="shared" si="18"/>
        <v>0.68354841244167863</v>
      </c>
      <c r="AP6" s="193">
        <f t="shared" si="18"/>
        <v>0.41020376118427643</v>
      </c>
      <c r="AQ6" s="193">
        <f t="shared" si="18"/>
        <v>0.99204100090697322</v>
      </c>
      <c r="AR6" s="193">
        <f t="shared" si="18"/>
        <v>0.78180091830574128</v>
      </c>
      <c r="AS6" s="193">
        <f t="shared" si="18"/>
        <v>0.95507978035955565</v>
      </c>
      <c r="AT6" s="193">
        <f t="shared" si="18"/>
        <v>0.76036705818162265</v>
      </c>
      <c r="AU6" s="193">
        <f t="shared" si="18"/>
        <v>0.82978315927136936</v>
      </c>
      <c r="AV6" s="193">
        <f t="shared" si="18"/>
        <v>1.0768967433751704</v>
      </c>
      <c r="AW6" s="193">
        <f t="shared" si="18"/>
        <v>1.0178336806568549</v>
      </c>
      <c r="AX6" s="193">
        <f t="shared" si="18"/>
        <v>1.0693208084330814</v>
      </c>
      <c r="AY6" s="193">
        <f t="shared" si="18"/>
        <v>0.95480016003458335</v>
      </c>
      <c r="AZ6" s="193">
        <f t="shared" si="18"/>
        <v>0.99641946509081325</v>
      </c>
      <c r="BA6" s="193">
        <f t="shared" si="18"/>
        <v>0.89286009135920585</v>
      </c>
      <c r="BB6" s="193">
        <f t="shared" si="18"/>
        <v>0.8984476831171414</v>
      </c>
      <c r="BC6" s="193">
        <f t="shared" si="18"/>
        <v>0.65297596554856285</v>
      </c>
      <c r="BD6" s="193">
        <f t="shared" si="18"/>
        <v>0.4505350260407413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0.22095080622362312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3.2778464769725564</v>
      </c>
      <c r="BL6" s="9">
        <f>IF(管理者入力シート!$B$14=1,BK3*管理者用人口入力シート!AM$3,IF(管理者入力シート!$B$14=2,BK3*管理者用人口入力シート!AM$7))</f>
        <v>4.3785592068095101</v>
      </c>
      <c r="BM6" s="9">
        <f>IF(管理者入力シート!$B$14=1,BL3*管理者用人口入力シート!AN$3,IF(管理者入力シート!$B$14=2,BL3*管理者用人口入力シート!AN$7))</f>
        <v>5.6795837822382804</v>
      </c>
      <c r="BN6" s="9">
        <f>IF(管理者入力シート!$B$14=1,BM3*管理者用人口入力シート!AO$3,IF(管理者入力シート!$B$14=2,BM3*管理者用人口入力シート!AO$7))</f>
        <v>8.4305635460566553</v>
      </c>
      <c r="BO6" s="9">
        <f>IF(管理者入力シート!$B$14=1,BN3*管理者用人口入力シート!AP$3,IF(管理者入力シート!$B$14=2,BN3*管理者用人口入力シート!AP$7))</f>
        <v>6.361610731362382</v>
      </c>
      <c r="BP6" s="9">
        <f>IF(管理者入力シート!$B$14=1,BO3*管理者用人口入力シート!AQ$3,IF(管理者入力シート!$B$14=2,BO3*管理者用人口入力シート!AQ$7))</f>
        <v>9.2702434675886867</v>
      </c>
      <c r="BQ6" s="9">
        <f>IF(管理者入力シート!$B$14=1,BP3*管理者用人口入力シート!AR$3,IF(管理者入力シート!$B$14=2,BP3*管理者用人口入力シート!AR$7))</f>
        <v>12.681044319166867</v>
      </c>
      <c r="BR6" s="9">
        <f>IF(管理者入力シート!$B$14=1,BQ3*管理者用人口入力シート!AS$3,IF(管理者入力シート!$B$14=2,BQ3*管理者用人口入力シート!AS$7))</f>
        <v>10.337314764522032</v>
      </c>
      <c r="BS6" s="9">
        <f>IF(管理者入力シート!$B$14=1,BR3*管理者用人口入力シート!AT$3,IF(管理者入力シート!$B$14=2,BR3*管理者用人口入力シート!AT$7))</f>
        <v>5.3318046899415519</v>
      </c>
      <c r="BT6" s="9">
        <f>IF(管理者入力シート!$B$14=1,BS3*管理者用人口入力シート!AU$3,IF(管理者入力シート!$B$14=2,BS3*管理者用人口入力シート!AU$7))</f>
        <v>8.876714236576893</v>
      </c>
      <c r="BU6" s="9">
        <f>IF(管理者入力シート!$B$14=1,BT3*管理者用人口入力シート!AV$3,IF(管理者入力シート!$B$14=2,BT3*管理者用人口入力シート!AV$7))</f>
        <v>12.089621859929979</v>
      </c>
      <c r="BV6" s="9">
        <f>IF(管理者入力シート!$B$14=1,BU3*管理者用人口入力シート!AW$3,IF(管理者入力シート!$B$14=2,BU3*管理者用人口入力シート!AW$7))</f>
        <v>14.217171728534286</v>
      </c>
      <c r="BW6" s="9">
        <f>IF(管理者入力シート!$B$14=1,BV3*管理者用人口入力シート!AX$3,IF(管理者入力シート!$B$14=2,BV3*管理者用人口入力シート!AX$7))</f>
        <v>13.004220135521741</v>
      </c>
      <c r="BX6" s="9">
        <f>IF(管理者入力シート!$B$14=1,BW3*管理者用人口入力シート!AY$3,IF(管理者入力シート!$B$14=2,BW3*管理者用人口入力シート!AY$7))</f>
        <v>17.17978374387485</v>
      </c>
      <c r="BY6" s="9">
        <f>IF(管理者入力シート!$B$14=1,BX3*管理者用人口入力シート!AZ$3,IF(管理者入力シート!$B$14=2,BX3*管理者用人口入力シート!AZ$7))</f>
        <v>27.280245361031739</v>
      </c>
      <c r="BZ6" s="9">
        <f>IF(管理者入力シート!$B$14=1,BY3*管理者用人口入力シート!BA$3,IF(管理者入力シート!$B$14=2,BY3*管理者用人口入力シート!BA$7))</f>
        <v>26.005612358617391</v>
      </c>
      <c r="CA6" s="9">
        <f>IF(管理者入力シート!$B$14=1,BZ3*管理者用人口入力シート!BB$3,IF(管理者入力シート!$B$14=2,BZ3*管理者用人口入力シート!BB$7))</f>
        <v>17.241936281635017</v>
      </c>
      <c r="CB6" s="9">
        <f>IF(管理者入力シート!$B$14=1,CA3*管理者用人口入力シート!BC$3,IF(管理者入力シート!$B$14=2,CA3*管理者用人口入力シート!BC$7))</f>
        <v>7.1452270964852547</v>
      </c>
      <c r="CC6" s="9">
        <f>IF(管理者入力シート!$B$14=1,CB3*管理者用人口入力シート!BD$3,IF(管理者入力シート!$B$14=2,CB3*管理者用人口入力シート!BD$7))</f>
        <v>2.6318404943151843</v>
      </c>
      <c r="CD6" s="9">
        <f>IF(管理者入力シート!$B$14=1,CC3*管理者用人口入力シート!BE$3,IF(管理者入力シート!$B$14=2,CC3*管理者用人口入力シート!BE$7))</f>
        <v>9.7729600526270693E-2</v>
      </c>
      <c r="CE6" s="9">
        <f>IF(管理者入力シート!$B$14=1,CD3*管理者用人口入力シート!BF$3,IF(管理者入力シート!$B$14=2,CD3*管理者用人口入力シート!BF$7))</f>
        <v>1.0212945089583433E-4</v>
      </c>
      <c r="CF6" s="9">
        <f t="shared" si="2"/>
        <v>211.51877601115802</v>
      </c>
      <c r="CG6" s="9">
        <f t="shared" si="20"/>
        <v>6.0348857934286748</v>
      </c>
      <c r="CH6" s="9">
        <f t="shared" si="21"/>
        <v>3.957946222106643</v>
      </c>
      <c r="CI6" s="9">
        <f t="shared" si="3"/>
        <v>97.582477065936601</v>
      </c>
      <c r="CJ6" s="9">
        <f t="shared" si="22"/>
        <v>53.122447961030012</v>
      </c>
      <c r="CK6" s="13">
        <f t="shared" si="23"/>
        <v>0.46134191444446015</v>
      </c>
      <c r="CL6" s="13">
        <f t="shared" si="24"/>
        <v>0.2511476709671755</v>
      </c>
      <c r="CM6" s="9">
        <f t="shared" si="25"/>
        <v>38.650213282639967</v>
      </c>
      <c r="CO6" s="7" t="str">
        <f t="shared" si="26"/>
        <v>2030_1</v>
      </c>
      <c r="CP6" s="28">
        <f>管理者入力シート!B9</f>
        <v>2030</v>
      </c>
      <c r="CQ6" s="3" t="s">
        <v>21</v>
      </c>
      <c r="CR6" s="9">
        <f>DT7*$AK$13+将来予測シート②!$G17</f>
        <v>5.19208258415469</v>
      </c>
      <c r="CS6" s="9">
        <f>IF(管理者入力シート!$B$14=1,CR3*管理者用人口入力シート!AM$3,IF(管理者入力シート!$B$14=2,CR3*管理者用人口入力シート!AM$7))+将来予測シート②!$G18</f>
        <v>5.2326401618501226</v>
      </c>
      <c r="CT6" s="9">
        <f>IF(管理者入力シート!$B$14=1,CS3*管理者用人口入力シート!AN$3,IF(管理者入力シート!$B$14=2,CS3*管理者用人口入力シート!AN$7))+将来予測シート②!$G19</f>
        <v>6.6795837822382804</v>
      </c>
      <c r="CU6" s="9">
        <f>IF(管理者入力シート!$B$14=1,CT3*管理者用人口入力シート!AO$3,IF(管理者入力シート!$B$14=2,CT3*管理者用人口入力シート!AO$7))+将来予測シート②!$G20</f>
        <v>9.0921853099742087</v>
      </c>
      <c r="CV6" s="9">
        <f>IF(管理者入力シート!$B$14=1,CU3*管理者用人口入力シート!AP$3,IF(管理者入力シート!$B$14=2,CU3*管理者用人口入力シート!AP$7))+将来予測シート②!$G21</f>
        <v>6.361610731362382</v>
      </c>
      <c r="CW6" s="9">
        <f>IF(管理者入力シート!$B$14=1,CV3*管理者用人口入力シート!AQ$3,IF(管理者入力シート!$B$14=2,CV3*管理者用人口入力シート!AQ$7))+将来予測シート②!$G22</f>
        <v>11.270243467588687</v>
      </c>
      <c r="CX6" s="9">
        <f>IF(管理者入力シート!$B$14=1,CW3*管理者用人口入力シート!AR$3,IF(管理者入力シート!$B$14=2,CW3*管理者用人口入力シート!AR$7))+将来予測シート②!$G23</f>
        <v>14.936734627213704</v>
      </c>
      <c r="CY6" s="9">
        <f>IF(管理者入力シート!$B$14=1,CX3*管理者用人口入力シート!AS$3,IF(管理者入力シート!$B$14=2,CX3*管理者用人口入力シート!AS$7))+将来予測シート②!$G24</f>
        <v>10.337314764522032</v>
      </c>
      <c r="CZ6" s="9">
        <f>IF(管理者入力シート!$B$14=1,CY3*管理者用人口入力シート!AT$3,IF(管理者入力シート!$B$14=2,CY3*管理者用人口入力シート!AT$7))+将来予測シート②!$G25</f>
        <v>5.3318046899415519</v>
      </c>
      <c r="DA6" s="9">
        <f>IF(管理者入力シート!$B$14=1,CZ3*管理者用人口入力シート!AU$3,IF(管理者入力シート!$B$14=2,CZ3*管理者用人口入力シート!AU$7))+将来予測シート②!$G26</f>
        <v>8.876714236576893</v>
      </c>
      <c r="DB6" s="9">
        <f>IF(管理者入力シート!$B$14=1,DA3*管理者用人口入力シート!AV$3,IF(管理者入力シート!$B$14=2,DA3*管理者用人口入力シート!AV$7))+将来予測シート②!$G27</f>
        <v>12.089621859929979</v>
      </c>
      <c r="DC6" s="9">
        <f>IF(管理者入力シート!$B$14=1,DB3*管理者用人口入力シート!AW$3,IF(管理者入力シート!$B$14=2,DB3*管理者用人口入力シート!AW$7))+将来予測シート②!$G28</f>
        <v>14.217171728534286</v>
      </c>
      <c r="DD6" s="9">
        <f>IF(管理者入力シート!$B$14=1,DC3*管理者用人口入力シート!AX$3,IF(管理者入力シート!$B$14=2,DC3*管理者用人口入力シート!AX$7))+将来予測シート②!$G29</f>
        <v>13.004220135521741</v>
      </c>
      <c r="DE6" s="9">
        <f>IF(管理者入力シート!$B$14=1,DD3*管理者用人口入力シート!AY$3,IF(管理者入力シート!$B$14=2,DD3*管理者用人口入力シート!AY$7))</f>
        <v>17.17978374387485</v>
      </c>
      <c r="DF6" s="9">
        <f>IF(管理者入力シート!$B$14=1,DE3*管理者用人口入力シート!AZ$3,IF(管理者入力シート!$B$14=2,DE3*管理者用人口入力シート!AZ$7))</f>
        <v>27.280245361031739</v>
      </c>
      <c r="DG6" s="9">
        <f>IF(管理者入力シート!$B$14=1,DF3*管理者用人口入力シート!BA$3,IF(管理者入力シート!$B$14=2,DF3*管理者用人口入力シート!BA$7))</f>
        <v>26.005612358617391</v>
      </c>
      <c r="DH6" s="9">
        <f>IF(管理者入力シート!$B$14=1,DG3*管理者用人口入力シート!BB$3,IF(管理者入力シート!$B$14=2,DG3*管理者用人口入力シート!BB$7))</f>
        <v>17.241936281635017</v>
      </c>
      <c r="DI6" s="9">
        <f>IF(管理者入力シート!$B$14=1,DH3*管理者用人口入力シート!BC$3,IF(管理者入力シート!$B$14=2,DH3*管理者用人口入力シート!BC$7))</f>
        <v>7.1452270964852547</v>
      </c>
      <c r="DJ6" s="9">
        <f>IF(管理者入力シート!$B$14=1,DI3*管理者用人口入力シート!BD$3,IF(管理者入力シート!$B$14=2,DI3*管理者用人口入力シート!BD$7))</f>
        <v>2.6318404943151843</v>
      </c>
      <c r="DK6" s="9">
        <f>IF(管理者入力シート!$B$14=1,DJ3*管理者用人口入力シート!BE$3,IF(管理者入力シート!$B$14=2,DJ3*管理者用人口入力シート!BE$7))</f>
        <v>9.7729600526270693E-2</v>
      </c>
      <c r="DL6" s="9">
        <f>IF(管理者入力シート!$B$14=1,DK3*管理者用人口入力シート!BF$3,IF(管理者入力シート!$B$14=2,DK3*管理者用人口入力シート!BF$7))</f>
        <v>1.0212945089583433E-4</v>
      </c>
      <c r="DM6" s="9">
        <f t="shared" ref="DM6:DM14" si="69">SUM(CR6:DL6)</f>
        <v>220.20440514534516</v>
      </c>
      <c r="DN6" s="9">
        <f t="shared" si="34"/>
        <v>7.1473343664530411</v>
      </c>
      <c r="DO6" s="9">
        <f t="shared" si="35"/>
        <v>4.4902705748901539</v>
      </c>
      <c r="DP6" s="9">
        <f t="shared" si="6"/>
        <v>97.582477065936601</v>
      </c>
      <c r="DQ6" s="9">
        <f t="shared" si="36"/>
        <v>53.122447961030012</v>
      </c>
      <c r="DR6" s="13">
        <f t="shared" si="37"/>
        <v>0.44314498159801852</v>
      </c>
      <c r="DS6" s="13">
        <f t="shared" si="38"/>
        <v>0.2412415315940965</v>
      </c>
      <c r="DT6" s="9">
        <f t="shared" ref="DT6:DT14" si="70">SUM(CV6:CY6)</f>
        <v>42.905903590686805</v>
      </c>
      <c r="DV6" s="7" t="s">
        <v>400</v>
      </c>
      <c r="DX6" s="28">
        <f>管理者入力シート!B9</f>
        <v>2030</v>
      </c>
      <c r="DY6" s="3" t="s">
        <v>21</v>
      </c>
      <c r="DZ6" s="9">
        <f>FB7*$AK$13</f>
        <v>10.152768016166926</v>
      </c>
      <c r="EA6" s="129">
        <f>IF(管理者入力シート!$B$14=1,DZ3*管理者用人口入力シート!AM$3,IF(管理者入力シート!$B$14=2,DZ3*管理者用人口入力シート!AM$7))</f>
        <v>4.3785592068095101</v>
      </c>
      <c r="EB6" s="9">
        <f>IF(管理者入力シート!$B$14=1,EA3*管理者用人口入力シート!AN$3,IF(管理者入力シート!$B$14=2,EA3*管理者用人口入力シート!AN$7))</f>
        <v>5.6795837822382804</v>
      </c>
      <c r="EC6" s="9">
        <f>IF(管理者入力シート!$B$14=1,EB3*管理者用人口入力シート!AO$3,IF(管理者入力シート!$B$14=2,EB3*管理者用人口入力シート!AO$7))</f>
        <v>8.4305635460566553</v>
      </c>
      <c r="ED6" s="9">
        <f>IF(管理者入力シート!$B$14=1,EC3*管理者用人口入力シート!AP$3,IF(管理者入力シート!$B$14=2,EC3*管理者用人口入力シート!AP$7))</f>
        <v>6.361610731362382</v>
      </c>
      <c r="EE6" s="9">
        <f>IF(管理者入力シート!$B$14=1,ED3*管理者用人口入力シート!AQ$3,IF(管理者入力シート!$B$14=2,ED3*管理者用人口入力シート!AQ$7))+DX1</f>
        <v>15.270243467588687</v>
      </c>
      <c r="EF6" s="9">
        <f>IF(管理者入力シート!$B$14=1,EE3*管理者用人口入力シート!AR$3,IF(管理者入力シート!$B$14=2,EE3*管理者用人口入力シート!AR$7))+DX1</f>
        <v>25.448115243307377</v>
      </c>
      <c r="EG6" s="9">
        <f>IF(管理者入力シート!$B$14=1,EF3*管理者用人口入力シート!AS$3,IF(管理者入力シート!$B$14=2,EF3*管理者用人口入力シート!AS$7))+DX1</f>
        <v>20.356056518948819</v>
      </c>
      <c r="EH6" s="9">
        <f>IF(管理者入力シート!$B$14=1,EG3*管理者用人口入力シート!AT$3,IF(管理者入力シート!$B$14=2,EG3*管理者用人口入力シート!AT$7))</f>
        <v>12.536135583658011</v>
      </c>
      <c r="EI6" s="9">
        <f>IF(管理者入力シート!$B$14=1,EH3*管理者用人口入力シート!AU$3,IF(管理者入力シート!$B$14=2,EH3*管理者用人口入力シート!AU$7))</f>
        <v>8.876714236576893</v>
      </c>
      <c r="EJ6" s="9">
        <f>IF(管理者入力シート!$B$14=1,EI3*管理者用人口入力シート!AV$3,IF(管理者入力シート!$B$14=2,EI3*管理者用人口入力シート!AV$7))</f>
        <v>12.089621859929979</v>
      </c>
      <c r="EK6" s="9">
        <f>IF(管理者入力シート!$B$14=1,EJ3*管理者用人口入力シート!AW$3,IF(管理者入力シート!$B$14=2,EJ3*管理者用人口入力シート!AW$7))</f>
        <v>14.217171728534286</v>
      </c>
      <c r="EL6" s="9">
        <f>IF(管理者入力シート!$B$14=1,EK3*管理者用人口入力シート!AX$3,IF(管理者入力シート!$B$14=2,EK3*管理者用人口入力シート!AX$7))</f>
        <v>13.004220135521741</v>
      </c>
      <c r="EM6" s="9">
        <f>IF(管理者入力シート!$B$14=1,EL3*管理者用人口入力シート!AY$3,IF(管理者入力シート!$B$14=2,EL3*管理者用人口入力シート!AY$7))</f>
        <v>17.17978374387485</v>
      </c>
      <c r="EN6" s="9">
        <f>IF(管理者入力シート!$B$14=1,EM3*管理者用人口入力シート!AZ$3,IF(管理者入力シート!$B$14=2,EM3*管理者用人口入力シート!AZ$7))</f>
        <v>27.280245361031739</v>
      </c>
      <c r="EO6" s="9">
        <f>IF(管理者入力シート!$B$14=1,EN3*管理者用人口入力シート!BA$3,IF(管理者入力シート!$B$14=2,EN3*管理者用人口入力シート!BA$7))</f>
        <v>26.005612358617391</v>
      </c>
      <c r="EP6" s="9">
        <f>IF(管理者入力シート!$B$14=1,EO3*管理者用人口入力シート!BB$3,IF(管理者入力シート!$B$14=2,EO3*管理者用人口入力シート!BB$7))</f>
        <v>17.241936281635017</v>
      </c>
      <c r="EQ6" s="9">
        <f>IF(管理者入力シート!$B$14=1,EP3*管理者用人口入力シート!BC$3,IF(管理者入力シート!$B$14=2,EP3*管理者用人口入力シート!BC$7))</f>
        <v>7.1452270964852547</v>
      </c>
      <c r="ER6" s="9">
        <f>IF(管理者入力シート!$B$14=1,EQ3*管理者用人口入力シート!BD$3,IF(管理者入力シート!$B$14=2,EQ3*管理者用人口入力シート!BD$7))</f>
        <v>2.6318404943151843</v>
      </c>
      <c r="ES6" s="9">
        <f>IF(管理者入力シート!$B$14=1,ER3*管理者用人口入力シート!BE$3,IF(管理者入力シート!$B$14=2,ER3*管理者用人口入力シート!BE$7))</f>
        <v>9.7729600526270693E-2</v>
      </c>
      <c r="ET6" s="9">
        <f>IF(管理者入力シート!$B$14=1,ES3*管理者用人口入力シート!BF$3,IF(管理者入力シート!$B$14=2,ES3*管理者用人口入力シート!BF$7))</f>
        <v>1.0212945089583433E-4</v>
      </c>
      <c r="EU6" s="9">
        <f t="shared" ref="EU6:EU14" si="71">SUM(DZ6:ET6)</f>
        <v>254.38384112263614</v>
      </c>
      <c r="EV6" s="9">
        <f t="shared" si="41"/>
        <v>6.0348857934286748</v>
      </c>
      <c r="EW6" s="9">
        <f t="shared" si="42"/>
        <v>3.957946222106643</v>
      </c>
      <c r="EX6" s="9">
        <f t="shared" si="10"/>
        <v>97.582477065936601</v>
      </c>
      <c r="EY6" s="9">
        <f t="shared" si="43"/>
        <v>53.122447961030012</v>
      </c>
      <c r="EZ6" s="13">
        <f t="shared" si="44"/>
        <v>0.38360328484423262</v>
      </c>
      <c r="FA6" s="13">
        <f t="shared" si="45"/>
        <v>0.20882791818297988</v>
      </c>
      <c r="FB6" s="9">
        <f t="shared" ref="FB6:FB14" si="72">SUM(ED6:EG6)</f>
        <v>67.436025961207264</v>
      </c>
    </row>
    <row r="7" spans="1:158" x14ac:dyDescent="0.15">
      <c r="A7" s="7" t="str">
        <f t="shared" si="11"/>
        <v>2010_2</v>
      </c>
      <c r="B7" s="29">
        <v>2010</v>
      </c>
      <c r="C7" s="4" t="s">
        <v>22</v>
      </c>
      <c r="D7" s="10">
        <v>8.9667952692091077</v>
      </c>
      <c r="E7" s="10">
        <v>10.493987792984401</v>
      </c>
      <c r="F7" s="10">
        <v>12.510901057239273</v>
      </c>
      <c r="G7" s="10">
        <v>10.845378962357886</v>
      </c>
      <c r="H7" s="10">
        <v>8.6901361269969186</v>
      </c>
      <c r="I7" s="10">
        <v>9.2434544114212969</v>
      </c>
      <c r="J7" s="10">
        <v>12.441736271686226</v>
      </c>
      <c r="K7" s="10">
        <v>16.544727585749019</v>
      </c>
      <c r="L7" s="10">
        <v>16.75778918401641</v>
      </c>
      <c r="M7" s="10">
        <v>16.262501201928579</v>
      </c>
      <c r="N7" s="10">
        <v>19.391618276640461</v>
      </c>
      <c r="O7" s="10">
        <v>30.093100426284003</v>
      </c>
      <c r="P7" s="10">
        <v>27.666765690319096</v>
      </c>
      <c r="Q7" s="10">
        <v>19.316886249479165</v>
      </c>
      <c r="R7" s="10">
        <v>28.560340660900462</v>
      </c>
      <c r="S7" s="10">
        <v>29.39588532914528</v>
      </c>
      <c r="T7" s="10">
        <v>30.853913067367525</v>
      </c>
      <c r="U7" s="10">
        <v>22.653497680850187</v>
      </c>
      <c r="V7" s="10">
        <v>8.4770745287295277</v>
      </c>
      <c r="W7" s="10">
        <v>2.708561119785347</v>
      </c>
      <c r="X7" s="10">
        <v>0.20749435665914223</v>
      </c>
      <c r="Y7" s="10">
        <f t="shared" si="68"/>
        <v>342.08254524974933</v>
      </c>
      <c r="Z7" s="10">
        <f t="shared" si="12"/>
        <v>13.802933310134204</v>
      </c>
      <c r="AA7" s="10">
        <f t="shared" si="13"/>
        <v>7.1734362153672873</v>
      </c>
      <c r="AB7" s="10">
        <f t="shared" si="0"/>
        <v>142.17365299291663</v>
      </c>
      <c r="AC7" s="10">
        <f t="shared" si="14"/>
        <v>94.29642608253701</v>
      </c>
      <c r="AD7" s="14">
        <f t="shared" si="15"/>
        <v>0.41561212335203418</v>
      </c>
      <c r="AE7" s="14">
        <f t="shared" si="16"/>
        <v>0.27565401214403562</v>
      </c>
      <c r="AF7" s="10">
        <f t="shared" si="17"/>
        <v>46.920054395853455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0.85408095504061243</v>
      </c>
      <c r="AN7" s="48">
        <f t="shared" si="73"/>
        <v>1.0259843370722306</v>
      </c>
      <c r="AO7" s="48">
        <f t="shared" si="73"/>
        <v>0.66162176391755489</v>
      </c>
      <c r="AP7" s="48">
        <f t="shared" si="73"/>
        <v>0.92506104149312507</v>
      </c>
      <c r="AQ7" s="48">
        <f t="shared" si="73"/>
        <v>1.1671616220427219</v>
      </c>
      <c r="AR7" s="48">
        <f t="shared" si="73"/>
        <v>1.1278451540234185</v>
      </c>
      <c r="AS7" s="48">
        <f t="shared" si="73"/>
        <v>0.66979029240446386</v>
      </c>
      <c r="AT7" s="48">
        <f t="shared" si="73"/>
        <v>1.2007218156194097</v>
      </c>
      <c r="AU7" s="48">
        <f t="shared" si="73"/>
        <v>1.1285563743023495</v>
      </c>
      <c r="AV7" s="48">
        <f t="shared" si="73"/>
        <v>0.9362888926620111</v>
      </c>
      <c r="AW7" s="48">
        <f t="shared" si="73"/>
        <v>1.0512001421031827</v>
      </c>
      <c r="AX7" s="48">
        <f t="shared" si="73"/>
        <v>1.0619737546283792</v>
      </c>
      <c r="AY7" s="48">
        <f t="shared" si="73"/>
        <v>1.0131889188090211</v>
      </c>
      <c r="AZ7" s="48">
        <f t="shared" si="73"/>
        <v>0.94132207688953373</v>
      </c>
      <c r="BA7" s="48">
        <f t="shared" si="73"/>
        <v>0.8571834143118604</v>
      </c>
      <c r="BB7" s="48">
        <f t="shared" si="73"/>
        <v>0.69815783068401072</v>
      </c>
      <c r="BC7" s="48">
        <f t="shared" si="73"/>
        <v>0.59360417891323491</v>
      </c>
      <c r="BD7" s="48">
        <f t="shared" si="73"/>
        <v>0.44828527358673975</v>
      </c>
      <c r="BE7" s="48">
        <f t="shared" si="73"/>
        <v>1.8071081107287206E-2</v>
      </c>
      <c r="BF7" s="48">
        <f t="shared" si="73"/>
        <v>1E-3</v>
      </c>
      <c r="BH7" s="7" t="str">
        <f t="shared" si="19"/>
        <v>2030_2</v>
      </c>
      <c r="BI7" s="29">
        <f>BI6</f>
        <v>2030</v>
      </c>
      <c r="BJ7" s="4" t="s">
        <v>22</v>
      </c>
      <c r="BK7" s="10">
        <f>CM7*$AK$14</f>
        <v>3.9722398861959922</v>
      </c>
      <c r="BL7" s="10">
        <f>IF(管理者入力シート!$B$14=1,BK4*管理者用人口入力シート!AM$4,IF(管理者入力シート!$B$14=2,BK4*管理者用人口入力シート!AM$8))</f>
        <v>6.0357986894227498</v>
      </c>
      <c r="BM7" s="10">
        <f>IF(管理者入力シート!$B$14=1,BL4*管理者用人口入力シート!AN$4,IF(管理者入力シート!$B$14=2,BL4*管理者用人口入力シート!AN$8))</f>
        <v>5.6711521608335786</v>
      </c>
      <c r="BN7" s="10">
        <f>IF(管理者入力シート!$B$14=1,BM4*管理者用人口入力シート!AO$4,IF(管理者入力シート!$B$14=2,BM4*管理者用人口入力シート!AO$8))</f>
        <v>3.4228803323452732</v>
      </c>
      <c r="BO7" s="10">
        <f>IF(管理者入力シート!$B$14=1,BN4*管理者用人口入力シート!AP$4,IF(管理者入力シート!$B$14=2,BN4*管理者用人口入力シート!AP$8))</f>
        <v>2.2245794773308227</v>
      </c>
      <c r="BP7" s="10">
        <f>IF(管理者入力シート!$B$14=1,BO4*管理者用人口入力シート!AQ$4,IF(管理者入力シート!$B$14=2,BO4*管理者用人口入力シート!AQ$8))</f>
        <v>1.6752043376269041</v>
      </c>
      <c r="BQ7" s="10">
        <f>IF(管理者入力シート!$B$14=1,BP4*管理者用人口入力シート!AR$4,IF(管理者入力シート!$B$14=2,BP4*管理者用人口入力シート!AR$8))</f>
        <v>1.984002599777511</v>
      </c>
      <c r="BR7" s="10">
        <f>IF(管理者入力シート!$B$14=1,BQ4*管理者用人口入力シート!AS$4,IF(管理者入力シート!$B$14=2,BQ4*管理者用人口入力シート!AS$8))</f>
        <v>8.3527534006847937</v>
      </c>
      <c r="BS7" s="10">
        <f>IF(管理者入力シート!$B$14=1,BR4*管理者用人口入力シート!AT$4,IF(管理者入力シート!$B$14=2,BR4*管理者用人口入力シート!AT$8))</f>
        <v>9.2812956490887846</v>
      </c>
      <c r="BT7" s="10">
        <f>IF(管理者入力シート!$B$14=1,BS4*管理者用人口入力シート!AU$4,IF(管理者入力シート!$B$14=2,BS4*管理者用人口入力シート!AU$8))</f>
        <v>5.6542969354076282</v>
      </c>
      <c r="BU7" s="10">
        <f>IF(管理者入力シート!$B$14=1,BT4*管理者用人口入力シート!AV$4,IF(管理者入力シート!$B$14=2,BT4*管理者用人口入力シート!AV$8))</f>
        <v>11.963645175347386</v>
      </c>
      <c r="BV7" s="10">
        <f>IF(管理者入力シート!$B$14=1,BU4*管理者用人口入力シート!AW$4,IF(管理者入力シート!$B$14=2,BU4*管理者用人口入力シート!AW$8))</f>
        <v>13.289293043768634</v>
      </c>
      <c r="BW7" s="10">
        <f>IF(管理者入力シート!$B$14=1,BV4*管理者用人口入力シート!AX$4,IF(管理者入力シート!$B$14=2,BV4*管理者用人口入力シート!AX$8))</f>
        <v>19.138952703216031</v>
      </c>
      <c r="BX7" s="10">
        <f>IF(管理者入力シート!$B$14=1,BW4*管理者用人口入力シート!AY$4,IF(管理者入力シート!$B$14=2,BW4*管理者用人口入力シート!AY$8))</f>
        <v>18.36082230684703</v>
      </c>
      <c r="BY7" s="10">
        <f>IF(管理者入力シート!$B$14=1,BX4*管理者用人口入力シート!AZ$4,IF(管理者入力シート!$B$14=2,BX4*管理者用人口入力シート!AZ$8))</f>
        <v>21.094237086400323</v>
      </c>
      <c r="BZ7" s="10">
        <f>IF(管理者入力シート!$B$14=1,BY4*管理者用人口入力シート!BA$4,IF(管理者入力シート!$B$14=2,BY4*管理者用人口入力シート!BA$8))</f>
        <v>25.648416190120845</v>
      </c>
      <c r="CA7" s="10">
        <f>IF(管理者入力シート!$B$14=1,BZ4*管理者用人口入力シート!BB$4,IF(管理者入力シート!$B$14=2,BZ4*管理者用人口入力シート!BB$8))</f>
        <v>16.980509343810091</v>
      </c>
      <c r="CB7" s="10">
        <f>IF(管理者入力シート!$B$14=1,CA4*管理者用人口入力シート!BC$4,IF(管理者入力シート!$B$14=2,CA4*管理者用人口入力シート!BC$8))</f>
        <v>7.9982772243639477</v>
      </c>
      <c r="CC7" s="10">
        <f>IF(管理者入力シート!$B$14=1,CB4*管理者用人口入力シート!BD$4,IF(管理者入力シート!$B$14=2,CB4*管理者用人口入力シート!BD$8))</f>
        <v>4.8103571849377307</v>
      </c>
      <c r="CD7" s="10">
        <f>IF(管理者入力シート!$B$14=1,CC4*管理者用人口入力シート!BE$4,IF(管理者入力シート!$B$14=2,CC4*管理者用人口入力シート!BE$8))</f>
        <v>1.2647876902974884</v>
      </c>
      <c r="CE7" s="10">
        <f>IF(管理者入力シート!$B$14=1,CD4*管理者用人口入力シート!BF$4,IF(管理者入力シート!$B$14=2,CD4*管理者用人口入力シート!BF$8))</f>
        <v>1.5378144843154254E-3</v>
      </c>
      <c r="CF7" s="10">
        <f t="shared" si="2"/>
        <v>188.82503923230792</v>
      </c>
      <c r="CG7" s="10">
        <f t="shared" si="20"/>
        <v>7.0241705101537972</v>
      </c>
      <c r="CH7" s="10">
        <f t="shared" si="21"/>
        <v>2.9530369308024862</v>
      </c>
      <c r="CI7" s="10">
        <f t="shared" si="3"/>
        <v>96.158944841261743</v>
      </c>
      <c r="CJ7" s="10">
        <f t="shared" si="22"/>
        <v>56.703885448014418</v>
      </c>
      <c r="CK7" s="14">
        <f t="shared" si="23"/>
        <v>0.50924890698928538</v>
      </c>
      <c r="CL7" s="14">
        <f t="shared" si="24"/>
        <v>0.30029854980330595</v>
      </c>
      <c r="CM7" s="10">
        <f t="shared" si="25"/>
        <v>14.236539815420031</v>
      </c>
      <c r="CO7" s="7" t="str">
        <f t="shared" si="26"/>
        <v>2030_2</v>
      </c>
      <c r="CP7" s="29">
        <f>CP6</f>
        <v>2030</v>
      </c>
      <c r="CQ7" s="4" t="s">
        <v>22</v>
      </c>
      <c r="CR7" s="10">
        <f>DT7*$AK$14+将来予測シート②!$H17</f>
        <v>6.0801517898991726</v>
      </c>
      <c r="CS7" s="10">
        <f>IF(管理者入力シート!$B$14=1,CR4*管理者用人口入力シート!AM$4,IF(管理者入力シート!$B$14=2,CR4*管理者用人口入力シート!AM$8))+将来予測シート②!$H18</f>
        <v>7.0073275321763191</v>
      </c>
      <c r="CT7" s="10">
        <f>IF(管理者入力シート!$B$14=1,CS4*管理者用人口入力シート!AN$4,IF(管理者入力シート!$B$14=2,CS4*管理者用人口入力シート!AN$8))+将来予測シート②!$H19</f>
        <v>6.6711521608335786</v>
      </c>
      <c r="CU7" s="10">
        <f>IF(管理者入力シート!$B$14=1,CT4*管理者用人口入力シート!AO$4,IF(管理者入力シート!$B$14=2,CT4*管理者用人口入力シート!AO$8))+将来予測シート②!$H20</f>
        <v>4.1935860171974362</v>
      </c>
      <c r="CV7" s="10">
        <f>IF(管理者入力シート!$B$14=1,CU4*管理者用人口入力シート!AP$4,IF(管理者入力シート!$B$14=2,CU4*管理者用人口入力シート!AP$8))+将来予測シート②!$H21</f>
        <v>2.2245794773308227</v>
      </c>
      <c r="CW7" s="10">
        <f>IF(管理者入力シート!$B$14=1,CV4*管理者用人口入力シート!AQ$4,IF(管理者入力シート!$B$14=2,CV4*管理者用人口入力シート!AQ$8))+将来予測シート②!$H22</f>
        <v>3.6752043376269041</v>
      </c>
      <c r="CX7" s="10">
        <f>IF(管理者入力シート!$B$14=1,CW4*管理者用人口入力シート!AR$4,IF(管理者入力シート!$B$14=2,CW4*管理者用人口入力シート!AR$8))+将来予測シート②!$H23</f>
        <v>3.9547678055397784</v>
      </c>
      <c r="CY7" s="10">
        <f>IF(管理者入力シート!$B$14=1,CX4*管理者用人口入力シート!AS$4,IF(管理者入力シート!$B$14=2,CX4*管理者用人口入力シート!AS$8))+将来予測シート②!$H24</f>
        <v>8.3527534006847937</v>
      </c>
      <c r="CZ7" s="10">
        <f>IF(管理者入力シート!$B$14=1,CY4*管理者用人口入力シート!AT$4,IF(管理者入力シート!$B$14=2,CY4*管理者用人口入力シート!AT$8))+将来予測シート②!$H25</f>
        <v>10.281295649088785</v>
      </c>
      <c r="DA7" s="10">
        <f>IF(管理者入力シート!$B$14=1,CZ4*管理者用人口入力シート!AU$4,IF(管理者入力シート!$B$14=2,CZ4*管理者用人口入力シート!AU$8))+将来予測シート②!$H26</f>
        <v>6.524022189539191</v>
      </c>
      <c r="DB7" s="10">
        <f>IF(管理者入力シート!$B$14=1,DA4*管理者用人口入力シート!AV$4,IF(管理者入力シート!$B$14=2,DA4*管理者用人口入力シート!AV$8))+将来予測シート②!$H27</f>
        <v>11.963645175347386</v>
      </c>
      <c r="DC7" s="10">
        <f>IF(管理者入力シート!$B$14=1,DB4*管理者用人口入力シート!AW$4,IF(管理者入力シート!$B$14=2,DB4*管理者用人口入力シート!AW$8))+将来予測シート②!$H28</f>
        <v>13.289293043768634</v>
      </c>
      <c r="DD7" s="10">
        <f>IF(管理者入力シート!$B$14=1,DC4*管理者用人口入力シート!AX$4,IF(管理者入力シート!$B$14=2,DC4*管理者用人口入力シート!AX$8))+将来予測シート②!$H29</f>
        <v>19.138952703216031</v>
      </c>
      <c r="DE7" s="10">
        <f>IF(管理者入力シート!$B$14=1,DD4*管理者用人口入力シート!AY$4,IF(管理者入力シート!$B$14=2,DD4*管理者用人口入力シート!AY$8))</f>
        <v>18.36082230684703</v>
      </c>
      <c r="DF7" s="10">
        <f>IF(管理者入力シート!$B$14=1,DE4*管理者用人口入力シート!AZ$4,IF(管理者入力シート!$B$14=2,DE4*管理者用人口入力シート!AZ$8))</f>
        <v>21.094237086400323</v>
      </c>
      <c r="DG7" s="10">
        <f>IF(管理者入力シート!$B$14=1,DF4*管理者用人口入力シート!BA$4,IF(管理者入力シート!$B$14=2,DF4*管理者用人口入力シート!BA$8))</f>
        <v>25.648416190120845</v>
      </c>
      <c r="DH7" s="10">
        <f>IF(管理者入力シート!$B$14=1,DG4*管理者用人口入力シート!BB$4,IF(管理者入力シート!$B$14=2,DG4*管理者用人口入力シート!BB$8))</f>
        <v>16.980509343810091</v>
      </c>
      <c r="DI7" s="10">
        <f>IF(管理者入力シート!$B$14=1,DH4*管理者用人口入力シート!BC$4,IF(管理者入力シート!$B$14=2,DH4*管理者用人口入力シート!BC$8))</f>
        <v>7.9982772243639477</v>
      </c>
      <c r="DJ7" s="10">
        <f>IF(管理者入力シート!$B$14=1,DI4*管理者用人口入力シート!BD$4,IF(管理者入力シート!$B$14=2,DI4*管理者用人口入力シート!BD$8))</f>
        <v>4.8103571849377307</v>
      </c>
      <c r="DK7" s="10">
        <f>IF(管理者入力シート!$B$14=1,DJ4*管理者用人口入力シート!BE$4,IF(管理者入力シート!$B$14=2,DJ4*管理者用人口入力シート!BE$8))</f>
        <v>1.2647876902974884</v>
      </c>
      <c r="DL7" s="10">
        <f>IF(管理者入力シート!$B$14=1,DK4*管理者用人口入力シート!BF$4,IF(管理者入力シート!$B$14=2,DK4*管理者用人口入力シート!BF$8))</f>
        <v>1.5378144843154254E-3</v>
      </c>
      <c r="DM7" s="10">
        <f t="shared" si="69"/>
        <v>199.51567612351064</v>
      </c>
      <c r="DN7" s="10">
        <f t="shared" si="34"/>
        <v>8.2070878158059379</v>
      </c>
      <c r="DO7" s="10">
        <f t="shared" si="35"/>
        <v>3.5071780677729185</v>
      </c>
      <c r="DP7" s="10">
        <f t="shared" si="6"/>
        <v>96.158944841261743</v>
      </c>
      <c r="DQ7" s="10">
        <f t="shared" si="36"/>
        <v>56.703885448014418</v>
      </c>
      <c r="DR7" s="14">
        <f t="shared" si="37"/>
        <v>0.48196185236960692</v>
      </c>
      <c r="DS7" s="14">
        <f t="shared" si="38"/>
        <v>0.28420767004248704</v>
      </c>
      <c r="DT7" s="10">
        <f t="shared" si="70"/>
        <v>18.2073050211823</v>
      </c>
      <c r="DV7" s="7" t="s">
        <v>401</v>
      </c>
      <c r="DW7" s="209">
        <f>(SUM(BK12:BW12)-SUM(D12:P12))/4</f>
        <v>-16.872489761147353</v>
      </c>
      <c r="DX7" s="29">
        <f>DX6</f>
        <v>2030</v>
      </c>
      <c r="DY7" s="4" t="s">
        <v>22</v>
      </c>
      <c r="DZ7" s="10">
        <f>FB7*$AK$14</f>
        <v>12.303575030872587</v>
      </c>
      <c r="EA7" s="10">
        <f>IF(管理者入力シート!$B$14=1,DZ4*管理者用人口入力シート!AM$4,IF(管理者入力シート!$B$14=2,DZ4*管理者用人口入力シート!AM$8))</f>
        <v>6.0357986894227498</v>
      </c>
      <c r="EB7" s="10">
        <f>IF(管理者入力シート!$B$14=1,EA4*管理者用人口入力シート!AN$4,IF(管理者入力シート!$B$14=2,EA4*管理者用人口入力シート!AN$8))</f>
        <v>5.6711521608335786</v>
      </c>
      <c r="EC7" s="10">
        <f>IF(管理者入力シート!$B$14=1,EB4*管理者用人口入力シート!AO$4,IF(管理者入力シート!$B$14=2,EB4*管理者用人口入力シート!AO$8))</f>
        <v>3.4228803323452732</v>
      </c>
      <c r="ED7" s="10">
        <f>IF(管理者入力シート!$B$14=1,EC4*管理者用人口入力シート!AP$4,IF(管理者入力シート!$B$14=2,EC4*管理者用人口入力シート!AP$8))</f>
        <v>2.2245794773308227</v>
      </c>
      <c r="EE7" s="10">
        <f>IF(管理者入力シート!$B$14=1,ED4*管理者用人口入力シート!AQ$4,IF(管理者入力シート!$B$14=2,ED4*管理者用人口入力シート!AQ$8))+DX1</f>
        <v>7.6752043376269041</v>
      </c>
      <c r="EF7" s="10">
        <f>IF(管理者入力シート!$B$14=1,EE4*管理者用人口入力シート!AR$4,IF(管理者入力シート!$B$14=2,EE4*管理者用人口入力シート!AR$8))+DX1</f>
        <v>13.896298217064313</v>
      </c>
      <c r="EG7" s="10">
        <f>IF(管理者入力シート!$B$14=1,EF4*管理者用人口入力シート!AS$4,IF(管理者入力シート!$B$14=2,EF4*管理者用人口入力シート!AS$8))+DX1</f>
        <v>20.300030191141619</v>
      </c>
      <c r="EH7" s="10">
        <f>IF(管理者入力シート!$B$14=1,EG4*管理者用人口入力シート!AT$4,IF(管理者入力シート!$B$14=2,EG4*管理者用人口入力シート!AT$8))</f>
        <v>14.52844167249345</v>
      </c>
      <c r="EI7" s="10">
        <f>IF(管理者入力シート!$B$14=1,EH4*管理者用人口入力シート!AU$4,IF(管理者入力シート!$B$14=2,EH4*管理者用人口入力シート!AU$8))</f>
        <v>5.6542969354076282</v>
      </c>
      <c r="EJ7" s="10">
        <f>IF(管理者入力シート!$B$14=1,EI4*管理者用人口入力シート!AV$4,IF(管理者入力シート!$B$14=2,EI4*管理者用人口入力シート!AV$8))</f>
        <v>11.963645175347386</v>
      </c>
      <c r="EK7" s="10">
        <f>IF(管理者入力シート!$B$14=1,EJ4*管理者用人口入力シート!AW$4,IF(管理者入力シート!$B$14=2,EJ4*管理者用人口入力シート!AW$8))</f>
        <v>13.289293043768634</v>
      </c>
      <c r="EL7" s="10">
        <f>IF(管理者入力シート!$B$14=1,EK4*管理者用人口入力シート!AX$4,IF(管理者入力シート!$B$14=2,EK4*管理者用人口入力シート!AX$8))</f>
        <v>19.138952703216031</v>
      </c>
      <c r="EM7" s="10">
        <f>IF(管理者入力シート!$B$14=1,EL4*管理者用人口入力シート!AY$4,IF(管理者入力シート!$B$14=2,EL4*管理者用人口入力シート!AY$8))</f>
        <v>18.36082230684703</v>
      </c>
      <c r="EN7" s="10">
        <f>IF(管理者入力シート!$B$14=1,EM4*管理者用人口入力シート!AZ$4,IF(管理者入力シート!$B$14=2,EM4*管理者用人口入力シート!AZ$8))</f>
        <v>21.094237086400323</v>
      </c>
      <c r="EO7" s="10">
        <f>IF(管理者入力シート!$B$14=1,EN4*管理者用人口入力シート!BA$4,IF(管理者入力シート!$B$14=2,EN4*管理者用人口入力シート!BA$8))</f>
        <v>25.648416190120845</v>
      </c>
      <c r="EP7" s="10">
        <f>IF(管理者入力シート!$B$14=1,EO4*管理者用人口入力シート!BB$4,IF(管理者入力シート!$B$14=2,EO4*管理者用人口入力シート!BB$8))</f>
        <v>16.980509343810091</v>
      </c>
      <c r="EQ7" s="10">
        <f>IF(管理者入力シート!$B$14=1,EP4*管理者用人口入力シート!BC$4,IF(管理者入力シート!$B$14=2,EP4*管理者用人口入力シート!BC$8))</f>
        <v>7.9982772243639477</v>
      </c>
      <c r="ER7" s="10">
        <f>IF(管理者入力シート!$B$14=1,EQ4*管理者用人口入力シート!BD$4,IF(管理者入力シート!$B$14=2,EQ4*管理者用人口入力シート!BD$8))</f>
        <v>4.8103571849377307</v>
      </c>
      <c r="ES7" s="10">
        <f>IF(管理者入力シート!$B$14=1,ER4*管理者用人口入力シート!BE$4,IF(管理者入力シート!$B$14=2,ER4*管理者用人口入力シート!BE$8))</f>
        <v>1.2647876902974884</v>
      </c>
      <c r="ET7" s="10">
        <f>IF(管理者入力シート!$B$14=1,ES4*管理者用人口入力シート!BF$4,IF(管理者入力シート!$B$14=2,ES4*管理者用人口入力シート!BF$8))</f>
        <v>1.5378144843154254E-3</v>
      </c>
      <c r="EU7" s="10">
        <f t="shared" si="71"/>
        <v>232.2630928081328</v>
      </c>
      <c r="EV7" s="10">
        <f t="shared" si="41"/>
        <v>7.0241705101537972</v>
      </c>
      <c r="EW7" s="10">
        <f t="shared" si="42"/>
        <v>2.9530369308024862</v>
      </c>
      <c r="EX7" s="10">
        <f t="shared" si="10"/>
        <v>96.158944841261743</v>
      </c>
      <c r="EY7" s="10">
        <f t="shared" si="43"/>
        <v>56.703885448014418</v>
      </c>
      <c r="EZ7" s="14">
        <f t="shared" si="44"/>
        <v>0.4140087160584589</v>
      </c>
      <c r="FA7" s="14">
        <f t="shared" si="45"/>
        <v>0.24413644355823763</v>
      </c>
      <c r="FB7" s="10">
        <f t="shared" si="72"/>
        <v>44.096112223163658</v>
      </c>
    </row>
    <row r="8" spans="1:158" x14ac:dyDescent="0.15">
      <c r="A8" s="7" t="str">
        <f t="shared" si="11"/>
        <v>2010_3</v>
      </c>
      <c r="B8" s="30">
        <v>2010</v>
      </c>
      <c r="C8" s="5" t="s">
        <v>23</v>
      </c>
      <c r="D8" s="11">
        <v>22.659064922458434</v>
      </c>
      <c r="E8" s="11">
        <v>24.462916588445918</v>
      </c>
      <c r="F8" s="11">
        <v>20.429090059936172</v>
      </c>
      <c r="G8" s="11">
        <v>32.121148173755373</v>
      </c>
      <c r="H8" s="11">
        <v>13.277280939931043</v>
      </c>
      <c r="I8" s="11">
        <v>21.408531540895332</v>
      </c>
      <c r="J8" s="11">
        <v>20.780481229309657</v>
      </c>
      <c r="K8" s="11">
        <v>31.908086575487985</v>
      </c>
      <c r="L8" s="11">
        <v>28.992031099043494</v>
      </c>
      <c r="M8" s="11">
        <v>32.035281663377575</v>
      </c>
      <c r="N8" s="11">
        <v>44.620914747778144</v>
      </c>
      <c r="O8" s="11">
        <v>58.451513972133569</v>
      </c>
      <c r="P8" s="11">
        <v>60.191768094176254</v>
      </c>
      <c r="Q8" s="11">
        <v>38.293515812801346</v>
      </c>
      <c r="R8" s="11">
        <v>51.490497483962841</v>
      </c>
      <c r="S8" s="11">
        <v>54.556017014729917</v>
      </c>
      <c r="T8" s="11">
        <v>49.548316246869263</v>
      </c>
      <c r="U8" s="11">
        <v>31.338066566238858</v>
      </c>
      <c r="V8" s="11">
        <v>11.882850745653599</v>
      </c>
      <c r="W8" s="11">
        <v>2.7777259053383943</v>
      </c>
      <c r="X8" s="11">
        <v>0.27665914221218962</v>
      </c>
      <c r="Y8" s="11">
        <f t="shared" si="68"/>
        <v>651.50175852453526</v>
      </c>
      <c r="Z8" s="11">
        <f t="shared" si="12"/>
        <v>26.935203989029255</v>
      </c>
      <c r="AA8" s="11">
        <f t="shared" si="13"/>
        <v>14.595865658725543</v>
      </c>
      <c r="AB8" s="11">
        <f t="shared" si="0"/>
        <v>240.16364891780643</v>
      </c>
      <c r="AC8" s="11">
        <f t="shared" si="14"/>
        <v>150.37963562104224</v>
      </c>
      <c r="AD8" s="15">
        <f t="shared" si="15"/>
        <v>0.36863085291083214</v>
      </c>
      <c r="AE8" s="15">
        <f t="shared" si="16"/>
        <v>0.23081999956778168</v>
      </c>
      <c r="AF8" s="11">
        <f t="shared" si="17"/>
        <v>87.374380285624014</v>
      </c>
      <c r="AH8" s="7"/>
      <c r="AI8" s="30" t="s">
        <v>88</v>
      </c>
      <c r="AJ8" s="5">
        <f>AJ7</f>
        <v>2010</v>
      </c>
      <c r="AK8" s="5">
        <f>AK7</f>
        <v>2020</v>
      </c>
      <c r="AL8" s="33" t="s">
        <v>22</v>
      </c>
      <c r="AM8" s="47">
        <f t="shared" si="73"/>
        <v>0.97152884275356954</v>
      </c>
      <c r="AN8" s="47">
        <f t="shared" si="73"/>
        <v>0.74317655482899736</v>
      </c>
      <c r="AO8" s="47">
        <f t="shared" si="73"/>
        <v>0.77070568485216262</v>
      </c>
      <c r="AP8" s="47">
        <f t="shared" si="73"/>
        <v>0.26445621507578576</v>
      </c>
      <c r="AQ8" s="47">
        <f t="shared" si="73"/>
        <v>1.3809296681036498</v>
      </c>
      <c r="AR8" s="47">
        <f t="shared" si="73"/>
        <v>0.98538260288113377</v>
      </c>
      <c r="AS8" s="47">
        <f t="shared" si="73"/>
        <v>0.99121279840947096</v>
      </c>
      <c r="AT8" s="47">
        <f t="shared" si="73"/>
        <v>0.87452433723411105</v>
      </c>
      <c r="AU8" s="47">
        <f t="shared" si="73"/>
        <v>0.8697252541315621</v>
      </c>
      <c r="AV8" s="47">
        <f t="shared" si="73"/>
        <v>1.1509071664974442</v>
      </c>
      <c r="AW8" s="47">
        <f t="shared" si="73"/>
        <v>1.0068832691367091</v>
      </c>
      <c r="AX8" s="47">
        <f t="shared" si="73"/>
        <v>1.1113508361943025</v>
      </c>
      <c r="AY8" s="47">
        <f t="shared" si="73"/>
        <v>0.9471049590120878</v>
      </c>
      <c r="AZ8" s="47">
        <f t="shared" si="73"/>
        <v>0.97696835761637291</v>
      </c>
      <c r="BA8" s="47">
        <f t="shared" si="73"/>
        <v>0.86840309748480049</v>
      </c>
      <c r="BB8" s="47">
        <f t="shared" si="73"/>
        <v>0.77275118768027662</v>
      </c>
      <c r="BC8" s="47">
        <f t="shared" si="73"/>
        <v>0.63667548847615651</v>
      </c>
      <c r="BD8" s="47">
        <f t="shared" si="73"/>
        <v>0.44578539004912526</v>
      </c>
      <c r="BE8" s="47">
        <f t="shared" si="73"/>
        <v>0.17305071472933301</v>
      </c>
      <c r="BF8" s="47">
        <f t="shared" si="73"/>
        <v>1E-3</v>
      </c>
      <c r="BH8" s="7" t="str">
        <f t="shared" si="19"/>
        <v>2030_3</v>
      </c>
      <c r="BI8" s="30">
        <f>BI7</f>
        <v>2030</v>
      </c>
      <c r="BJ8" s="5" t="s">
        <v>23</v>
      </c>
      <c r="BK8" s="16">
        <f>BK6+BK7</f>
        <v>7.250086363168549</v>
      </c>
      <c r="BL8" s="16">
        <f t="shared" ref="BL8" si="74">BL6+BL7</f>
        <v>10.414357896232261</v>
      </c>
      <c r="BM8" s="16">
        <f t="shared" ref="BM8" si="75">BM6+BM7</f>
        <v>11.350735943071859</v>
      </c>
      <c r="BN8" s="16">
        <f t="shared" ref="BN8" si="76">BN6+BN7</f>
        <v>11.853443878401929</v>
      </c>
      <c r="BO8" s="16">
        <f t="shared" ref="BO8" si="77">BO6+BO7</f>
        <v>8.5861902086932052</v>
      </c>
      <c r="BP8" s="16">
        <f t="shared" ref="BP8" si="78">BP6+BP7</f>
        <v>10.94544780521559</v>
      </c>
      <c r="BQ8" s="16">
        <f t="shared" ref="BQ8" si="79">BQ6+BQ7</f>
        <v>14.665046918944379</v>
      </c>
      <c r="BR8" s="16">
        <f t="shared" ref="BR8" si="80">BR6+BR7</f>
        <v>18.690068165206824</v>
      </c>
      <c r="BS8" s="16">
        <f t="shared" ref="BS8" si="81">BS6+BS7</f>
        <v>14.613100339030336</v>
      </c>
      <c r="BT8" s="16">
        <f t="shared" ref="BT8" si="82">BT6+BT7</f>
        <v>14.53101117198452</v>
      </c>
      <c r="BU8" s="16">
        <f t="shared" ref="BU8" si="83">BU6+BU7</f>
        <v>24.053267035277365</v>
      </c>
      <c r="BV8" s="16">
        <f t="shared" ref="BV8" si="84">BV6+BV7</f>
        <v>27.50646477230292</v>
      </c>
      <c r="BW8" s="16">
        <f t="shared" ref="BW8" si="85">BW6+BW7</f>
        <v>32.143172838737769</v>
      </c>
      <c r="BX8" s="16">
        <f t="shared" ref="BX8" si="86">BX6+BX7</f>
        <v>35.540606050721877</v>
      </c>
      <c r="BY8" s="16">
        <f t="shared" ref="BY8" si="87">BY6+BY7</f>
        <v>48.374482447432058</v>
      </c>
      <c r="BZ8" s="16">
        <f t="shared" ref="BZ8" si="88">BZ6+BZ7</f>
        <v>51.654028548738239</v>
      </c>
      <c r="CA8" s="16">
        <f t="shared" ref="CA8" si="89">CA6+CA7</f>
        <v>34.222445625445104</v>
      </c>
      <c r="CB8" s="16">
        <f t="shared" ref="CB8" si="90">CB6+CB7</f>
        <v>15.143504320849203</v>
      </c>
      <c r="CC8" s="16">
        <f t="shared" ref="CC8" si="91">CC6+CC7</f>
        <v>7.4421976792529154</v>
      </c>
      <c r="CD8" s="16">
        <f t="shared" ref="CD8" si="92">CD6+CD7</f>
        <v>1.3625172908237591</v>
      </c>
      <c r="CE8" s="16">
        <f t="shared" ref="CE8" si="93">CE6+CE7</f>
        <v>1.6399439352112598E-3</v>
      </c>
      <c r="CF8" s="11">
        <f t="shared" si="2"/>
        <v>400.34381524346588</v>
      </c>
      <c r="CG8" s="11">
        <f t="shared" si="20"/>
        <v>13.059056303582473</v>
      </c>
      <c r="CH8" s="11">
        <f t="shared" si="21"/>
        <v>6.9109831529091297</v>
      </c>
      <c r="CI8" s="11">
        <f t="shared" si="3"/>
        <v>193.7414219071984</v>
      </c>
      <c r="CJ8" s="11">
        <f t="shared" si="22"/>
        <v>109.82633340904444</v>
      </c>
      <c r="CK8" s="15">
        <f t="shared" si="23"/>
        <v>0.48393759196548625</v>
      </c>
      <c r="CL8" s="15">
        <f t="shared" si="24"/>
        <v>0.27433003640197223</v>
      </c>
      <c r="CM8" s="11">
        <f t="shared" si="25"/>
        <v>52.886753098059998</v>
      </c>
      <c r="CO8" s="7" t="str">
        <f t="shared" si="26"/>
        <v>2030_3</v>
      </c>
      <c r="CP8" s="30">
        <f>CP7</f>
        <v>2030</v>
      </c>
      <c r="CQ8" s="5" t="s">
        <v>23</v>
      </c>
      <c r="CR8" s="16">
        <f>CR6+CR7</f>
        <v>11.272234374053863</v>
      </c>
      <c r="CS8" s="16">
        <f t="shared" ref="CS8" si="94">CS6+CS7</f>
        <v>12.239967694026442</v>
      </c>
      <c r="CT8" s="16">
        <f t="shared" ref="CT8" si="95">CT6+CT7</f>
        <v>13.350735943071859</v>
      </c>
      <c r="CU8" s="16">
        <f t="shared" ref="CU8" si="96">CU6+CU7</f>
        <v>13.285771327171645</v>
      </c>
      <c r="CV8" s="16">
        <f t="shared" ref="CV8" si="97">CV6+CV7</f>
        <v>8.5861902086932052</v>
      </c>
      <c r="CW8" s="16">
        <f t="shared" ref="CW8" si="98">CW6+CW7</f>
        <v>14.94544780521559</v>
      </c>
      <c r="CX8" s="16">
        <f t="shared" ref="CX8" si="99">CX6+CX7</f>
        <v>18.891502432753484</v>
      </c>
      <c r="CY8" s="16">
        <f t="shared" ref="CY8" si="100">CY6+CY7</f>
        <v>18.690068165206824</v>
      </c>
      <c r="CZ8" s="16">
        <f t="shared" ref="CZ8" si="101">CZ6+CZ7</f>
        <v>15.613100339030336</v>
      </c>
      <c r="DA8" s="16">
        <f t="shared" ref="DA8" si="102">DA6+DA7</f>
        <v>15.400736426116083</v>
      </c>
      <c r="DB8" s="16">
        <f t="shared" ref="DB8" si="103">DB6+DB7</f>
        <v>24.053267035277365</v>
      </c>
      <c r="DC8" s="16">
        <f t="shared" ref="DC8" si="104">DC6+DC7</f>
        <v>27.50646477230292</v>
      </c>
      <c r="DD8" s="16">
        <f t="shared" ref="DD8" si="105">DD6+DD7</f>
        <v>32.143172838737769</v>
      </c>
      <c r="DE8" s="16">
        <f t="shared" ref="DE8" si="106">DE6+DE7</f>
        <v>35.540606050721877</v>
      </c>
      <c r="DF8" s="16">
        <f t="shared" ref="DF8" si="107">DF6+DF7</f>
        <v>48.374482447432058</v>
      </c>
      <c r="DG8" s="16">
        <f t="shared" ref="DG8" si="108">DG6+DG7</f>
        <v>51.654028548738239</v>
      </c>
      <c r="DH8" s="16">
        <f t="shared" ref="DH8" si="109">DH6+DH7</f>
        <v>34.222445625445104</v>
      </c>
      <c r="DI8" s="16">
        <f t="shared" ref="DI8" si="110">DI6+DI7</f>
        <v>15.143504320849203</v>
      </c>
      <c r="DJ8" s="16">
        <f t="shared" ref="DJ8" si="111">DJ6+DJ7</f>
        <v>7.4421976792529154</v>
      </c>
      <c r="DK8" s="16">
        <f t="shared" ref="DK8" si="112">DK6+DK7</f>
        <v>1.3625172908237591</v>
      </c>
      <c r="DL8" s="16">
        <f t="shared" ref="DL8" si="113">DL6+DL7</f>
        <v>1.6399439352112598E-3</v>
      </c>
      <c r="DM8" s="11">
        <f t="shared" si="69"/>
        <v>419.72008126885578</v>
      </c>
      <c r="DN8" s="11">
        <f t="shared" si="34"/>
        <v>15.354422182258979</v>
      </c>
      <c r="DO8" s="11">
        <f t="shared" si="35"/>
        <v>7.9974486426630724</v>
      </c>
      <c r="DP8" s="11">
        <f t="shared" si="6"/>
        <v>193.7414219071984</v>
      </c>
      <c r="DQ8" s="11">
        <f t="shared" si="36"/>
        <v>109.82633340904444</v>
      </c>
      <c r="DR8" s="15">
        <f t="shared" si="37"/>
        <v>0.46159674162241349</v>
      </c>
      <c r="DS8" s="15">
        <f t="shared" si="38"/>
        <v>0.26166566316538503</v>
      </c>
      <c r="DT8" s="11">
        <f t="shared" si="70"/>
        <v>61.113208611869105</v>
      </c>
      <c r="DV8" s="7" t="s">
        <v>402</v>
      </c>
      <c r="DW8" s="209">
        <f>(SUM(BK13:BW13)-SUM(D13:P13))/4</f>
        <v>-20.879906073038214</v>
      </c>
      <c r="DX8" s="30">
        <f>DX7</f>
        <v>2030</v>
      </c>
      <c r="DY8" s="5" t="s">
        <v>23</v>
      </c>
      <c r="DZ8" s="16">
        <f>DZ6+DZ7</f>
        <v>22.45634304703951</v>
      </c>
      <c r="EA8" s="16">
        <f t="shared" ref="EA8:ET8" si="114">EA6+EA7</f>
        <v>10.414357896232261</v>
      </c>
      <c r="EB8" s="16">
        <f t="shared" si="114"/>
        <v>11.350735943071859</v>
      </c>
      <c r="EC8" s="16">
        <f t="shared" si="114"/>
        <v>11.853443878401929</v>
      </c>
      <c r="ED8" s="16">
        <f t="shared" si="114"/>
        <v>8.5861902086932052</v>
      </c>
      <c r="EE8" s="16">
        <f t="shared" si="114"/>
        <v>22.94544780521559</v>
      </c>
      <c r="EF8" s="16">
        <f t="shared" si="114"/>
        <v>39.34441346037169</v>
      </c>
      <c r="EG8" s="16">
        <f t="shared" si="114"/>
        <v>40.656086710090435</v>
      </c>
      <c r="EH8" s="16">
        <f t="shared" si="114"/>
        <v>27.064577256151459</v>
      </c>
      <c r="EI8" s="16">
        <f t="shared" si="114"/>
        <v>14.53101117198452</v>
      </c>
      <c r="EJ8" s="16">
        <f t="shared" si="114"/>
        <v>24.053267035277365</v>
      </c>
      <c r="EK8" s="16">
        <f t="shared" si="114"/>
        <v>27.50646477230292</v>
      </c>
      <c r="EL8" s="16">
        <f t="shared" si="114"/>
        <v>32.143172838737769</v>
      </c>
      <c r="EM8" s="16">
        <f t="shared" si="114"/>
        <v>35.540606050721877</v>
      </c>
      <c r="EN8" s="16">
        <f t="shared" si="114"/>
        <v>48.374482447432058</v>
      </c>
      <c r="EO8" s="16">
        <f t="shared" si="114"/>
        <v>51.654028548738239</v>
      </c>
      <c r="EP8" s="16">
        <f t="shared" si="114"/>
        <v>34.222445625445104</v>
      </c>
      <c r="EQ8" s="16">
        <f t="shared" si="114"/>
        <v>15.143504320849203</v>
      </c>
      <c r="ER8" s="16">
        <f t="shared" si="114"/>
        <v>7.4421976792529154</v>
      </c>
      <c r="ES8" s="16">
        <f t="shared" si="114"/>
        <v>1.3625172908237591</v>
      </c>
      <c r="ET8" s="16">
        <f t="shared" si="114"/>
        <v>1.6399439352112598E-3</v>
      </c>
      <c r="EU8" s="11">
        <f t="shared" si="71"/>
        <v>486.64693393076891</v>
      </c>
      <c r="EV8" s="11">
        <f t="shared" si="41"/>
        <v>13.059056303582473</v>
      </c>
      <c r="EW8" s="11">
        <f t="shared" si="42"/>
        <v>6.9109831529091297</v>
      </c>
      <c r="EX8" s="11">
        <f t="shared" si="10"/>
        <v>193.7414219071984</v>
      </c>
      <c r="EY8" s="11">
        <f t="shared" si="43"/>
        <v>109.82633340904444</v>
      </c>
      <c r="EZ8" s="15">
        <f t="shared" si="44"/>
        <v>0.39811495439270628</v>
      </c>
      <c r="FA8" s="15">
        <f t="shared" si="45"/>
        <v>0.22567969867178592</v>
      </c>
      <c r="FB8" s="11">
        <f t="shared" si="72"/>
        <v>111.53213818437092</v>
      </c>
    </row>
    <row r="9" spans="1:158" x14ac:dyDescent="0.15">
      <c r="A9" s="7" t="str">
        <f t="shared" si="11"/>
        <v>2015_1</v>
      </c>
      <c r="B9" s="28">
        <v>2015</v>
      </c>
      <c r="C9" s="3" t="s">
        <v>21</v>
      </c>
      <c r="D9" s="9">
        <v>12.095912343920988</v>
      </c>
      <c r="E9" s="9">
        <v>9.7276079102926296</v>
      </c>
      <c r="F9" s="9">
        <v>13.761434438802375</v>
      </c>
      <c r="G9" s="9">
        <v>5.5554518106767894</v>
      </c>
      <c r="H9" s="9">
        <v>10.49955503459265</v>
      </c>
      <c r="I9" s="9">
        <v>4.7946391695932675</v>
      </c>
      <c r="J9" s="9">
        <v>11.191202890123122</v>
      </c>
      <c r="K9" s="9">
        <v>6.3909964789216067</v>
      </c>
      <c r="L9" s="9">
        <v>12.372571486133179</v>
      </c>
      <c r="M9" s="9">
        <v>13.346445725484092</v>
      </c>
      <c r="N9" s="9">
        <v>15.841945247002046</v>
      </c>
      <c r="O9" s="9">
        <v>27.661198448710845</v>
      </c>
      <c r="P9" s="9">
        <v>30.928645094528822</v>
      </c>
      <c r="Q9" s="9">
        <v>32.040848904985829</v>
      </c>
      <c r="R9" s="9">
        <v>18.699970421109988</v>
      </c>
      <c r="S9" s="9">
        <v>18.273847224575203</v>
      </c>
      <c r="T9" s="9">
        <v>22.659064922458438</v>
      </c>
      <c r="U9" s="9">
        <v>12.372571486133179</v>
      </c>
      <c r="V9" s="9">
        <v>3.8207649302423548</v>
      </c>
      <c r="W9" s="9">
        <v>1.1122038104570076</v>
      </c>
      <c r="X9" s="9">
        <v>0</v>
      </c>
      <c r="Y9" s="9">
        <f t="shared" si="68"/>
        <v>283.1468777787444</v>
      </c>
      <c r="Z9" s="9">
        <f t="shared" si="12"/>
        <v>14.093425409457003</v>
      </c>
      <c r="AA9" s="9">
        <f t="shared" si="13"/>
        <v>6.6156641376563083</v>
      </c>
      <c r="AB9" s="9">
        <f t="shared" si="0"/>
        <v>108.979271699962</v>
      </c>
      <c r="AC9" s="9">
        <f t="shared" si="14"/>
        <v>58.238452373866181</v>
      </c>
      <c r="AD9" s="13">
        <f t="shared" si="15"/>
        <v>0.38488600882655744</v>
      </c>
      <c r="AE9" s="13">
        <f t="shared" si="16"/>
        <v>0.20568283440290894</v>
      </c>
      <c r="AF9" s="9">
        <f t="shared" si="17"/>
        <v>32.876393573230644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1.7485657276732856</v>
      </c>
      <c r="BL9" s="9">
        <f>IF(管理者入力シート!$B$14=1,BK6*管理者用人口入力シート!AM$3,IF(管理者入力シート!$B$14=2,BK6*管理者用人口入力シート!AM$7))</f>
        <v>2.7995462495292278</v>
      </c>
      <c r="BM9" s="9">
        <f>IF(管理者入力シート!$B$14=1,BL6*管理者用人口入力シート!AN$3,IF(管理者入力シート!$B$14=2,BL6*管理者用人口入力シート!AN$7))</f>
        <v>4.4923331651299669</v>
      </c>
      <c r="BN9" s="9">
        <f>IF(管理者入力シート!$B$14=1,BM6*管理者用人口入力シート!AO$3,IF(管理者入力シート!$B$14=2,BM6*管理者用人口入力シート!AO$7))</f>
        <v>3.7577362403220289</v>
      </c>
      <c r="BO9" s="9">
        <f>IF(管理者入力シート!$B$14=1,BN6*管理者用人口入力シート!AP$3,IF(管理者入力シート!$B$14=2,BN6*管理者用人口入力シート!AP$7))</f>
        <v>7.7987858942891428</v>
      </c>
      <c r="BP9" s="9">
        <f>IF(管理者入力シート!$B$14=1,BO6*管理者用人口入力シート!AQ$3,IF(管理者入力シート!$B$14=2,BO6*管理者用人口入力シート!AQ$7))</f>
        <v>7.4250279000213038</v>
      </c>
      <c r="BQ9" s="9">
        <f>IF(管理者入力シート!$B$14=1,BP6*管理者用人口入力シート!AR$3,IF(管理者入力シート!$B$14=2,BP6*管理者用人口入力シート!AR$7))</f>
        <v>10.455399171537151</v>
      </c>
      <c r="BR9" s="9">
        <f>IF(管理者入力シート!$B$14=1,BQ6*管理者用人口入力シート!AS$3,IF(管理者入力シート!$B$14=2,BQ6*管理者用人口入力シート!AS$7))</f>
        <v>8.4936403825287421</v>
      </c>
      <c r="BS9" s="9">
        <f>IF(管理者入力シート!$B$14=1,BR6*管理者用人口入力シート!AT$3,IF(管理者入力シート!$B$14=2,BR6*管理者用人口入力シート!AT$7))</f>
        <v>12.412239352686226</v>
      </c>
      <c r="BT9" s="9">
        <f>IF(管理者入力シート!$B$14=1,BS6*管理者用人口入力シート!AU$3,IF(管理者入力シート!$B$14=2,BS6*管理者用人口入力シート!AU$7))</f>
        <v>6.0172421693686999</v>
      </c>
      <c r="BU9" s="9">
        <f>IF(管理者入力シート!$B$14=1,BT6*管理者用人口入力シート!AV$3,IF(管理者入力シート!$B$14=2,BT6*管理者用人口入力シート!AV$7))</f>
        <v>8.3111689430416877</v>
      </c>
      <c r="BV9" s="9">
        <f>IF(管理者入力シート!$B$14=1,BU6*管理者用人口入力シート!AW$3,IF(管理者入力シート!$B$14=2,BU6*管理者用人口入力シート!AW$7))</f>
        <v>12.708612217132139</v>
      </c>
      <c r="BW9" s="9">
        <f>IF(管理者入力シート!$B$14=1,BV6*管理者用人口入力シート!AX$3,IF(管理者入力シート!$B$14=2,BV6*管理者用人口入力シート!AX$7))</f>
        <v>15.098263240747999</v>
      </c>
      <c r="BX9" s="9">
        <f>IF(管理者入力シート!$B$14=1,BW6*管理者用人口入力シート!AY$3,IF(管理者入力シート!$B$14=2,BW6*管理者用人口入力シート!AY$7))</f>
        <v>13.175731739063774</v>
      </c>
      <c r="BY9" s="9">
        <f>IF(管理者入力シート!$B$14=1,BX6*管理者用人口入力シート!AZ$3,IF(管理者入力シート!$B$14=2,BX6*管理者用人口入力シート!AZ$7))</f>
        <v>16.171709714297325</v>
      </c>
      <c r="BZ9" s="9">
        <f>IF(管理者入力シート!$B$14=1,BY6*管理者用人口入力シート!BA$3,IF(管理者入力シート!$B$14=2,BY6*管理者用人口入力シート!BA$7))</f>
        <v>23.384173861834476</v>
      </c>
      <c r="CA9" s="9">
        <f>IF(管理者入力シート!$B$14=1,BZ6*管理者用人口入力シート!BB$3,IF(管理者入力シート!$B$14=2,BZ6*管理者用人口入力シート!BB$7))</f>
        <v>18.156021909901618</v>
      </c>
      <c r="CB9" s="9">
        <f>IF(管理者入力シート!$B$14=1,CA6*管理者用人口入力シート!BC$3,IF(管理者入力シート!$B$14=2,CA6*管理者用人口入力シート!BC$7))</f>
        <v>10.234885429334268</v>
      </c>
      <c r="CC9" s="9">
        <f>IF(管理者入力シート!$B$14=1,CB6*管理者用人口入力シート!BD$3,IF(管理者入力シート!$B$14=2,CB6*管理者用人口入力シート!BD$7))</f>
        <v>3.2031000837872785</v>
      </c>
      <c r="CD9" s="9">
        <f>IF(管理者入力シート!$B$14=1,CC6*管理者用人口入力シート!BE$3,IF(管理者入力シート!$B$14=2,CC6*管理者用人口入力シート!BE$7))</f>
        <v>4.7560203034212552E-2</v>
      </c>
      <c r="CE9" s="9">
        <f>IF(管理者入力シート!$B$14=1,CD6*管理者用人口入力シート!BF$3,IF(管理者入力シート!$B$14=2,CD6*管理者用人口入力シート!BF$7))</f>
        <v>9.7729600526270691E-5</v>
      </c>
      <c r="CF9" s="9">
        <f t="shared" si="2"/>
        <v>185.89184132486113</v>
      </c>
      <c r="CG9" s="9">
        <f t="shared" si="20"/>
        <v>4.3751276487955169</v>
      </c>
      <c r="CH9" s="9">
        <f t="shared" si="21"/>
        <v>2.5484805141163926</v>
      </c>
      <c r="CI9" s="9">
        <f t="shared" si="3"/>
        <v>84.373280670853475</v>
      </c>
      <c r="CJ9" s="9">
        <f t="shared" si="22"/>
        <v>55.025839217492383</v>
      </c>
      <c r="CK9" s="13">
        <f t="shared" si="23"/>
        <v>0.45388372114408343</v>
      </c>
      <c r="CL9" s="13">
        <f t="shared" si="24"/>
        <v>0.29600997453852884</v>
      </c>
      <c r="CM9" s="9">
        <f t="shared" si="25"/>
        <v>34.172853348376336</v>
      </c>
      <c r="CO9" s="7" t="str">
        <f t="shared" si="26"/>
        <v>2035_1</v>
      </c>
      <c r="CP9" s="28">
        <f>管理者入力シート!B10</f>
        <v>2035</v>
      </c>
      <c r="CQ9" s="3" t="s">
        <v>21</v>
      </c>
      <c r="CR9" s="9">
        <f>DT10*$AK$13+将来予測シート②!$G17</f>
        <v>4.1594945388588158</v>
      </c>
      <c r="CS9" s="9">
        <f>IF(管理者入力シート!$B$14=1,CR6*管理者用人口入力シート!AM$3,IF(管理者入力シート!$B$14=2,CR6*管理者用人口入力シート!AM$7))+将来予測シート②!$G18</f>
        <v>4.4344588521245685</v>
      </c>
      <c r="CT9" s="9">
        <f>IF(管理者入力シート!$B$14=1,CS6*管理者用人口入力シート!AN$3,IF(管理者入力シート!$B$14=2,CS6*管理者用人口入力シート!AN$7))+将来予測シート②!$G19</f>
        <v>6.3686068475933277</v>
      </c>
      <c r="CU9" s="9">
        <f>IF(管理者入力シート!$B$14=1,CT6*管理者用人口入力シート!AO$3,IF(管理者入力シート!$B$14=2,CT6*管理者用人口入力シート!AO$7))+将来予測シート②!$G20</f>
        <v>4.4193580042395837</v>
      </c>
      <c r="CV9" s="9">
        <f>IF(管理者入力シート!$B$14=1,CU6*管理者用人口入力シート!AP$3,IF(管理者入力シート!$B$14=2,CU6*管理者用人口入力シート!AP$7))+将来予測シート②!$G21</f>
        <v>8.4108264122932344</v>
      </c>
      <c r="CW9" s="9">
        <f>IF(管理者入力シート!$B$14=1,CV6*管理者用人口入力シート!AQ$3,IF(管理者入力シート!$B$14=2,CV6*管理者用人口入力シート!AQ$7))+将来予測シート②!$G22</f>
        <v>9.4250279000213038</v>
      </c>
      <c r="CX9" s="9">
        <f>IF(管理者入力シート!$B$14=1,CW6*管理者用人口入力シート!AR$3,IF(管理者入力シート!$B$14=2,CW6*管理者用人口入力シート!AR$7))+将来予測シート②!$G23</f>
        <v>12.711089479583988</v>
      </c>
      <c r="CY9" s="9">
        <f>IF(管理者入力シート!$B$14=1,CX6*管理者用人口入力シート!AS$3,IF(管理者入力シート!$B$14=2,CX6*管理者用人口入力シート!AS$7))+将来予測シート②!$G24</f>
        <v>10.004479853529348</v>
      </c>
      <c r="CZ9" s="9">
        <f>IF(管理者入力シート!$B$14=1,CY6*管理者用人口入力シート!AT$3,IF(管理者入力シート!$B$14=2,CY6*管理者用人口入力シート!AT$7))+将来予測シート②!$G25</f>
        <v>12.412239352686226</v>
      </c>
      <c r="DA9" s="9">
        <f>IF(管理者入力シート!$B$14=1,CZ6*管理者用人口入力シート!AU$3,IF(管理者入力シート!$B$14=2,CZ6*管理者用人口入力シート!AU$7))+将来予測シート②!$G26</f>
        <v>6.0172421693686999</v>
      </c>
      <c r="DB9" s="9">
        <f>IF(管理者入力シート!$B$14=1,DA6*管理者用人口入力シート!AV$3,IF(管理者入力シート!$B$14=2,DA6*管理者用人口入力シート!AV$7))+将来予測シート②!$G27</f>
        <v>8.3111689430416877</v>
      </c>
      <c r="DC9" s="9">
        <f>IF(管理者入力シート!$B$14=1,DB6*管理者用人口入力シート!AW$3,IF(管理者入力シート!$B$14=2,DB6*管理者用人口入力シート!AW$7))+将来予測シート②!$G28</f>
        <v>12.708612217132139</v>
      </c>
      <c r="DD9" s="9">
        <f>IF(管理者入力シート!$B$14=1,DC6*管理者用人口入力シート!AX$3,IF(管理者入力シート!$B$14=2,DC6*管理者用人口入力シート!AX$7))+将来予測シート②!$G29</f>
        <v>15.098263240747999</v>
      </c>
      <c r="DE9" s="9">
        <f>IF(管理者入力シート!$B$14=1,DD6*管理者用人口入力シート!AY$3,IF(管理者入力シート!$B$14=2,DD6*管理者用人口入力シート!AY$7))</f>
        <v>13.175731739063774</v>
      </c>
      <c r="DF9" s="9">
        <f>IF(管理者入力シート!$B$14=1,DE6*管理者用人口入力シート!AZ$3,IF(管理者入力シート!$B$14=2,DE6*管理者用人口入力シート!AZ$7))</f>
        <v>16.171709714297325</v>
      </c>
      <c r="DG9" s="9">
        <f>IF(管理者入力シート!$B$14=1,DF6*管理者用人口入力シート!BA$3,IF(管理者入力シート!$B$14=2,DF6*管理者用人口入力シート!BA$7))</f>
        <v>23.384173861834476</v>
      </c>
      <c r="DH9" s="9">
        <f>IF(管理者入力シート!$B$14=1,DG6*管理者用人口入力シート!BB$3,IF(管理者入力シート!$B$14=2,DG6*管理者用人口入力シート!BB$7))</f>
        <v>18.156021909901618</v>
      </c>
      <c r="DI9" s="9">
        <f>IF(管理者入力シート!$B$14=1,DH6*管理者用人口入力シート!BC$3,IF(管理者入力シート!$B$14=2,DH6*管理者用人口入力シート!BC$7))</f>
        <v>10.234885429334268</v>
      </c>
      <c r="DJ9" s="9">
        <f>IF(管理者入力シート!$B$14=1,DI6*管理者用人口入力シート!BD$3,IF(管理者入力シート!$B$14=2,DI6*管理者用人口入力シート!BD$7))</f>
        <v>3.2031000837872785</v>
      </c>
      <c r="DK9" s="9">
        <f>IF(管理者入力シート!$B$14=1,DJ6*管理者用人口入力シート!BE$3,IF(管理者入力シート!$B$14=2,DJ6*管理者用人口入力シート!BE$7))</f>
        <v>4.7560203034212552E-2</v>
      </c>
      <c r="DL9" s="9">
        <f>IF(管理者入力シート!$B$14=1,DK6*管理者用人口入力シート!BF$3,IF(管理者入力シート!$B$14=2,DK6*管理者用人口入力シート!BF$7))</f>
        <v>9.7729600526270691E-5</v>
      </c>
      <c r="DM9" s="9">
        <f t="shared" si="69"/>
        <v>198.85414848207444</v>
      </c>
      <c r="DN9" s="9">
        <f t="shared" si="34"/>
        <v>6.4818394198307381</v>
      </c>
      <c r="DO9" s="9">
        <f t="shared" si="35"/>
        <v>3.4313143398852479</v>
      </c>
      <c r="DP9" s="9">
        <f t="shared" si="6"/>
        <v>84.373280670853475</v>
      </c>
      <c r="DQ9" s="9">
        <f t="shared" si="36"/>
        <v>55.025839217492383</v>
      </c>
      <c r="DR9" s="13">
        <f t="shared" si="37"/>
        <v>0.42429731194900994</v>
      </c>
      <c r="DS9" s="13">
        <f t="shared" si="38"/>
        <v>0.27671456510977765</v>
      </c>
      <c r="DT9" s="9">
        <f t="shared" si="70"/>
        <v>40.551423645427874</v>
      </c>
      <c r="DV9" s="7" t="s">
        <v>403</v>
      </c>
      <c r="DW9" s="209">
        <f>DW7+DW8</f>
        <v>-37.752395834185563</v>
      </c>
      <c r="DX9" s="28">
        <f>管理者入力シート!B10</f>
        <v>2035</v>
      </c>
      <c r="DY9" s="3" t="s">
        <v>21</v>
      </c>
      <c r="DZ9" s="9">
        <f>FB10*$AK$13</f>
        <v>9.9727831758632188</v>
      </c>
      <c r="EA9" s="129">
        <f>IF(管理者入力シート!$B$14=1,DZ6*管理者用人口入力シート!AM$3,IF(管理者入力シート!$B$14=2,DZ6*管理者用人口入力シート!AM$7))</f>
        <v>8.6712858035536318</v>
      </c>
      <c r="EB9" s="9">
        <f>IF(管理者入力シート!$B$14=1,EA6*管理者用人口入力シート!AN$3,IF(管理者入力シート!$B$14=2,EA6*管理者用人口入力シート!AN$7))</f>
        <v>4.4923331651299669</v>
      </c>
      <c r="EC9" s="9">
        <f>IF(管理者入力シート!$B$14=1,EB6*管理者用人口入力シート!AO$3,IF(管理者入力シート!$B$14=2,EB6*管理者用人口入力シート!AO$7))</f>
        <v>3.7577362403220289</v>
      </c>
      <c r="ED9" s="9">
        <f>IF(管理者入力シート!$B$14=1,EC6*管理者用人口入力シート!AP$3,IF(管理者入力シート!$B$14=2,EC6*管理者用人口入力シート!AP$7))</f>
        <v>7.7987858942891428</v>
      </c>
      <c r="EE9" s="9">
        <f>IF(管理者入力シート!$B$14=1,ED6*管理者用人口入力シート!AQ$3,IF(管理者入力シート!$B$14=2,ED6*管理者用人口入力シート!AQ$7))+DX1</f>
        <v>13.425027900021304</v>
      </c>
      <c r="EF9" s="9">
        <f>IF(管理者入力シート!$B$14=1,EE6*管理者用人口入力シート!AR$3,IF(管理者入力シート!$B$14=2,EE6*管理者用人口入力シート!AR$7))+DX1</f>
        <v>23.222470095677661</v>
      </c>
      <c r="EG9" s="9">
        <f>IF(管理者入力シート!$B$14=1,EF6*管理者用人口入力シート!AS$3,IF(管理者入力シート!$B$14=2,EF6*管理者用人口入力シート!AS$7))+DX1</f>
        <v>23.044900549957344</v>
      </c>
      <c r="EH9" s="9">
        <f>IF(管理者入力シート!$B$14=1,EG6*管理者用人口入力シート!AT$3,IF(管理者入力シート!$B$14=2,EG6*管理者用人口入力シート!AT$7))</f>
        <v>24.441961142283546</v>
      </c>
      <c r="EI9" s="9">
        <f>IF(管理者入力シート!$B$14=1,EH6*管理者用人口入力シート!AU$3,IF(管理者入力シート!$B$14=2,EH6*管理者用人口入力シート!AU$7))</f>
        <v>14.147735722055751</v>
      </c>
      <c r="EJ9" s="9">
        <f>IF(管理者入力シート!$B$14=1,EI6*管理者用人口入力シート!AV$3,IF(管理者入力シート!$B$14=2,EI6*管理者用人口入力シート!AV$7))</f>
        <v>8.3111689430416877</v>
      </c>
      <c r="EK9" s="9">
        <f>IF(管理者入力シート!$B$14=1,EJ6*管理者用人口入力シート!AW$3,IF(管理者入力シート!$B$14=2,EJ6*管理者用人口入力シート!AW$7))</f>
        <v>12.708612217132139</v>
      </c>
      <c r="EL9" s="9">
        <f>IF(管理者入力シート!$B$14=1,EK6*管理者用人口入力シート!AX$3,IF(管理者入力シート!$B$14=2,EK6*管理者用人口入力シート!AX$7))</f>
        <v>15.098263240747999</v>
      </c>
      <c r="EM9" s="9">
        <f>IF(管理者入力シート!$B$14=1,EL6*管理者用人口入力シート!AY$3,IF(管理者入力シート!$B$14=2,EL6*管理者用人口入力シート!AY$7))</f>
        <v>13.175731739063774</v>
      </c>
      <c r="EN9" s="9">
        <f>IF(管理者入力シート!$B$14=1,EM6*管理者用人口入力シート!AZ$3,IF(管理者入力シート!$B$14=2,EM6*管理者用人口入力シート!AZ$7))</f>
        <v>16.171709714297325</v>
      </c>
      <c r="EO9" s="9">
        <f>IF(管理者入力シート!$B$14=1,EN6*管理者用人口入力シート!BA$3,IF(管理者入力シート!$B$14=2,EN6*管理者用人口入力シート!BA$7))</f>
        <v>23.384173861834476</v>
      </c>
      <c r="EP9" s="9">
        <f>IF(管理者入力シート!$B$14=1,EO6*管理者用人口入力シート!BB$3,IF(管理者入力シート!$B$14=2,EO6*管理者用人口入力シート!BB$7))</f>
        <v>18.156021909901618</v>
      </c>
      <c r="EQ9" s="9">
        <f>IF(管理者入力シート!$B$14=1,EP6*管理者用人口入力シート!BC$3,IF(管理者入力シート!$B$14=2,EP6*管理者用人口入力シート!BC$7))</f>
        <v>10.234885429334268</v>
      </c>
      <c r="ER9" s="9">
        <f>IF(管理者入力シート!$B$14=1,EQ6*管理者用人口入力シート!BD$3,IF(管理者入力シート!$B$14=2,EQ6*管理者用人口入力シート!BD$7))</f>
        <v>3.2031000837872785</v>
      </c>
      <c r="ES9" s="9">
        <f>IF(管理者入力シート!$B$14=1,ER6*管理者用人口入力シート!BE$3,IF(管理者入力シート!$B$14=2,ER6*管理者用人口入力シート!BE$7))</f>
        <v>4.7560203034212552E-2</v>
      </c>
      <c r="ET9" s="9">
        <f>IF(管理者入力シート!$B$14=1,ES6*管理者用人口入力シート!BF$3,IF(管理者入力シート!$B$14=2,ES6*管理者用人口入力シート!BF$7))</f>
        <v>9.7729600526270691E-5</v>
      </c>
      <c r="EU9" s="9">
        <f t="shared" si="71"/>
        <v>253.46634476092891</v>
      </c>
      <c r="EV9" s="9">
        <f t="shared" si="41"/>
        <v>7.8981713812101599</v>
      </c>
      <c r="EW9" s="9">
        <f t="shared" si="42"/>
        <v>2.5484805141163926</v>
      </c>
      <c r="EX9" s="9">
        <f t="shared" si="10"/>
        <v>84.373280670853475</v>
      </c>
      <c r="EY9" s="9">
        <f t="shared" si="43"/>
        <v>55.025839217492383</v>
      </c>
      <c r="EZ9" s="13">
        <f t="shared" si="44"/>
        <v>0.33287764791982499</v>
      </c>
      <c r="FA9" s="13">
        <f t="shared" si="45"/>
        <v>0.21709327630614278</v>
      </c>
      <c r="FB9" s="9">
        <f t="shared" si="72"/>
        <v>67.491184439945457</v>
      </c>
    </row>
    <row r="10" spans="1:158" x14ac:dyDescent="0.15">
      <c r="A10" s="7" t="str">
        <f t="shared" si="11"/>
        <v>2015_2</v>
      </c>
      <c r="B10" s="29">
        <v>2015</v>
      </c>
      <c r="C10" s="4" t="s">
        <v>22</v>
      </c>
      <c r="D10" s="10">
        <v>7.0190467905072822</v>
      </c>
      <c r="E10" s="10">
        <v>9.9406695085600205</v>
      </c>
      <c r="F10" s="10">
        <v>5.2787926684645994</v>
      </c>
      <c r="G10" s="10">
        <v>8.5518065558908241</v>
      </c>
      <c r="H10" s="10">
        <v>4.4488152418280302</v>
      </c>
      <c r="I10" s="10">
        <v>8.6209713414438713</v>
      </c>
      <c r="J10" s="10">
        <v>7.2265411471664249</v>
      </c>
      <c r="K10" s="10">
        <v>11.882850745653597</v>
      </c>
      <c r="L10" s="10">
        <v>12.580065842792321</v>
      </c>
      <c r="M10" s="10">
        <v>13.905331251516719</v>
      </c>
      <c r="N10" s="10">
        <v>17.513034583491681</v>
      </c>
      <c r="O10" s="10">
        <v>19.737442204405699</v>
      </c>
      <c r="P10" s="10">
        <v>32.17917847609192</v>
      </c>
      <c r="Q10" s="10">
        <v>26.416232308755994</v>
      </c>
      <c r="R10" s="10">
        <v>19.247721463926116</v>
      </c>
      <c r="S10" s="10">
        <v>25.500388371741629</v>
      </c>
      <c r="T10" s="10">
        <v>26.410665067147743</v>
      </c>
      <c r="U10" s="10">
        <v>20.146863676115732</v>
      </c>
      <c r="V10" s="10">
        <v>10.206194167555712</v>
      </c>
      <c r="W10" s="10">
        <v>1.8730164515405292</v>
      </c>
      <c r="X10" s="10">
        <v>0.20749435665914223</v>
      </c>
      <c r="Y10" s="10">
        <f t="shared" si="68"/>
        <v>288.89312222125557</v>
      </c>
      <c r="Z10" s="10">
        <f t="shared" si="12"/>
        <v>9.1316773062147725</v>
      </c>
      <c r="AA10" s="10">
        <f t="shared" si="13"/>
        <v>3.8218783785640045</v>
      </c>
      <c r="AB10" s="10">
        <f t="shared" si="0"/>
        <v>130.00857586344259</v>
      </c>
      <c r="AC10" s="10">
        <f t="shared" si="14"/>
        <v>84.344622090760481</v>
      </c>
      <c r="AD10" s="14">
        <f t="shared" si="15"/>
        <v>0.45002309111351041</v>
      </c>
      <c r="AE10" s="14">
        <f t="shared" si="16"/>
        <v>0.29195787508628596</v>
      </c>
      <c r="AF10" s="10">
        <f t="shared" si="17"/>
        <v>32.179178476091927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2.1189895792539577</v>
      </c>
      <c r="BL10" s="10">
        <f>IF(管理者入力シート!$B$14=1,BK7*管理者用人口入力シート!AM$4,IF(管理者入力シート!$B$14=2,BK7*管理者用人口入力シート!AM$8))</f>
        <v>3.8591456197755631</v>
      </c>
      <c r="BM10" s="10">
        <f>IF(管理者入力シート!$B$14=1,BL7*管理者用人口入力シート!AN$4,IF(管理者入力シート!$B$14=2,BL7*管理者用人口入力シート!AN$8))</f>
        <v>4.4856640756465769</v>
      </c>
      <c r="BN10" s="10">
        <f>IF(管理者入力シート!$B$14=1,BM7*管理者用人口入力シート!AO$4,IF(管理者入力シート!$B$14=2,BM7*管理者用人口入力シート!AO$8))</f>
        <v>4.3707892100160652</v>
      </c>
      <c r="BO10" s="10">
        <f>IF(管理者入力シート!$B$14=1,BN7*管理者用人口入力シート!AP$4,IF(管理者入力シート!$B$14=2,BN7*管理者用人口入力シート!AP$8))</f>
        <v>0.90520197734937857</v>
      </c>
      <c r="BP10" s="10">
        <f>IF(管理者入力シート!$B$14=1,BO7*管理者用人口入力シート!AQ$4,IF(管理者入力シート!$B$14=2,BO7*管理者用人口入力シート!AQ$8))</f>
        <v>3.0719877993006439</v>
      </c>
      <c r="BQ10" s="10">
        <f>IF(管理者入力シート!$B$14=1,BP7*管理者用人口入力シート!AR$4,IF(管理者入力シート!$B$14=2,BP7*管理者用人口入力シート!AR$8))</f>
        <v>1.6507172105685644</v>
      </c>
      <c r="BR10" s="10">
        <f>IF(管理者入力シート!$B$14=1,BQ7*管理者用人口入力シート!AS$4,IF(管理者入力シート!$B$14=2,BQ7*管理者用人口入力シート!AS$8))</f>
        <v>1.9665687689771323</v>
      </c>
      <c r="BS10" s="10">
        <f>IF(管理者入力シート!$B$14=1,BR7*管理者用人口入力シート!AT$4,IF(管理者入力シート!$B$14=2,BR7*管理者用人口入力シート!AT$8))</f>
        <v>7.3046861318138365</v>
      </c>
      <c r="BT10" s="10">
        <f>IF(管理者入力シート!$B$14=1,BS7*管理者用人口入力シート!AU$4,IF(管理者入力シート!$B$14=2,BS7*管理者用人口入力シート!AU$8))</f>
        <v>8.0721772170739055</v>
      </c>
      <c r="BU10" s="10">
        <f>IF(管理者入力シート!$B$14=1,BT7*管理者用人口入力シート!AV$4,IF(管理者入力シート!$B$14=2,BT7*管理者用人口入力シート!AV$8))</f>
        <v>6.5075708644651753</v>
      </c>
      <c r="BV10" s="10">
        <f>IF(管理者入力シート!$B$14=1,BU7*管理者用人口入力シート!AW$4,IF(管理者入力シート!$B$14=2,BU7*管理者用人口入力シート!AW$8))</f>
        <v>12.045994164945393</v>
      </c>
      <c r="BW10" s="10">
        <f>IF(管理者入力シート!$B$14=1,BV7*管理者用人口入力シート!AX$4,IF(管理者入力シート!$B$14=2,BV7*管理者用人口入力シート!AX$8))</f>
        <v>14.7690669366234</v>
      </c>
      <c r="BX10" s="10">
        <f>IF(管理者入力シート!$B$14=1,BW7*管理者用人口入力シート!AY$4,IF(管理者入力シート!$B$14=2,BW7*管理者用人口入力シート!AY$8))</f>
        <v>18.126597015513706</v>
      </c>
      <c r="BY10" s="10">
        <f>IF(管理者入力シート!$B$14=1,BX7*管理者用人口入力シート!AZ$4,IF(管理者入力シート!$B$14=2,BX7*管理者用人口入力シート!AZ$8))</f>
        <v>17.937942413606407</v>
      </c>
      <c r="BZ10" s="10">
        <f>IF(管理者入力シート!$B$14=1,BY7*管理者用人口入力シート!BA$4,IF(管理者入力シート!$B$14=2,BY7*管理者用人口入力シート!BA$8))</f>
        <v>18.318300824908793</v>
      </c>
      <c r="CA10" s="10">
        <f>IF(管理者入力シート!$B$14=1,BZ7*管理者用人口入力シート!BB$4,IF(管理者入力シート!$B$14=2,BZ7*管理者用人口入力シート!BB$8))</f>
        <v>19.819844073033916</v>
      </c>
      <c r="CB10" s="10">
        <f>IF(管理者入力シート!$B$14=1,CA7*管理者用人口入力シート!BC$4,IF(管理者入力シート!$B$14=2,CA7*管理者用人口入力シート!BC$8))</f>
        <v>10.811074081044231</v>
      </c>
      <c r="CC10" s="10">
        <f>IF(管理者入力シート!$B$14=1,CB7*管理者用人口入力シート!BD$4,IF(管理者入力シート!$B$14=2,CB7*管理者用人口入力シート!BD$8))</f>
        <v>3.5655151321841174</v>
      </c>
      <c r="CD10" s="10">
        <f>IF(管理者入力シート!$B$14=1,CC7*管理者用人口入力シート!BE$4,IF(管理者入力シート!$B$14=2,CC7*管理者用人口入力シート!BE$8))</f>
        <v>0.83243574895685657</v>
      </c>
      <c r="CE10" s="10">
        <f>IF(管理者入力シート!$B$14=1,CD7*管理者用人口入力シート!BF$4,IF(管理者入力シート!$B$14=2,CD7*管理者用人口入力シート!BF$8))</f>
        <v>1.2647876902974885E-3</v>
      </c>
      <c r="CF10" s="10">
        <f t="shared" si="2"/>
        <v>160.54153363274793</v>
      </c>
      <c r="CG10" s="10">
        <f t="shared" si="20"/>
        <v>5.0068858172532842</v>
      </c>
      <c r="CH10" s="10">
        <f t="shared" si="21"/>
        <v>2.6684234722618436</v>
      </c>
      <c r="CI10" s="10">
        <f t="shared" si="3"/>
        <v>89.412974076938326</v>
      </c>
      <c r="CJ10" s="10">
        <f t="shared" si="22"/>
        <v>53.348434647818209</v>
      </c>
      <c r="CK10" s="14">
        <f t="shared" si="23"/>
        <v>0.55694605659790142</v>
      </c>
      <c r="CL10" s="14">
        <f t="shared" si="24"/>
        <v>0.33230300870214169</v>
      </c>
      <c r="CM10" s="10">
        <f t="shared" si="25"/>
        <v>7.5944757561957195</v>
      </c>
      <c r="CO10" s="7" t="str">
        <f t="shared" si="26"/>
        <v>2035_2</v>
      </c>
      <c r="CP10" s="29">
        <f>CP9</f>
        <v>2035</v>
      </c>
      <c r="CQ10" s="4" t="s">
        <v>22</v>
      </c>
      <c r="CR10" s="10">
        <f>DT10*$AK$14+将来予測シート②!$H17</f>
        <v>4.8288157531602653</v>
      </c>
      <c r="CS10" s="10">
        <f>IF(管理者入力シート!$B$14=1,CR7*管理者用人口入力シート!AM$4,IF(管理者入力シート!$B$14=2,CR7*管理者用人口入力シート!AM$8))+将来予測シート②!$H18</f>
        <v>5.9070428322067876</v>
      </c>
      <c r="CT10" s="10">
        <f>IF(管理者入力シート!$B$14=1,CS7*管理者用人口入力シート!AN$4,IF(管理者入力シート!$B$14=2,CS7*管理者用人口入力シート!AN$8))+将来予測シート②!$H19</f>
        <v>6.2076815339211766</v>
      </c>
      <c r="CU10" s="10">
        <f>IF(管理者入力シート!$B$14=1,CT7*管理者用人口入力シート!AO$4,IF(管理者入力シート!$B$14=2,CT7*管理者用人口入力シート!AO$8))+将来予測シート②!$H20</f>
        <v>5.1414948948682273</v>
      </c>
      <c r="CV10" s="10">
        <f>IF(管理者入力シート!$B$14=1,CU7*管理者用人口入力シート!AP$4,IF(管理者入力シート!$B$14=2,CU7*管理者用人口入力シート!AP$8))+将来予測シート②!$H21</f>
        <v>1.1090198857027729</v>
      </c>
      <c r="CW10" s="10">
        <f>IF(管理者入力シート!$B$14=1,CV7*管理者用人口入力シート!AQ$4,IF(管理者入力シート!$B$14=2,CV7*管理者用人口入力シート!AQ$8))+将来予測シート②!$H22</f>
        <v>5.0719877993006435</v>
      </c>
      <c r="CX10" s="10">
        <f>IF(管理者入力シート!$B$14=1,CW7*管理者用人口入力シート!AR$4,IF(管理者入力シート!$B$14=2,CW7*管理者用人口入力シート!AR$8))+将来予測シート②!$H23</f>
        <v>3.6214824163308319</v>
      </c>
      <c r="CY10" s="10">
        <f>IF(管理者入力シート!$B$14=1,CX7*管理者用人口入力シート!AS$4,IF(管理者入力シート!$B$14=2,CX7*管理者用人口入力シート!AS$8))+将来予測シート②!$H24</f>
        <v>3.920016463588766</v>
      </c>
      <c r="CZ10" s="10">
        <f>IF(管理者入力シート!$B$14=1,CY7*管理者用人口入力シート!AT$4,IF(管理者入力シート!$B$14=2,CY7*管理者用人口入力シート!AT$8))+将来予測シート②!$H25</f>
        <v>8.3046861318138365</v>
      </c>
      <c r="DA10" s="10">
        <f>IF(管理者入力シート!$B$14=1,CZ7*管理者用人口入力シート!AU$4,IF(管理者入力シート!$B$14=2,CZ7*管理者用人口入力シート!AU$8))+将来予測シート②!$H26</f>
        <v>8.9419024712054664</v>
      </c>
      <c r="DB10" s="10">
        <f>IF(管理者入力シート!$B$14=1,DA7*管理者用人口入力シート!AV$4,IF(管理者入力シート!$B$14=2,DA7*管理者用人口入力シート!AV$8))+将来予測シート②!$H27</f>
        <v>7.5085438923290022</v>
      </c>
      <c r="DC10" s="10">
        <f>IF(管理者入力シート!$B$14=1,DB7*管理者用人口入力シート!AW$4,IF(管理者入力シート!$B$14=2,DB7*管理者用人口入力シート!AW$8))+将来予測シート②!$H28</f>
        <v>12.045994164945393</v>
      </c>
      <c r="DD10" s="10">
        <f>IF(管理者入力シート!$B$14=1,DC7*管理者用人口入力シート!AX$4,IF(管理者入力シート!$B$14=2,DC7*管理者用人口入力シート!AX$8))+将来予測シート②!$H29</f>
        <v>14.7690669366234</v>
      </c>
      <c r="DE10" s="10">
        <f>IF(管理者入力シート!$B$14=1,DD7*管理者用人口入力シート!AY$4,IF(管理者入力シート!$B$14=2,DD7*管理者用人口入力シート!AY$8))</f>
        <v>18.126597015513706</v>
      </c>
      <c r="DF10" s="10">
        <f>IF(管理者入力シート!$B$14=1,DE7*管理者用人口入力シート!AZ$4,IF(管理者入力シート!$B$14=2,DE7*管理者用人口入力シート!AZ$8))</f>
        <v>17.937942413606407</v>
      </c>
      <c r="DG10" s="10">
        <f>IF(管理者入力シート!$B$14=1,DF7*管理者用人口入力シート!BA$4,IF(管理者入力シート!$B$14=2,DF7*管理者用人口入力シート!BA$8))</f>
        <v>18.318300824908793</v>
      </c>
      <c r="DH10" s="10">
        <f>IF(管理者入力シート!$B$14=1,DG7*管理者用人口入力シート!BB$4,IF(管理者入力シート!$B$14=2,DG7*管理者用人口入力シート!BB$8))</f>
        <v>19.819844073033916</v>
      </c>
      <c r="DI10" s="10">
        <f>IF(管理者入力シート!$B$14=1,DH7*管理者用人口入力シート!BC$4,IF(管理者入力シート!$B$14=2,DH7*管理者用人口入力シート!BC$8))</f>
        <v>10.811074081044231</v>
      </c>
      <c r="DJ10" s="10">
        <f>IF(管理者入力シート!$B$14=1,DI7*管理者用人口入力シート!BD$4,IF(管理者入力シート!$B$14=2,DI7*管理者用人口入力シート!BD$8))</f>
        <v>3.5655151321841174</v>
      </c>
      <c r="DK10" s="10">
        <f>IF(管理者入力シート!$B$14=1,DJ7*管理者用人口入力シート!BE$4,IF(管理者入力シート!$B$14=2,DJ7*管理者用人口入力シート!BE$8))</f>
        <v>0.83243574895685657</v>
      </c>
      <c r="DL10" s="10">
        <f>IF(管理者入力シート!$B$14=1,DK7*管理者用人口入力シート!BF$4,IF(管理者入力シート!$B$14=2,DK7*管理者用人口入力シート!BF$8))</f>
        <v>1.2647876902974885E-3</v>
      </c>
      <c r="DM10" s="10">
        <f t="shared" si="69"/>
        <v>176.79070925293493</v>
      </c>
      <c r="DN10" s="10">
        <f t="shared" si="34"/>
        <v>7.2688346196767792</v>
      </c>
      <c r="DO10" s="10">
        <f t="shared" si="35"/>
        <v>3.5113715925421163</v>
      </c>
      <c r="DP10" s="10">
        <f t="shared" si="6"/>
        <v>89.412974076938326</v>
      </c>
      <c r="DQ10" s="10">
        <f t="shared" si="36"/>
        <v>53.348434647818209</v>
      </c>
      <c r="DR10" s="14">
        <f t="shared" si="37"/>
        <v>0.50575606860095201</v>
      </c>
      <c r="DS10" s="14">
        <f t="shared" si="38"/>
        <v>0.30176039721347836</v>
      </c>
      <c r="DT10" s="10">
        <f t="shared" si="70"/>
        <v>13.722506564923014</v>
      </c>
      <c r="DV10" s="62" t="s">
        <v>405</v>
      </c>
      <c r="DW10" s="209">
        <f>((SUM(BL12:BL13)*3/5+SUM(BM12:BM13)+SUM(BN12:BN13)*1/5)-(SUM(E12:E13)*3/5+SUM(F12:F13)+SUM(G12:G13)*1/5))/4</f>
        <v>-6.4557935509191822</v>
      </c>
      <c r="DX10" s="29">
        <f>DX9</f>
        <v>2035</v>
      </c>
      <c r="DY10" s="4" t="s">
        <v>22</v>
      </c>
      <c r="DZ10" s="10">
        <f>FB10*$AK$14</f>
        <v>12.085461410668712</v>
      </c>
      <c r="EA10" s="10">
        <f>IF(管理者入力シート!$B$14=1,DZ7*管理者用人口入力シート!AM$4,IF(管理者入力シート!$B$14=2,DZ7*管理者用人口入力シート!AM$8))</f>
        <v>11.953278011475359</v>
      </c>
      <c r="EB10" s="10">
        <f>IF(管理者入力シート!$B$14=1,EA7*管理者用人口入力シート!AN$4,IF(管理者入力シート!$B$14=2,EA7*管理者用人口入力シート!AN$8))</f>
        <v>4.4856640756465769</v>
      </c>
      <c r="EC10" s="10">
        <f>IF(管理者入力シート!$B$14=1,EB7*管理者用人口入力シート!AO$4,IF(管理者入力シート!$B$14=2,EB7*管理者用人口入力シート!AO$8))</f>
        <v>4.3707892100160652</v>
      </c>
      <c r="ED10" s="10">
        <f>IF(管理者入力シート!$B$14=1,EC7*管理者用人口入力シート!AP$4,IF(管理者入力シート!$B$14=2,EC7*管理者用人口入力シート!AP$8))</f>
        <v>0.90520197734937857</v>
      </c>
      <c r="EE10" s="10">
        <f>IF(管理者入力シート!$B$14=1,ED7*管理者用人口入力シート!AQ$4,IF(管理者入力シート!$B$14=2,ED7*管理者用人口入力シート!AQ$8))+DX1</f>
        <v>9.0719877993006435</v>
      </c>
      <c r="EF10" s="10">
        <f>IF(管理者入力シート!$B$14=1,EE7*管理者用人口入力シート!AR$4,IF(管理者入力シート!$B$14=2,EE7*管理者用人口入力シート!AR$8))+DX1</f>
        <v>13.563012827855367</v>
      </c>
      <c r="EG10" s="10">
        <f>IF(管理者入力シート!$B$14=1,EF7*管理者用人口入力シート!AS$4,IF(管理者入力シート!$B$14=2,EF7*管理者用人口入力シート!AS$8))+DX1</f>
        <v>19.774188643268857</v>
      </c>
      <c r="EH10" s="10">
        <f>IF(管理者入力シート!$B$14=1,EG7*管理者用人口入力シート!AT$4,IF(管理者入力シート!$B$14=2,EG7*管理者用人口入力シート!AT$8))</f>
        <v>17.75287044874057</v>
      </c>
      <c r="EI10" s="10">
        <f>IF(管理者入力シート!$B$14=1,EH7*管理者用人口入力シート!AU$4,IF(管理者入力シート!$B$14=2,EH7*管理者用人口入力シート!AU$8))</f>
        <v>12.635752625744942</v>
      </c>
      <c r="EJ10" s="10">
        <f>IF(管理者入力シート!$B$14=1,EI7*管理者用人口入力シート!AV$4,IF(管理者入力シート!$B$14=2,EI7*管理者用人口入力シート!AV$8))</f>
        <v>6.5075708644651753</v>
      </c>
      <c r="EK10" s="10">
        <f>IF(管理者入力シート!$B$14=1,EJ7*管理者用人口入力シート!AW$4,IF(管理者入力シート!$B$14=2,EJ7*管理者用人口入力シート!AW$8))</f>
        <v>12.045994164945393</v>
      </c>
      <c r="EL10" s="10">
        <f>IF(管理者入力シート!$B$14=1,EK7*管理者用人口入力シート!AX$4,IF(管理者入力シート!$B$14=2,EK7*管理者用人口入力シート!AX$8))</f>
        <v>14.7690669366234</v>
      </c>
      <c r="EM10" s="10">
        <f>IF(管理者入力シート!$B$14=1,EL7*管理者用人口入力シート!AY$4,IF(管理者入力シート!$B$14=2,EL7*管理者用人口入力シート!AY$8))</f>
        <v>18.126597015513706</v>
      </c>
      <c r="EN10" s="10">
        <f>IF(管理者入力シート!$B$14=1,EM7*管理者用人口入力シート!AZ$4,IF(管理者入力シート!$B$14=2,EM7*管理者用人口入力シート!AZ$8))</f>
        <v>17.937942413606407</v>
      </c>
      <c r="EO10" s="10">
        <f>IF(管理者入力シート!$B$14=1,EN7*管理者用人口入力シート!BA$4,IF(管理者入力シート!$B$14=2,EN7*管理者用人口入力シート!BA$8))</f>
        <v>18.318300824908793</v>
      </c>
      <c r="EP10" s="10">
        <f>IF(管理者入力シート!$B$14=1,EO7*管理者用人口入力シート!BB$4,IF(管理者入力シート!$B$14=2,EO7*管理者用人口入力シート!BB$8))</f>
        <v>19.819844073033916</v>
      </c>
      <c r="EQ10" s="10">
        <f>IF(管理者入力シート!$B$14=1,EP7*管理者用人口入力シート!BC$4,IF(管理者入力シート!$B$14=2,EP7*管理者用人口入力シート!BC$8))</f>
        <v>10.811074081044231</v>
      </c>
      <c r="ER10" s="10">
        <f>IF(管理者入力シート!$B$14=1,EQ7*管理者用人口入力シート!BD$4,IF(管理者入力シート!$B$14=2,EQ7*管理者用人口入力シート!BD$8))</f>
        <v>3.5655151321841174</v>
      </c>
      <c r="ES10" s="10">
        <f>IF(管理者入力シート!$B$14=1,ER7*管理者用人口入力シート!BE$4,IF(管理者入力シート!$B$14=2,ER7*管理者用人口入力シート!BE$8))</f>
        <v>0.83243574895685657</v>
      </c>
      <c r="ET10" s="10">
        <f>IF(管理者入力シート!$B$14=1,ES7*管理者用人口入力シート!BF$4,IF(管理者入力シート!$B$14=2,ES7*管理者用人口入力シート!BF$8))</f>
        <v>1.2647876902974885E-3</v>
      </c>
      <c r="EU10" s="10">
        <f t="shared" si="71"/>
        <v>229.33381307303878</v>
      </c>
      <c r="EV10" s="10">
        <f t="shared" si="41"/>
        <v>9.8633652522731605</v>
      </c>
      <c r="EW10" s="10">
        <f t="shared" si="42"/>
        <v>2.6684234722618436</v>
      </c>
      <c r="EX10" s="10">
        <f t="shared" si="10"/>
        <v>89.412974076938326</v>
      </c>
      <c r="EY10" s="10">
        <f t="shared" si="43"/>
        <v>53.348434647818209</v>
      </c>
      <c r="EZ10" s="14">
        <f t="shared" si="44"/>
        <v>0.38988133881706255</v>
      </c>
      <c r="FA10" s="14">
        <f t="shared" si="45"/>
        <v>0.23262350166753504</v>
      </c>
      <c r="FB10" s="10">
        <f t="shared" si="72"/>
        <v>43.314391247774246</v>
      </c>
    </row>
    <row r="11" spans="1:158" x14ac:dyDescent="0.15">
      <c r="A11" s="7" t="str">
        <f t="shared" si="11"/>
        <v>2015_3</v>
      </c>
      <c r="B11" s="30">
        <v>2015</v>
      </c>
      <c r="C11" s="5" t="s">
        <v>23</v>
      </c>
      <c r="D11" s="11">
        <v>19.114959134428268</v>
      </c>
      <c r="E11" s="11">
        <v>19.66827741885265</v>
      </c>
      <c r="F11" s="11">
        <v>19.040227107266976</v>
      </c>
      <c r="G11" s="11">
        <v>14.107258366567613</v>
      </c>
      <c r="H11" s="11">
        <v>14.948370276420679</v>
      </c>
      <c r="I11" s="11">
        <v>13.415610511037139</v>
      </c>
      <c r="J11" s="11">
        <v>18.417744037289548</v>
      </c>
      <c r="K11" s="11">
        <v>18.273847224575203</v>
      </c>
      <c r="L11" s="11">
        <v>24.952637328925498</v>
      </c>
      <c r="M11" s="11">
        <v>27.251776977000809</v>
      </c>
      <c r="N11" s="11">
        <v>33.354979830493726</v>
      </c>
      <c r="O11" s="11">
        <v>47.398640653116544</v>
      </c>
      <c r="P11" s="11">
        <v>63.107823570620738</v>
      </c>
      <c r="Q11" s="11">
        <v>58.457081213741823</v>
      </c>
      <c r="R11" s="11">
        <v>37.947691885036107</v>
      </c>
      <c r="S11" s="11">
        <v>43.774235596316828</v>
      </c>
      <c r="T11" s="11">
        <v>49.069729989606181</v>
      </c>
      <c r="U11" s="11">
        <v>32.519435162248911</v>
      </c>
      <c r="V11" s="11">
        <v>14.026959097798066</v>
      </c>
      <c r="W11" s="11">
        <v>2.9852202619975365</v>
      </c>
      <c r="X11" s="11">
        <v>0.20749435665914223</v>
      </c>
      <c r="Y11" s="11">
        <f t="shared" si="68"/>
        <v>572.04</v>
      </c>
      <c r="Z11" s="11">
        <f t="shared" si="12"/>
        <v>23.225102715671774</v>
      </c>
      <c r="AA11" s="11">
        <f t="shared" si="13"/>
        <v>10.437542516220313</v>
      </c>
      <c r="AB11" s="11">
        <f t="shared" si="0"/>
        <v>238.98784756340456</v>
      </c>
      <c r="AC11" s="11">
        <f t="shared" si="14"/>
        <v>142.58307446462666</v>
      </c>
      <c r="AD11" s="15">
        <f t="shared" si="15"/>
        <v>0.41778170680967164</v>
      </c>
      <c r="AE11" s="15">
        <f t="shared" si="16"/>
        <v>0.24925367887669861</v>
      </c>
      <c r="AF11" s="11">
        <f t="shared" si="17"/>
        <v>65.055572049322578</v>
      </c>
      <c r="BH11" s="7" t="str">
        <f t="shared" si="19"/>
        <v>2035_3</v>
      </c>
      <c r="BI11" s="30">
        <f>BI10</f>
        <v>2035</v>
      </c>
      <c r="BJ11" s="5" t="s">
        <v>23</v>
      </c>
      <c r="BK11" s="16">
        <f>BK9+BK10</f>
        <v>3.867555306927243</v>
      </c>
      <c r="BL11" s="16">
        <f t="shared" ref="BL11" si="117">BL9+BL10</f>
        <v>6.658691869304791</v>
      </c>
      <c r="BM11" s="16">
        <f t="shared" ref="BM11" si="118">BM9+BM10</f>
        <v>8.9779972407765438</v>
      </c>
      <c r="BN11" s="16">
        <f t="shared" ref="BN11" si="119">BN9+BN10</f>
        <v>8.1285254503380937</v>
      </c>
      <c r="BO11" s="16">
        <f t="shared" ref="BO11" si="120">BO9+BO10</f>
        <v>8.7039878716385211</v>
      </c>
      <c r="BP11" s="16">
        <f t="shared" ref="BP11" si="121">BP9+BP10</f>
        <v>10.497015699321947</v>
      </c>
      <c r="BQ11" s="16">
        <f t="shared" ref="BQ11" si="122">BQ9+BQ10</f>
        <v>12.106116382105714</v>
      </c>
      <c r="BR11" s="16">
        <f t="shared" ref="BR11" si="123">BR9+BR10</f>
        <v>10.460209151505875</v>
      </c>
      <c r="BS11" s="16">
        <f t="shared" ref="BS11" si="124">BS9+BS10</f>
        <v>19.716925484500063</v>
      </c>
      <c r="BT11" s="16">
        <f t="shared" ref="BT11" si="125">BT9+BT10</f>
        <v>14.089419386442605</v>
      </c>
      <c r="BU11" s="16">
        <f t="shared" ref="BU11" si="126">BU9+BU10</f>
        <v>14.818739807506862</v>
      </c>
      <c r="BV11" s="16">
        <f t="shared" ref="BV11" si="127">BV9+BV10</f>
        <v>24.754606382077533</v>
      </c>
      <c r="BW11" s="16">
        <f t="shared" ref="BW11" si="128">BW9+BW10</f>
        <v>29.8673301773714</v>
      </c>
      <c r="BX11" s="16">
        <f t="shared" ref="BX11" si="129">BX9+BX10</f>
        <v>31.302328754577481</v>
      </c>
      <c r="BY11" s="16">
        <f t="shared" ref="BY11" si="130">BY9+BY10</f>
        <v>34.109652127903729</v>
      </c>
      <c r="BZ11" s="16">
        <f t="shared" ref="BZ11" si="131">BZ9+BZ10</f>
        <v>41.702474686743273</v>
      </c>
      <c r="CA11" s="16">
        <f t="shared" ref="CA11" si="132">CA9+CA10</f>
        <v>37.975865982935531</v>
      </c>
      <c r="CB11" s="16">
        <f t="shared" ref="CB11" si="133">CB9+CB10</f>
        <v>21.045959510378498</v>
      </c>
      <c r="CC11" s="16">
        <f t="shared" ref="CC11" si="134">CC9+CC10</f>
        <v>6.7686152159713959</v>
      </c>
      <c r="CD11" s="16">
        <f t="shared" ref="CD11" si="135">CD9+CD10</f>
        <v>0.87999595199106917</v>
      </c>
      <c r="CE11" s="16">
        <f t="shared" ref="CE11" si="136">CE9+CE10</f>
        <v>1.3625172908237591E-3</v>
      </c>
      <c r="CF11" s="11">
        <f t="shared" si="2"/>
        <v>346.43337495760903</v>
      </c>
      <c r="CG11" s="11">
        <f t="shared" si="20"/>
        <v>9.3820134660488002</v>
      </c>
      <c r="CH11" s="11">
        <f t="shared" si="21"/>
        <v>5.2169039863782363</v>
      </c>
      <c r="CI11" s="11">
        <f t="shared" si="3"/>
        <v>173.78625474779182</v>
      </c>
      <c r="CJ11" s="11">
        <f t="shared" si="22"/>
        <v>108.37427386531058</v>
      </c>
      <c r="CK11" s="15">
        <f t="shared" si="23"/>
        <v>0.50164408890759149</v>
      </c>
      <c r="CL11" s="15">
        <f t="shared" si="24"/>
        <v>0.31282861785060889</v>
      </c>
      <c r="CM11" s="11">
        <f t="shared" si="25"/>
        <v>41.767329104572056</v>
      </c>
      <c r="CO11" s="7" t="str">
        <f t="shared" si="26"/>
        <v>2035_3</v>
      </c>
      <c r="CP11" s="30">
        <f>CP10</f>
        <v>2035</v>
      </c>
      <c r="CQ11" s="5" t="s">
        <v>23</v>
      </c>
      <c r="CR11" s="16">
        <f>CR9+CR10</f>
        <v>8.9883102920190812</v>
      </c>
      <c r="CS11" s="16">
        <f t="shared" ref="CS11" si="137">CS9+CS10</f>
        <v>10.341501684331355</v>
      </c>
      <c r="CT11" s="16">
        <f t="shared" ref="CT11" si="138">CT9+CT10</f>
        <v>12.576288381514505</v>
      </c>
      <c r="CU11" s="16">
        <f t="shared" ref="CU11" si="139">CU9+CU10</f>
        <v>9.560852899107811</v>
      </c>
      <c r="CV11" s="16">
        <f t="shared" ref="CV11" si="140">CV9+CV10</f>
        <v>9.5198462979960077</v>
      </c>
      <c r="CW11" s="16">
        <f t="shared" ref="CW11" si="141">CW9+CW10</f>
        <v>14.497015699321947</v>
      </c>
      <c r="CX11" s="16">
        <f t="shared" ref="CX11" si="142">CX9+CX10</f>
        <v>16.332571895914821</v>
      </c>
      <c r="CY11" s="16">
        <f t="shared" ref="CY11" si="143">CY9+CY10</f>
        <v>13.924496317118114</v>
      </c>
      <c r="CZ11" s="16">
        <f t="shared" ref="CZ11" si="144">CZ9+CZ10</f>
        <v>20.716925484500063</v>
      </c>
      <c r="DA11" s="16">
        <f t="shared" ref="DA11" si="145">DA9+DA10</f>
        <v>14.959144640574166</v>
      </c>
      <c r="DB11" s="16">
        <f t="shared" ref="DB11" si="146">DB9+DB10</f>
        <v>15.819712835370691</v>
      </c>
      <c r="DC11" s="16">
        <f t="shared" ref="DC11" si="147">DC9+DC10</f>
        <v>24.754606382077533</v>
      </c>
      <c r="DD11" s="16">
        <f t="shared" ref="DD11" si="148">DD9+DD10</f>
        <v>29.8673301773714</v>
      </c>
      <c r="DE11" s="16">
        <f t="shared" ref="DE11" si="149">DE9+DE10</f>
        <v>31.302328754577481</v>
      </c>
      <c r="DF11" s="16">
        <f t="shared" ref="DF11" si="150">DF9+DF10</f>
        <v>34.109652127903729</v>
      </c>
      <c r="DG11" s="16">
        <f t="shared" ref="DG11" si="151">DG9+DG10</f>
        <v>41.702474686743273</v>
      </c>
      <c r="DH11" s="16">
        <f t="shared" ref="DH11" si="152">DH9+DH10</f>
        <v>37.975865982935531</v>
      </c>
      <c r="DI11" s="16">
        <f t="shared" ref="DI11" si="153">DI9+DI10</f>
        <v>21.045959510378498</v>
      </c>
      <c r="DJ11" s="16">
        <f t="shared" ref="DJ11" si="154">DJ9+DJ10</f>
        <v>6.7686152159713959</v>
      </c>
      <c r="DK11" s="16">
        <f t="shared" ref="DK11" si="155">DK9+DK10</f>
        <v>0.87999595199106917</v>
      </c>
      <c r="DL11" s="16">
        <f t="shared" ref="DL11" si="156">DL9+DL10</f>
        <v>1.3625172908237591E-3</v>
      </c>
      <c r="DM11" s="11">
        <f t="shared" si="69"/>
        <v>375.64485773500934</v>
      </c>
      <c r="DN11" s="11">
        <f t="shared" si="34"/>
        <v>13.750674039507516</v>
      </c>
      <c r="DO11" s="11">
        <f t="shared" si="35"/>
        <v>6.9426859324273638</v>
      </c>
      <c r="DP11" s="11">
        <f t="shared" si="6"/>
        <v>173.78625474779182</v>
      </c>
      <c r="DQ11" s="11">
        <f t="shared" si="36"/>
        <v>108.37427386531058</v>
      </c>
      <c r="DR11" s="15">
        <f t="shared" si="37"/>
        <v>0.46263445690606425</v>
      </c>
      <c r="DS11" s="15">
        <f t="shared" si="38"/>
        <v>0.28850194973721938</v>
      </c>
      <c r="DT11" s="11">
        <f t="shared" si="70"/>
        <v>54.273930210350883</v>
      </c>
      <c r="DW11" s="210"/>
      <c r="DX11" s="30">
        <f>DX10</f>
        <v>2035</v>
      </c>
      <c r="DY11" s="5" t="s">
        <v>23</v>
      </c>
      <c r="DZ11" s="16">
        <f>DZ9+DZ10</f>
        <v>22.058244586531931</v>
      </c>
      <c r="EA11" s="16">
        <f t="shared" ref="EA11" si="157">EA9+EA10</f>
        <v>20.624563815028992</v>
      </c>
      <c r="EB11" s="16">
        <f t="shared" ref="EB11" si="158">EB9+EB10</f>
        <v>8.9779972407765438</v>
      </c>
      <c r="EC11" s="16">
        <f t="shared" ref="EC11" si="159">EC9+EC10</f>
        <v>8.1285254503380937</v>
      </c>
      <c r="ED11" s="16">
        <f t="shared" ref="ED11" si="160">ED9+ED10</f>
        <v>8.7039878716385211</v>
      </c>
      <c r="EE11" s="16">
        <f t="shared" ref="EE11" si="161">EE9+EE10</f>
        <v>22.497015699321949</v>
      </c>
      <c r="EF11" s="16">
        <f t="shared" ref="EF11" si="162">EF9+EF10</f>
        <v>36.785482923533024</v>
      </c>
      <c r="EG11" s="16">
        <f t="shared" ref="EG11" si="163">EG9+EG10</f>
        <v>42.819089193226205</v>
      </c>
      <c r="EH11" s="16">
        <f t="shared" ref="EH11" si="164">EH9+EH10</f>
        <v>42.194831591024112</v>
      </c>
      <c r="EI11" s="16">
        <f t="shared" ref="EI11" si="165">EI9+EI10</f>
        <v>26.783488347800692</v>
      </c>
      <c r="EJ11" s="16">
        <f t="shared" ref="EJ11" si="166">EJ9+EJ10</f>
        <v>14.818739807506862</v>
      </c>
      <c r="EK11" s="16">
        <f t="shared" ref="EK11" si="167">EK9+EK10</f>
        <v>24.754606382077533</v>
      </c>
      <c r="EL11" s="16">
        <f t="shared" ref="EL11" si="168">EL9+EL10</f>
        <v>29.8673301773714</v>
      </c>
      <c r="EM11" s="16">
        <f t="shared" ref="EM11" si="169">EM9+EM10</f>
        <v>31.302328754577481</v>
      </c>
      <c r="EN11" s="16">
        <f t="shared" ref="EN11" si="170">EN9+EN10</f>
        <v>34.109652127903729</v>
      </c>
      <c r="EO11" s="16">
        <f t="shared" ref="EO11" si="171">EO9+EO10</f>
        <v>41.702474686743273</v>
      </c>
      <c r="EP11" s="16">
        <f t="shared" ref="EP11" si="172">EP9+EP10</f>
        <v>37.975865982935531</v>
      </c>
      <c r="EQ11" s="16">
        <f t="shared" ref="EQ11" si="173">EQ9+EQ10</f>
        <v>21.045959510378498</v>
      </c>
      <c r="ER11" s="16">
        <f t="shared" ref="ER11" si="174">ER9+ER10</f>
        <v>6.7686152159713959</v>
      </c>
      <c r="ES11" s="16">
        <f t="shared" ref="ES11" si="175">ES9+ES10</f>
        <v>0.87999595199106917</v>
      </c>
      <c r="ET11" s="16">
        <f t="shared" ref="ET11" si="176">ET9+ET10</f>
        <v>1.3625172908237591E-3</v>
      </c>
      <c r="EU11" s="11">
        <f t="shared" si="71"/>
        <v>482.80015783396772</v>
      </c>
      <c r="EV11" s="11">
        <f t="shared" si="41"/>
        <v>17.76153663348332</v>
      </c>
      <c r="EW11" s="11">
        <f t="shared" si="42"/>
        <v>5.2169039863782363</v>
      </c>
      <c r="EX11" s="11">
        <f t="shared" si="10"/>
        <v>173.78625474779182</v>
      </c>
      <c r="EY11" s="11">
        <f t="shared" si="43"/>
        <v>108.37427386531058</v>
      </c>
      <c r="EZ11" s="15">
        <f t="shared" si="44"/>
        <v>0.35995484244964959</v>
      </c>
      <c r="FA11" s="15">
        <f t="shared" si="45"/>
        <v>0.22447025359627137</v>
      </c>
      <c r="FB11" s="11">
        <f t="shared" si="72"/>
        <v>110.8055756877197</v>
      </c>
    </row>
    <row r="12" spans="1:158" x14ac:dyDescent="0.15">
      <c r="A12" s="7" t="str">
        <f t="shared" si="11"/>
        <v>2020_1</v>
      </c>
      <c r="B12" s="28">
        <v>2020</v>
      </c>
      <c r="C12" s="3" t="s">
        <v>21</v>
      </c>
      <c r="D12" s="9">
        <v>6.4815181556884891</v>
      </c>
      <c r="E12" s="9">
        <v>12.419556646803617</v>
      </c>
      <c r="F12" s="9">
        <v>10.39410062606321</v>
      </c>
      <c r="G12" s="9">
        <v>8.5859775818329602</v>
      </c>
      <c r="H12" s="9">
        <v>9.6332879849796882</v>
      </c>
      <c r="I12" s="9">
        <v>13.684200026460502</v>
      </c>
      <c r="J12" s="9">
        <v>6.6296863466456006</v>
      </c>
      <c r="K12" s="9">
        <v>6.5506829412415364</v>
      </c>
      <c r="L12" s="9">
        <v>11.441411029209936</v>
      </c>
      <c r="M12" s="9">
        <v>14.445012667544024</v>
      </c>
      <c r="N12" s="9">
        <v>11.648905385869078</v>
      </c>
      <c r="O12" s="9">
        <v>15.966637949711066</v>
      </c>
      <c r="P12" s="9">
        <v>28.603527573024842</v>
      </c>
      <c r="Q12" s="9">
        <v>32.229612281336358</v>
      </c>
      <c r="R12" s="9">
        <v>28.811021929683985</v>
      </c>
      <c r="S12" s="9">
        <v>17.241119949218966</v>
      </c>
      <c r="T12" s="9">
        <v>9.8902698874898451</v>
      </c>
      <c r="U12" s="9">
        <v>12.063894099187362</v>
      </c>
      <c r="V12" s="9">
        <v>5.65154072905192</v>
      </c>
      <c r="W12" s="9">
        <v>0.13832957110609481</v>
      </c>
      <c r="X12" s="9">
        <v>0</v>
      </c>
      <c r="Y12" s="9">
        <f t="shared" ref="Y12:Y14" si="177">SUM(D12:X12)</f>
        <v>262.51029336214907</v>
      </c>
      <c r="Z12" s="9">
        <f>E12*3/5+F12*3/5</f>
        <v>13.688194363720097</v>
      </c>
      <c r="AA12" s="9">
        <f>F12*2/5+G12*1/5</f>
        <v>5.8748357667918754</v>
      </c>
      <c r="AB12" s="9">
        <f t="shared" ref="AB12:AB14" si="178">SUM(Q12:X12)</f>
        <v>106.02578844707455</v>
      </c>
      <c r="AC12" s="9">
        <f>SUM(S12:X12)</f>
        <v>44.985154236054186</v>
      </c>
      <c r="AD12" s="13">
        <f>AB12/Y12</f>
        <v>0.40389192777597283</v>
      </c>
      <c r="AE12" s="13">
        <f>AC12/Y12</f>
        <v>0.17136529642285075</v>
      </c>
      <c r="AF12" s="9">
        <f>SUM(H12:K12)</f>
        <v>36.497857299327322</v>
      </c>
      <c r="AK12" s="61">
        <f>管理者入力シート!B5</f>
        <v>2020</v>
      </c>
      <c r="AL12" s="62"/>
      <c r="BH12" s="7" t="str">
        <f t="shared" si="19"/>
        <v>2040_1</v>
      </c>
      <c r="BI12" s="28">
        <f>管理者入力シート!B11</f>
        <v>2040</v>
      </c>
      <c r="BJ12" s="3" t="s">
        <v>21</v>
      </c>
      <c r="BK12" s="9">
        <f>CM13*$AK$13</f>
        <v>1.6276248336705892</v>
      </c>
      <c r="BL12" s="9">
        <f>IF(管理者入力シート!$B$14=1,BK9*管理者用人口入力シート!AM$3,IF(管理者入力シート!$B$14=2,BK9*管理者用人口入力シート!AM$7))</f>
        <v>1.4934166866424832</v>
      </c>
      <c r="BM12" s="9">
        <f>IF(管理者入力シート!$B$14=1,BL9*管理者用人口入力シート!AN$3,IF(管理者入力シート!$B$14=2,BL9*管理者用人口入力シート!AN$7))</f>
        <v>2.8722906029262942</v>
      </c>
      <c r="BN12" s="9">
        <f>IF(管理者入力シート!$B$14=1,BM9*管理者用人口入力シート!AO$3,IF(管理者入力シート!$B$14=2,BM9*管理者用人口入力シート!AO$7))</f>
        <v>2.9722253928186211</v>
      </c>
      <c r="BO12" s="9">
        <f>IF(管理者入力シート!$B$14=1,BN9*管理者用人口入力シート!AP$3,IF(管理者入力シート!$B$14=2,BN9*管理者用人口入力シート!AP$7))</f>
        <v>3.4761354001287561</v>
      </c>
      <c r="BP12" s="9">
        <f>IF(管理者入力シート!$B$14=1,BO9*管理者用人口入力シート!AQ$3,IF(管理者入力シート!$B$14=2,BO9*管理者用人口入力シート!AQ$7))</f>
        <v>9.1024435943424162</v>
      </c>
      <c r="BQ12" s="9">
        <f>IF(管理者入力シート!$B$14=1,BP9*管理者用人口入力シート!AR$3,IF(管理者入力シート!$B$14=2,BP9*管理者用人口入力シート!AR$7))</f>
        <v>8.3742817355277062</v>
      </c>
      <c r="BR12" s="9">
        <f>IF(管理者入力シート!$B$14=1,BQ9*管理者用人口入力シート!AS$3,IF(管理者入力シート!$B$14=2,BQ9*管理者用人口入力シート!AS$7))</f>
        <v>7.0029248683092575</v>
      </c>
      <c r="BS12" s="9">
        <f>IF(管理者入力シート!$B$14=1,BR9*管理者用人口入力シート!AT$3,IF(管理者入力シート!$B$14=2,BR9*管理者用人口入力シート!AT$7))</f>
        <v>10.198499301328249</v>
      </c>
      <c r="BT12" s="9">
        <f>IF(管理者入力シート!$B$14=1,BS9*管理者用人口入力シート!AU$3,IF(管理者入力シート!$B$14=2,BS9*管理者用人口入力シート!AU$7))</f>
        <v>14.007911840840508</v>
      </c>
      <c r="BU12" s="9">
        <f>IF(管理者入力シート!$B$14=1,BT9*管理者用人口入力シート!AV$3,IF(管理者入力シート!$B$14=2,BT9*管理者用人口入力シート!AV$7))</f>
        <v>5.6338770076373779</v>
      </c>
      <c r="BV12" s="9">
        <f>IF(管理者入力シート!$B$14=1,BU9*管理者用人口入力シート!AW$3,IF(管理者入力シート!$B$14=2,BU9*管理者用人口入力シート!AW$7))</f>
        <v>8.7367019739689802</v>
      </c>
      <c r="BW12" s="9">
        <f>IF(管理者入力シート!$B$14=1,BV9*管理者用人口入力シート!AX$3,IF(管理者入力シート!$B$14=2,BV9*管理者用人口入力シート!AX$7))</f>
        <v>13.496212632343907</v>
      </c>
      <c r="BX12" s="9">
        <f>IF(管理者入力シート!$B$14=1,BW9*管理者用人口入力シート!AY$3,IF(管理者入力シート!$B$14=2,BW9*管理者用人口入力シート!AY$7))</f>
        <v>15.297393008787452</v>
      </c>
      <c r="BY12" s="9">
        <f>IF(管理者入力シート!$B$14=1,BX9*管理者用人口入力シート!AZ$3,IF(管理者入力シート!$B$14=2,BX9*管理者用人口入力シート!AZ$7))</f>
        <v>12.40260716515486</v>
      </c>
      <c r="BZ12" s="9">
        <f>IF(管理者入力シート!$B$14=1,BY9*管理者用人口入力シート!BA$3,IF(管理者入力シート!$B$14=2,BY9*管理者用人口入力シート!BA$7))</f>
        <v>13.862121348161661</v>
      </c>
      <c r="CA12" s="9">
        <f>IF(管理者入力シート!$B$14=1,BZ9*管理者用人口入力シート!BB$3,IF(管理者入力シート!$B$14=2,BZ9*管理者用人口入力シート!BB$7))</f>
        <v>16.325844095716104</v>
      </c>
      <c r="CB12" s="9">
        <f>IF(管理者入力シート!$B$14=1,CA9*管理者用人口入力シート!BC$3,IF(管理者入力シート!$B$14=2,CA9*管理者用人口入力シート!BC$7))</f>
        <v>10.777490478157853</v>
      </c>
      <c r="CC12" s="9">
        <f>IF(管理者入力シート!$B$14=1,CB9*管理者用人口入力シート!BD$3,IF(管理者入力シート!$B$14=2,CB9*管理者用人口入力シート!BD$7))</f>
        <v>4.5881484148180487</v>
      </c>
      <c r="CD12" s="9">
        <f>IF(管理者入力シート!$B$14=1,CC9*管理者用人口入力シート!BE$3,IF(管理者入力シート!$B$14=2,CC9*管理者用人口入力シート!BE$7))</f>
        <v>5.7883481408878355E-2</v>
      </c>
      <c r="CE12" s="9">
        <f>IF(管理者入力シート!$B$14=1,CD9*管理者用人口入力シート!BF$3,IF(管理者入力シート!$B$14=2,CD9*管理者用人口入力シート!BF$7))</f>
        <v>4.7560203034212556E-5</v>
      </c>
      <c r="CF12" s="9">
        <f t="shared" si="2"/>
        <v>162.30608142289302</v>
      </c>
      <c r="CG12" s="9">
        <f t="shared" si="20"/>
        <v>2.6194243737412664</v>
      </c>
      <c r="CH12" s="9">
        <f t="shared" si="21"/>
        <v>1.7433613197342419</v>
      </c>
      <c r="CI12" s="9">
        <f t="shared" si="3"/>
        <v>73.311535552407904</v>
      </c>
      <c r="CJ12" s="9">
        <f t="shared" si="22"/>
        <v>45.611535378465582</v>
      </c>
      <c r="CK12" s="13">
        <f t="shared" si="23"/>
        <v>0.45168692947119249</v>
      </c>
      <c r="CL12" s="13">
        <f t="shared" si="24"/>
        <v>0.28102172745840287</v>
      </c>
      <c r="CM12" s="9">
        <f t="shared" si="25"/>
        <v>27.955785598308136</v>
      </c>
      <c r="CO12" s="7" t="str">
        <f t="shared" si="26"/>
        <v>2040_1</v>
      </c>
      <c r="CP12" s="28">
        <f>管理者入力シート!B11</f>
        <v>2040</v>
      </c>
      <c r="CQ12" s="3" t="s">
        <v>21</v>
      </c>
      <c r="CR12" s="9">
        <f>DT13*$AK$13+将来予測シート②!$G17</f>
        <v>4.1033570851507495</v>
      </c>
      <c r="CS12" s="9">
        <f>IF(管理者入力シート!$B$14=1,CR9*管理者用人口入力シート!AM$3,IF(管理者入力シート!$B$14=2,CR9*管理者用人口入力シート!AM$7))+将来予測シート②!$G18</f>
        <v>3.5525450682347492</v>
      </c>
      <c r="CT12" s="9">
        <f>IF(管理者入力シート!$B$14=1,CS9*管理者用人口入力シート!AN$3,IF(管理者入力シート!$B$14=2,CS9*管理者用人口入力シート!AN$7))+将来予測シート②!$G19</f>
        <v>5.5496853256711098</v>
      </c>
      <c r="CU12" s="9">
        <f>IF(管理者入力シート!$B$14=1,CT9*管理者用人口入力シート!AO$3,IF(管理者入力シート!$B$14=2,CT9*管理者用人口入力シート!AO$7))+将来予測シート②!$G20</f>
        <v>4.2136088962021159</v>
      </c>
      <c r="CV12" s="9">
        <f>IF(管理者入力シート!$B$14=1,CU9*管理者用人口入力シート!AP$3,IF(管理者入力シート!$B$14=2,CU9*管理者用人口入力シート!AP$7))+将来予測シート②!$G21</f>
        <v>4.0881759181328476</v>
      </c>
      <c r="CW12" s="9">
        <f>IF(管理者入力シート!$B$14=1,CV9*管理者用人口入力シート!AQ$3,IF(管理者入力シート!$B$14=2,CV9*管理者用人口入力シート!AQ$7))+将来予測シート②!$G22</f>
        <v>11.816793798091938</v>
      </c>
      <c r="CX12" s="9">
        <f>IF(管理者入力シート!$B$14=1,CW9*管理者用人口入力シート!AR$3,IF(管理者入力シート!$B$14=2,CW9*管理者用人口入力シート!AR$7))+将来予測シート②!$G23</f>
        <v>10.629972043574544</v>
      </c>
      <c r="CY12" s="9">
        <f>IF(管理者入力シート!$B$14=1,CX9*管理者用人口入力シート!AS$3,IF(管理者入力シート!$B$14=2,CX9*管理者用人口入力シート!AS$7))+将来予測シート②!$G24</f>
        <v>8.5137643393098639</v>
      </c>
      <c r="CZ12" s="9">
        <f>IF(管理者入力シート!$B$14=1,CY9*管理者用人口入力シート!AT$3,IF(管理者入力シート!$B$14=2,CY9*管理者用人口入力シート!AT$7))+将来予測シート②!$G25</f>
        <v>12.012597214057566</v>
      </c>
      <c r="DA12" s="9">
        <f>IF(管理者入力シート!$B$14=1,CZ9*管理者用人口入力シート!AU$3,IF(管理者入力シート!$B$14=2,CZ9*管理者用人口入力シート!AU$7))+将来予測シート②!$G26</f>
        <v>14.007911840840508</v>
      </c>
      <c r="DB12" s="9">
        <f>IF(管理者入力シート!$B$14=1,DA9*管理者用人口入力シート!AV$3,IF(管理者入力シート!$B$14=2,DA9*管理者用人口入力シート!AV$7))+将来予測シート②!$G27</f>
        <v>5.6338770076373779</v>
      </c>
      <c r="DC12" s="9">
        <f>IF(管理者入力シート!$B$14=1,DB9*管理者用人口入力シート!AW$3,IF(管理者入力シート!$B$14=2,DB9*管理者用人口入力シート!AW$7))+将来予測シート②!$G28</f>
        <v>8.7367019739689802</v>
      </c>
      <c r="DD12" s="9">
        <f>IF(管理者入力シート!$B$14=1,DC9*管理者用人口入力シート!AX$3,IF(管理者入力シート!$B$14=2,DC9*管理者用人口入力シート!AX$7))+将来予測シート②!$G29</f>
        <v>13.496212632343907</v>
      </c>
      <c r="DE12" s="9">
        <f>IF(管理者入力シート!$B$14=1,DD9*管理者用人口入力シート!AY$3,IF(管理者入力シート!$B$14=2,DD9*管理者用人口入力シート!AY$7))</f>
        <v>15.297393008787452</v>
      </c>
      <c r="DF12" s="9">
        <f>IF(管理者入力シート!$B$14=1,DE9*管理者用人口入力シート!AZ$3,IF(管理者入力シート!$B$14=2,DE9*管理者用人口入力シート!AZ$7))</f>
        <v>12.40260716515486</v>
      </c>
      <c r="DG12" s="9">
        <f>IF(管理者入力シート!$B$14=1,DF9*管理者用人口入力シート!BA$3,IF(管理者入力シート!$B$14=2,DF9*管理者用人口入力シート!BA$7))</f>
        <v>13.862121348161661</v>
      </c>
      <c r="DH12" s="9">
        <f>IF(管理者入力シート!$B$14=1,DG9*管理者用人口入力シート!BB$3,IF(管理者入力シート!$B$14=2,DG9*管理者用人口入力シート!BB$7))</f>
        <v>16.325844095716104</v>
      </c>
      <c r="DI12" s="9">
        <f>IF(管理者入力シート!$B$14=1,DH9*管理者用人口入力シート!BC$3,IF(管理者入力シート!$B$14=2,DH9*管理者用人口入力シート!BC$7))</f>
        <v>10.777490478157853</v>
      </c>
      <c r="DJ12" s="9">
        <f>IF(管理者入力シート!$B$14=1,DI9*管理者用人口入力シート!BD$3,IF(管理者入力シート!$B$14=2,DI9*管理者用人口入力シート!BD$7))</f>
        <v>4.5881484148180487</v>
      </c>
      <c r="DK12" s="9">
        <f>IF(管理者入力シート!$B$14=1,DJ9*管理者用人口入力シート!BE$3,IF(管理者入力シート!$B$14=2,DJ9*管理者用人口入力シート!BE$7))</f>
        <v>5.7883481408878355E-2</v>
      </c>
      <c r="DL12" s="9">
        <f>IF(管理者入力シート!$B$14=1,DK9*管理者用人口入力シート!BF$3,IF(管理者入力シート!$B$14=2,DK9*管理者用人口入力シート!BF$7))</f>
        <v>4.7560203034212556E-5</v>
      </c>
      <c r="DM12" s="9">
        <f t="shared" si="69"/>
        <v>179.66673869562413</v>
      </c>
      <c r="DN12" s="9">
        <f t="shared" si="34"/>
        <v>5.461338236343515</v>
      </c>
      <c r="DO12" s="9">
        <f t="shared" si="35"/>
        <v>3.0625959095088673</v>
      </c>
      <c r="DP12" s="9">
        <f t="shared" si="6"/>
        <v>73.311535552407904</v>
      </c>
      <c r="DQ12" s="9">
        <f t="shared" si="36"/>
        <v>45.611535378465582</v>
      </c>
      <c r="DR12" s="13">
        <f t="shared" si="37"/>
        <v>0.40804177826484606</v>
      </c>
      <c r="DS12" s="13">
        <f t="shared" si="38"/>
        <v>0.25386744207416545</v>
      </c>
      <c r="DT12" s="9">
        <f t="shared" si="70"/>
        <v>35.048706099109197</v>
      </c>
      <c r="DV12" s="211"/>
      <c r="DX12" s="28">
        <f>管理者入力シート!B11</f>
        <v>2040</v>
      </c>
      <c r="DY12" s="3" t="s">
        <v>21</v>
      </c>
      <c r="DZ12" s="9">
        <f>FB13*$AK$13</f>
        <v>9.8518422818605238</v>
      </c>
      <c r="EA12" s="129">
        <f>IF(管理者入力シート!$B$14=1,DZ9*管理者用人口入力シート!AM$3,IF(管理者入力シート!$B$14=2,DZ9*管理者用人口入力シート!AM$7))</f>
        <v>8.5175641792542098</v>
      </c>
      <c r="EB12" s="9">
        <f>IF(管理者入力シート!$B$14=1,EA9*管理者用人口入力シート!AN$3,IF(管理者入力シート!$B$14=2,EA9*管理者用人口入力シート!AN$7))</f>
        <v>8.896603416722817</v>
      </c>
      <c r="EC12" s="9">
        <f>IF(管理者入力シート!$B$14=1,EB9*管理者用人口入力シート!AO$3,IF(管理者入力シート!$B$14=2,EB9*管理者用人口入力シート!AO$7))</f>
        <v>2.9722253928186211</v>
      </c>
      <c r="ED12" s="9">
        <f>IF(管理者入力シート!$B$14=1,EC9*管理者用人口入力シート!AP$3,IF(管理者入力シート!$B$14=2,EC9*管理者用人口入力シート!AP$7))</f>
        <v>3.4761354001287561</v>
      </c>
      <c r="EE12" s="9">
        <f>IF(管理者入力シート!$B$14=1,ED9*管理者用人口入力シート!AQ$3,IF(管理者入力シート!$B$14=2,ED9*管理者用人口入力シート!AQ$7))+DX1</f>
        <v>15.102443594342416</v>
      </c>
      <c r="EF12" s="9">
        <f>IF(管理者入力シート!$B$14=1,EE9*管理者用人口入力シート!AR$3,IF(管理者入力シート!$B$14=2,EE9*管理者用人口入力シート!AR$7))+DX1</f>
        <v>21.141352659668215</v>
      </c>
      <c r="EG12" s="9">
        <f>IF(管理者入力シート!$B$14=1,EF9*管理者用人口入力シート!AS$3,IF(管理者入力シート!$B$14=2,EF9*管理者用人口入力シート!AS$7))+DX1</f>
        <v>21.554185035737859</v>
      </c>
      <c r="EH12" s="9">
        <f>IF(管理者入力シート!$B$14=1,EG9*管理者用人口入力シート!AT$3,IF(管理者入力シート!$B$14=2,EG9*管理者用人口入力シート!AT$7))</f>
        <v>27.670514829113515</v>
      </c>
      <c r="EI12" s="9">
        <f>IF(管理者入力シート!$B$14=1,EH9*管理者用人口入力シート!AU$3,IF(管理者入力シート!$B$14=2,EH9*管理者用人口入力シート!AU$7))</f>
        <v>27.584131047574431</v>
      </c>
      <c r="EJ12" s="9">
        <f>IF(管理者入力シート!$B$14=1,EI9*管理者用人口入力シート!AV$3,IF(管理者入力シート!$B$14=2,EI9*管理者用人口入力シート!AV$7))</f>
        <v>13.246367812878358</v>
      </c>
      <c r="EK12" s="9">
        <f>IF(管理者入力シート!$B$14=1,EJ9*管理者用人口入力シート!AW$3,IF(管理者入力シート!$B$14=2,EJ9*管理者用人口入力シート!AW$7))</f>
        <v>8.7367019739689802</v>
      </c>
      <c r="EL12" s="9">
        <f>IF(管理者入力シート!$B$14=1,EK9*管理者用人口入力シート!AX$3,IF(管理者入力シート!$B$14=2,EK9*管理者用人口入力シート!AX$7))</f>
        <v>13.496212632343907</v>
      </c>
      <c r="EM12" s="9">
        <f>IF(管理者入力シート!$B$14=1,EL9*管理者用人口入力シート!AY$3,IF(管理者入力シート!$B$14=2,EL9*管理者用人口入力シート!AY$7))</f>
        <v>15.297393008787452</v>
      </c>
      <c r="EN12" s="9">
        <f>IF(管理者入力シート!$B$14=1,EM9*管理者用人口入力シート!AZ$3,IF(管理者入力シート!$B$14=2,EM9*管理者用人口入力シート!AZ$7))</f>
        <v>12.40260716515486</v>
      </c>
      <c r="EO12" s="9">
        <f>IF(管理者入力シート!$B$14=1,EN9*管理者用人口入力シート!BA$3,IF(管理者入力シート!$B$14=2,EN9*管理者用人口入力シート!BA$7))</f>
        <v>13.862121348161661</v>
      </c>
      <c r="EP12" s="9">
        <f>IF(管理者入力シート!$B$14=1,EO9*管理者用人口入力シート!BB$3,IF(管理者入力シート!$B$14=2,EO9*管理者用人口入力シート!BB$7))</f>
        <v>16.325844095716104</v>
      </c>
      <c r="EQ12" s="9">
        <f>IF(管理者入力シート!$B$14=1,EP9*管理者用人口入力シート!BC$3,IF(管理者入力シート!$B$14=2,EP9*管理者用人口入力シート!BC$7))</f>
        <v>10.777490478157853</v>
      </c>
      <c r="ER12" s="9">
        <f>IF(管理者入力シート!$B$14=1,EQ9*管理者用人口入力シート!BD$3,IF(管理者入力シート!$B$14=2,EQ9*管理者用人口入力シート!BD$7))</f>
        <v>4.5881484148180487</v>
      </c>
      <c r="ES12" s="9">
        <f>IF(管理者入力シート!$B$14=1,ER9*管理者用人口入力シート!BE$3,IF(管理者入力シート!$B$14=2,ER9*管理者用人口入力シート!BE$7))</f>
        <v>5.7883481408878355E-2</v>
      </c>
      <c r="ET12" s="9">
        <f>IF(管理者入力シート!$B$14=1,ES9*管理者用人口入力シート!BF$3,IF(管理者入力シート!$B$14=2,ES9*管理者用人口入力シート!BF$7))</f>
        <v>4.7560203034212556E-5</v>
      </c>
      <c r="EU12" s="9">
        <f t="shared" si="71"/>
        <v>255.55781580882049</v>
      </c>
      <c r="EV12" s="9">
        <f t="shared" si="41"/>
        <v>10.448500557586216</v>
      </c>
      <c r="EW12" s="9">
        <f t="shared" si="42"/>
        <v>4.1530864452528506</v>
      </c>
      <c r="EX12" s="9">
        <f t="shared" si="10"/>
        <v>73.311535552407904</v>
      </c>
      <c r="EY12" s="9">
        <f t="shared" si="43"/>
        <v>45.611535378465582</v>
      </c>
      <c r="EZ12" s="13">
        <f t="shared" si="44"/>
        <v>0.28686868887332845</v>
      </c>
      <c r="FA12" s="13">
        <f t="shared" si="45"/>
        <v>0.17847834249994915</v>
      </c>
      <c r="FB12" s="9">
        <f t="shared" si="72"/>
        <v>61.274116689877246</v>
      </c>
    </row>
    <row r="13" spans="1:158" x14ac:dyDescent="0.15">
      <c r="A13" s="7" t="str">
        <f t="shared" si="11"/>
        <v>2020_2</v>
      </c>
      <c r="B13" s="29">
        <v>2020</v>
      </c>
      <c r="C13" s="4" t="s">
        <v>22</v>
      </c>
      <c r="D13" s="10">
        <v>7.8545914587521004</v>
      </c>
      <c r="E13" s="10">
        <v>5.9760077656033221</v>
      </c>
      <c r="F13" s="10">
        <v>10.914543747910933</v>
      </c>
      <c r="G13" s="10">
        <v>4.5871448129341248</v>
      </c>
      <c r="H13" s="10">
        <v>1.4580277382222446</v>
      </c>
      <c r="I13" s="10">
        <v>8.5518065558908241</v>
      </c>
      <c r="J13" s="10">
        <v>10.707049391251791</v>
      </c>
      <c r="K13" s="10">
        <v>7.4340355038255668</v>
      </c>
      <c r="L13" s="10">
        <v>11.952015531206644</v>
      </c>
      <c r="M13" s="10">
        <v>11.467862032335313</v>
      </c>
      <c r="N13" s="10">
        <v>17.103613111781648</v>
      </c>
      <c r="O13" s="10">
        <v>17.443869797938635</v>
      </c>
      <c r="P13" s="10">
        <v>22.797394493564532</v>
      </c>
      <c r="Q13" s="10">
        <v>30.231429997390098</v>
      </c>
      <c r="R13" s="10">
        <v>25.304028498298983</v>
      </c>
      <c r="S13" s="10">
        <v>16.256933960320332</v>
      </c>
      <c r="T13" s="10">
        <v>16.948581815850805</v>
      </c>
      <c r="U13" s="10">
        <v>16.395263531426426</v>
      </c>
      <c r="V13" s="10">
        <v>8.8864960004395623</v>
      </c>
      <c r="W13" s="10">
        <v>1.3832957110609481</v>
      </c>
      <c r="X13" s="10">
        <v>0.20749435665914223</v>
      </c>
      <c r="Y13" s="10">
        <f t="shared" si="177"/>
        <v>253.86148581266403</v>
      </c>
      <c r="Z13" s="10">
        <f t="shared" ref="Z13:Z14" si="179">E13*3/5+F13*3/5</f>
        <v>10.134330908108552</v>
      </c>
      <c r="AA13" s="10">
        <f t="shared" ref="AA13:AA14" si="180">F13*2/5+G13*1/5</f>
        <v>5.2832464617511983</v>
      </c>
      <c r="AB13" s="10">
        <f t="shared" si="178"/>
        <v>115.6135238714463</v>
      </c>
      <c r="AC13" s="10">
        <f t="shared" ref="AC13:AC14" si="181">SUM(S13:X13)</f>
        <v>60.078065375757213</v>
      </c>
      <c r="AD13" s="14">
        <f t="shared" ref="AD13:AD14" si="182">AB13/Y13</f>
        <v>0.45541970851286517</v>
      </c>
      <c r="AE13" s="14">
        <f t="shared" ref="AE13:AE14" si="183">AC13/Y13</f>
        <v>0.23665687287472806</v>
      </c>
      <c r="AF13" s="10">
        <f t="shared" ref="AF13:AF14" si="184">SUM(H13:K13)</f>
        <v>28.150919189190429</v>
      </c>
      <c r="AI13" s="60" t="s">
        <v>47</v>
      </c>
      <c r="AJ13" s="1" t="s">
        <v>21</v>
      </c>
      <c r="AK13" s="8">
        <f>VLOOKUP(AK12&amp;"_1",A:D,4,FALSE)/VLOOKUP(AK12&amp;"_2",A:AF,32,FALSE)</f>
        <v>0.23024179466854866</v>
      </c>
      <c r="AL13" s="63"/>
      <c r="BH13" s="7" t="str">
        <f t="shared" si="19"/>
        <v>2040_2</v>
      </c>
      <c r="BI13" s="29">
        <f>BI12</f>
        <v>2040</v>
      </c>
      <c r="BJ13" s="4" t="s">
        <v>22</v>
      </c>
      <c r="BK13" s="10">
        <f>CM13*$AK$14</f>
        <v>1.9724280345310274</v>
      </c>
      <c r="BL13" s="10">
        <f>IF(管理者入力シート!$B$14=1,BK10*管理者用人口入力シート!AM$4,IF(管理者入力シート!$B$14=2,BK10*管理者用人口入力シート!AM$8))</f>
        <v>2.0586594937394707</v>
      </c>
      <c r="BM13" s="10">
        <f>IF(管理者入力シート!$B$14=1,BL10*管理者用人口入力シート!AN$4,IF(管理者入力シート!$B$14=2,BL10*管理者用人口入力シート!AN$8))</f>
        <v>2.8680265462882186</v>
      </c>
      <c r="BN13" s="10">
        <f>IF(管理者入力シート!$B$14=1,BM10*管理者用人口入力シート!AO$4,IF(管理者入力シート!$B$14=2,BM10*管理者用人口入力シート!AO$8))</f>
        <v>3.4571268034379381</v>
      </c>
      <c r="BO13" s="10">
        <f>IF(管理者入力シート!$B$14=1,BN10*管理者用人口入力シート!AP$4,IF(管理者入力シート!$B$14=2,BN10*管理者用人口入力シート!AP$8))</f>
        <v>1.1558823713749322</v>
      </c>
      <c r="BP13" s="10">
        <f>IF(管理者入力シート!$B$14=1,BO10*管理者用人口入力シート!AQ$4,IF(管理者入力シート!$B$14=2,BO10*管理者用人口入力シート!AQ$8))</f>
        <v>1.2500202661478448</v>
      </c>
      <c r="BQ13" s="10">
        <f>IF(管理者入力シート!$B$14=1,BP10*管理者用人口入力シート!AR$4,IF(管理者入力シート!$B$14=2,BP10*管理者用人口入力シート!AR$8))</f>
        <v>3.0270833336939544</v>
      </c>
      <c r="BR13" s="10">
        <f>IF(管理者入力シート!$B$14=1,BQ10*管理者用人口入力シート!AS$4,IF(管理者入力シート!$B$14=2,BQ10*管理者用人口入力シート!AS$8))</f>
        <v>1.6362120256703425</v>
      </c>
      <c r="BS13" s="10">
        <f>IF(管理者入力シート!$B$14=1,BR10*管理者用人口入力シート!AT$4,IF(管理者入力シート!$B$14=2,BR10*管理者用人口入力シート!AT$8))</f>
        <v>1.7198122493150283</v>
      </c>
      <c r="BT13" s="10">
        <f>IF(管理者入力シート!$B$14=1,BS10*管理者用人口入力シート!AU$4,IF(管理者入力シート!$B$14=2,BS10*管理者用人口入力シート!AU$8))</f>
        <v>6.3530700023430864</v>
      </c>
      <c r="BU13" s="10">
        <f>IF(管理者入力シート!$B$14=1,BT10*管理者用人口入力シート!AV$4,IF(管理者入力シート!$B$14=2,BT10*管理者用人口入力シート!AV$8))</f>
        <v>9.2903266083677529</v>
      </c>
      <c r="BV13" s="10">
        <f>IF(管理者入力シート!$B$14=1,BU10*管理者用人口入力シート!AW$4,IF(管理者入力シート!$B$14=2,BU10*管理者用人口入力シート!AW$8))</f>
        <v>6.5523642261514956</v>
      </c>
      <c r="BW13" s="10">
        <f>IF(管理者入力シート!$B$14=1,BV10*管理者用人口入力シート!AX$4,IF(管理者入力シート!$B$14=2,BV10*管理者用人口入力シート!AX$8))</f>
        <v>13.387325688003751</v>
      </c>
      <c r="BX13" s="10">
        <f>IF(管理者入力シート!$B$14=1,BW10*管理者用人口入力シート!AY$4,IF(管理者入力シート!$B$14=2,BW10*管理者用人口入力シート!AY$8))</f>
        <v>13.987856535657485</v>
      </c>
      <c r="BY13" s="10">
        <f>IF(管理者入力シート!$B$14=1,BX10*管理者用人口入力シート!AZ$4,IF(管理者入力シート!$B$14=2,BX10*管理者用人口入力シート!AZ$8))</f>
        <v>17.709111715420271</v>
      </c>
      <c r="BZ13" s="10">
        <f>IF(管理者入力シート!$B$14=1,BY10*管理者用人口入力シート!BA$4,IF(管理者入力シート!$B$14=2,BY10*管理者用人口入力シート!BA$8))</f>
        <v>15.577364754479783</v>
      </c>
      <c r="CA13" s="10">
        <f>IF(管理者入力シート!$B$14=1,BZ10*管理者用人口入力シート!BB$4,IF(管理者入力シート!$B$14=2,BZ10*管理者用人口入力シート!BB$8))</f>
        <v>14.15548871873286</v>
      </c>
      <c r="CB13" s="10">
        <f>IF(管理者入力シート!$B$14=1,CA10*管理者用人口入力シート!BC$4,IF(管理者入力シート!$B$14=2,CA10*管理者用人口入力シート!BC$8))</f>
        <v>12.618808906720124</v>
      </c>
      <c r="CC13" s="10">
        <f>IF(管理者入力シート!$B$14=1,CB10*管理者用人口入力シート!BD$4,IF(管理者入力シート!$B$14=2,CB10*管理者用人口入力シート!BD$8))</f>
        <v>4.8194188760682906</v>
      </c>
      <c r="CD13" s="10">
        <f>IF(管理者入力シート!$B$14=1,CC10*管理者用人口入力シート!BE$4,IF(管理者入力シート!$B$14=2,CC10*管理者用人口入力シート!BE$8))</f>
        <v>0.61701494200271378</v>
      </c>
      <c r="CE13" s="10">
        <f>IF(管理者入力シート!$B$14=1,CD10*管理者用人口入力シート!BF$4,IF(管理者入力シート!$B$14=2,CD10*管理者用人口入力シート!BF$8))</f>
        <v>8.3243574895685657E-4</v>
      </c>
      <c r="CF13" s="10">
        <f t="shared" si="2"/>
        <v>134.21423453389534</v>
      </c>
      <c r="CG13" s="10">
        <f t="shared" si="20"/>
        <v>2.9560116240166137</v>
      </c>
      <c r="CH13" s="10">
        <f t="shared" si="21"/>
        <v>1.8386359792028752</v>
      </c>
      <c r="CI13" s="10">
        <f t="shared" si="3"/>
        <v>79.485896884830481</v>
      </c>
      <c r="CJ13" s="10">
        <f t="shared" si="22"/>
        <v>47.788928633752725</v>
      </c>
      <c r="CK13" s="14">
        <f t="shared" si="23"/>
        <v>0.5922314958683208</v>
      </c>
      <c r="CL13" s="14">
        <f t="shared" si="24"/>
        <v>0.35606453219895834</v>
      </c>
      <c r="CM13" s="10">
        <f t="shared" si="25"/>
        <v>7.0691979968870742</v>
      </c>
      <c r="CO13" s="7" t="str">
        <f t="shared" si="26"/>
        <v>2040_2</v>
      </c>
      <c r="CP13" s="29">
        <f>CP12</f>
        <v>2040</v>
      </c>
      <c r="CQ13" s="4" t="s">
        <v>22</v>
      </c>
      <c r="CR13" s="10">
        <f>DT13*$AK$14+将来予測シート②!$H17</f>
        <v>4.7607858944419821</v>
      </c>
      <c r="CS13" s="10">
        <f>IF(管理者入力シート!$B$14=1,CR10*管理者用人口入力シート!AM$4,IF(管理者入力シート!$B$14=2,CR10*管理者用人口入力シート!AM$8))+将来予測シート②!$H18</f>
        <v>4.6913337805379989</v>
      </c>
      <c r="CT13" s="10">
        <f>IF(管理者入力シート!$B$14=1,CS10*管理者用人口入力シート!AN$4,IF(管理者入力シート!$B$14=2,CS10*管理者用人口入力シート!AN$8))+将来予測シート②!$H19</f>
        <v>5.3899757412667633</v>
      </c>
      <c r="CU13" s="10">
        <f>IF(管理者入力シート!$B$14=1,CT10*管理者用人口入力シート!AO$4,IF(管理者入力シート!$B$14=2,CT10*管理者用人口入力シート!AO$8))+将来予測シート②!$H20</f>
        <v>4.7842954479448441</v>
      </c>
      <c r="CV13" s="10">
        <f>IF(管理者入力シート!$B$14=1,CU10*管理者用人口入力シート!AP$4,IF(管理者入力シート!$B$14=2,CU10*管理者用人口入力シート!AP$8))+将来予測シート②!$H21</f>
        <v>1.3597002797283264</v>
      </c>
      <c r="CW13" s="10">
        <f>IF(管理者入力シート!$B$14=1,CV10*管理者用人口入力シート!AQ$4,IF(管理者入力シート!$B$14=2,CV10*管理者用人口入力シート!AQ$8))+将来予測シート②!$H22</f>
        <v>3.5314784626838778</v>
      </c>
      <c r="CX13" s="10">
        <f>IF(管理者入力シート!$B$14=1,CW10*管理者用人口入力シート!AR$4,IF(管理者入力シート!$B$14=2,CW10*管理者用人口入力シート!AR$8))+将来予測シート②!$H23</f>
        <v>4.9978485394562213</v>
      </c>
      <c r="CY13" s="10">
        <f>IF(管理者入力シート!$B$14=1,CX10*管理者用人口入力シート!AS$4,IF(管理者入力シート!$B$14=2,CX10*管理者用人口入力シート!AS$8))+将来予測シート②!$H24</f>
        <v>3.5896597202819769</v>
      </c>
      <c r="CZ13" s="10">
        <f>IF(管理者入力シート!$B$14=1,CY10*管理者用人口入力シート!AT$4,IF(管理者入力シート!$B$14=2,CY10*管理者用人口入力シート!AT$8))+将来予測シート②!$H25</f>
        <v>4.4281497997667696</v>
      </c>
      <c r="DA13" s="10">
        <f>IF(管理者入力シート!$B$14=1,CZ10*管理者用人口入力シート!AU$4,IF(管理者入力シート!$B$14=2,CZ10*管理者用人口入力シート!AU$8))+将来予測シート②!$H26</f>
        <v>7.2227952564746483</v>
      </c>
      <c r="DB13" s="10">
        <f>IF(管理者入力シート!$B$14=1,DA10*管理者用人口入力シート!AV$4,IF(管理者入力シート!$B$14=2,DA10*管理者用人口入力シート!AV$8))+将来予測シート②!$H27</f>
        <v>10.291299636231578</v>
      </c>
      <c r="DC13" s="10">
        <f>IF(管理者入力シート!$B$14=1,DB10*管理者用人口入力シート!AW$4,IF(管理者入力シート!$B$14=2,DB10*管理者用人口入力シート!AW$8))+将来予測シート②!$H28</f>
        <v>7.5602272207646966</v>
      </c>
      <c r="DD13" s="10">
        <f>IF(管理者入力シート!$B$14=1,DC10*管理者用人口入力シート!AX$4,IF(管理者入力シート!$B$14=2,DC10*管理者用人口入力シート!AX$8))+将来予測シート②!$H29</f>
        <v>13.387325688003751</v>
      </c>
      <c r="DE13" s="10">
        <f>IF(管理者入力シート!$B$14=1,DD10*管理者用人口入力シート!AY$4,IF(管理者入力シート!$B$14=2,DD10*管理者用人口入力シート!AY$8))</f>
        <v>13.987856535657485</v>
      </c>
      <c r="DF13" s="10">
        <f>IF(管理者入力シート!$B$14=1,DE10*管理者用人口入力シート!AZ$4,IF(管理者入力シート!$B$14=2,DE10*管理者用人口入力シート!AZ$8))</f>
        <v>17.709111715420271</v>
      </c>
      <c r="DG13" s="10">
        <f>IF(管理者入力シート!$B$14=1,DF10*管理者用人口入力シート!BA$4,IF(管理者入力シート!$B$14=2,DF10*管理者用人口入力シート!BA$8))</f>
        <v>15.577364754479783</v>
      </c>
      <c r="DH13" s="10">
        <f>IF(管理者入力シート!$B$14=1,DG10*管理者用人口入力シート!BB$4,IF(管理者入力シート!$B$14=2,DG10*管理者用人口入力シート!BB$8))</f>
        <v>14.15548871873286</v>
      </c>
      <c r="DI13" s="10">
        <f>IF(管理者入力シート!$B$14=1,DH10*管理者用人口入力シート!BC$4,IF(管理者入力シート!$B$14=2,DH10*管理者用人口入力シート!BC$8))</f>
        <v>12.618808906720124</v>
      </c>
      <c r="DJ13" s="10">
        <f>IF(管理者入力シート!$B$14=1,DI10*管理者用人口入力シート!BD$4,IF(管理者入力シート!$B$14=2,DI10*管理者用人口入力シート!BD$8))</f>
        <v>4.8194188760682906</v>
      </c>
      <c r="DK13" s="10">
        <f>IF(管理者入力シート!$B$14=1,DJ10*管理者用人口入力シート!BE$4,IF(管理者入力シート!$B$14=2,DJ10*管理者用人口入力シート!BE$8))</f>
        <v>0.61701494200271378</v>
      </c>
      <c r="DL13" s="10">
        <f>IF(管理者入力シート!$B$14=1,DK10*管理者用人口入力シート!BF$4,IF(管理者入力シート!$B$14=2,DK10*管理者用人口入力シート!BF$8))</f>
        <v>8.3243574895685657E-4</v>
      </c>
      <c r="DM13" s="10">
        <f t="shared" si="69"/>
        <v>155.48077235241394</v>
      </c>
      <c r="DN13" s="10">
        <f t="shared" si="34"/>
        <v>6.0487857130828573</v>
      </c>
      <c r="DO13" s="10">
        <f t="shared" si="35"/>
        <v>3.1128493860956743</v>
      </c>
      <c r="DP13" s="10">
        <f t="shared" si="6"/>
        <v>79.485896884830481</v>
      </c>
      <c r="DQ13" s="10">
        <f t="shared" si="36"/>
        <v>47.788928633752725</v>
      </c>
      <c r="DR13" s="14">
        <f t="shared" si="37"/>
        <v>0.51122653741819035</v>
      </c>
      <c r="DS13" s="14">
        <f t="shared" si="38"/>
        <v>0.30736230538805126</v>
      </c>
      <c r="DT13" s="10">
        <f t="shared" si="70"/>
        <v>13.478687002150403</v>
      </c>
      <c r="DV13" s="62"/>
      <c r="DX13" s="29">
        <f>DX12</f>
        <v>2040</v>
      </c>
      <c r="DY13" s="4" t="s">
        <v>22</v>
      </c>
      <c r="DZ13" s="10">
        <f>FB13*$AK$14</f>
        <v>11.938899865945784</v>
      </c>
      <c r="EA13" s="10">
        <f>IF(管理者入力シート!$B$14=1,DZ10*管理者用人口入力シート!AM$4,IF(管理者入力シート!$B$14=2,DZ10*管理者用人口入力シート!AM$8))</f>
        <v>11.741374338449896</v>
      </c>
      <c r="EB13" s="10">
        <f>IF(管理者入力シート!$B$14=1,EA10*管理者用人口入力シート!AN$4,IF(管理者入力シート!$B$14=2,EA10*管理者用人口入力シート!AN$8))</f>
        <v>8.8833959714814661</v>
      </c>
      <c r="EC13" s="10">
        <f>IF(管理者入力シート!$B$14=1,EB10*管理者用人口入力シート!AO$4,IF(管理者入力シート!$B$14=2,EB10*管理者用人口入力シート!AO$8))</f>
        <v>3.4571268034379381</v>
      </c>
      <c r="ED13" s="10">
        <f>IF(管理者入力シート!$B$14=1,EC10*管理者用人口入力シート!AP$4,IF(管理者入力シート!$B$14=2,EC10*管理者用人口入力シート!AP$8))</f>
        <v>1.1558823713749322</v>
      </c>
      <c r="EE13" s="10">
        <f>IF(管理者入力シート!$B$14=1,ED10*管理者用人口入力シート!AQ$4,IF(管理者入力シート!$B$14=2,ED10*管理者用人口入力シート!AQ$8))+DX1</f>
        <v>7.2500202661478443</v>
      </c>
      <c r="EF13" s="10">
        <f>IF(管理者入力シート!$B$14=1,EE10*管理者用人口入力シート!AR$4,IF(管理者入力シート!$B$14=2,EE10*管理者用人口入力シート!AR$8))+DX1</f>
        <v>14.939378950980757</v>
      </c>
      <c r="EG13" s="10">
        <f>IF(管理者入力シート!$B$14=1,EF10*管理者用人口入力シート!AS$4,IF(管理者入力シート!$B$14=2,EF10*管理者用人口入力シート!AS$8))+DX1</f>
        <v>19.443831899962071</v>
      </c>
      <c r="EH13" s="10">
        <f>IF(管理者入力シート!$B$14=1,EG10*管理者用人口入力シート!AT$4,IF(管理者入力シート!$B$14=2,EG10*管理者用人口入力シート!AT$8))</f>
        <v>17.293009217596982</v>
      </c>
      <c r="EI13" s="10">
        <f>IF(管理者入力シート!$B$14=1,EH10*管理者用人口入力シート!AU$4,IF(管理者入力シート!$B$14=2,EH10*管理者用人口入力シート!AU$8))</f>
        <v>15.440119762595591</v>
      </c>
      <c r="EJ13" s="10">
        <f>IF(管理者入力シート!$B$14=1,EI10*管理者用人口入力シート!AV$4,IF(管理者入力シート!$B$14=2,EI10*管理者用人口入力シート!AV$8))</f>
        <v>14.542578251058751</v>
      </c>
      <c r="EK13" s="10">
        <f>IF(管理者入力シート!$B$14=1,EJ10*管理者用人口入力シート!AW$4,IF(管理者入力シート!$B$14=2,EJ10*管理者用人口入力シート!AW$8))</f>
        <v>6.5523642261514956</v>
      </c>
      <c r="EL13" s="10">
        <f>IF(管理者入力シート!$B$14=1,EK10*管理者用人口入力シート!AX$4,IF(管理者入力シート!$B$14=2,EK10*管理者用人口入力シート!AX$8))</f>
        <v>13.387325688003751</v>
      </c>
      <c r="EM13" s="10">
        <f>IF(管理者入力シート!$B$14=1,EL10*管理者用人口入力シート!AY$4,IF(管理者入力シート!$B$14=2,EL10*管理者用人口入力シート!AY$8))</f>
        <v>13.987856535657485</v>
      </c>
      <c r="EN13" s="10">
        <f>IF(管理者入力シート!$B$14=1,EM10*管理者用人口入力シート!AZ$4,IF(管理者入力シート!$B$14=2,EM10*管理者用人口入力シート!AZ$8))</f>
        <v>17.709111715420271</v>
      </c>
      <c r="EO13" s="10">
        <f>IF(管理者入力シート!$B$14=1,EN10*管理者用人口入力シート!BA$4,IF(管理者入力シート!$B$14=2,EN10*管理者用人口入力シート!BA$8))</f>
        <v>15.577364754479783</v>
      </c>
      <c r="EP13" s="10">
        <f>IF(管理者入力シート!$B$14=1,EO10*管理者用人口入力シート!BB$4,IF(管理者入力シート!$B$14=2,EO10*管理者用人口入力シート!BB$8))</f>
        <v>14.15548871873286</v>
      </c>
      <c r="EQ13" s="10">
        <f>IF(管理者入力シート!$B$14=1,EP10*管理者用人口入力シート!BC$4,IF(管理者入力シート!$B$14=2,EP10*管理者用人口入力シート!BC$8))</f>
        <v>12.618808906720124</v>
      </c>
      <c r="ER13" s="10">
        <f>IF(管理者入力シート!$B$14=1,EQ10*管理者用人口入力シート!BD$4,IF(管理者入力シート!$B$14=2,EQ10*管理者用人口入力シート!BD$8))</f>
        <v>4.8194188760682906</v>
      </c>
      <c r="ES13" s="10">
        <f>IF(管理者入力シート!$B$14=1,ER10*管理者用人口入力シート!BE$4,IF(管理者入力シート!$B$14=2,ER10*管理者用人口入力シート!BE$8))</f>
        <v>0.61701494200271378</v>
      </c>
      <c r="ET13" s="10">
        <f>IF(管理者入力シート!$B$14=1,ES10*管理者用人口入力シート!BF$4,IF(管理者入力シート!$B$14=2,ES10*管理者用人口入力シート!BF$8))</f>
        <v>8.3243574895685657E-4</v>
      </c>
      <c r="EU13" s="10">
        <f t="shared" si="71"/>
        <v>225.51120449801775</v>
      </c>
      <c r="EV13" s="10">
        <f t="shared" si="41"/>
        <v>12.374862185958818</v>
      </c>
      <c r="EW13" s="10">
        <f t="shared" si="42"/>
        <v>4.2447837492801739</v>
      </c>
      <c r="EX13" s="10">
        <f t="shared" si="10"/>
        <v>79.485896884830481</v>
      </c>
      <c r="EY13" s="10">
        <f t="shared" si="43"/>
        <v>47.788928633752725</v>
      </c>
      <c r="EZ13" s="14">
        <f t="shared" si="44"/>
        <v>0.35246983431162138</v>
      </c>
      <c r="FA13" s="14">
        <f t="shared" si="45"/>
        <v>0.21191376605933915</v>
      </c>
      <c r="FB13" s="10">
        <f t="shared" si="72"/>
        <v>42.789113488465603</v>
      </c>
    </row>
    <row r="14" spans="1:158" x14ac:dyDescent="0.15">
      <c r="A14" s="7" t="str">
        <f t="shared" si="11"/>
        <v>2020_3</v>
      </c>
      <c r="B14" s="30">
        <v>2020</v>
      </c>
      <c r="C14" s="5" t="s">
        <v>23</v>
      </c>
      <c r="D14" s="11">
        <v>14.33610961444059</v>
      </c>
      <c r="E14" s="11">
        <v>18.395564412406941</v>
      </c>
      <c r="F14" s="11">
        <v>21.308644373974143</v>
      </c>
      <c r="G14" s="11">
        <v>13.173122394767084</v>
      </c>
      <c r="H14" s="11">
        <v>11.091315723201934</v>
      </c>
      <c r="I14" s="11">
        <v>22.236006582351326</v>
      </c>
      <c r="J14" s="11">
        <v>17.336735737897392</v>
      </c>
      <c r="K14" s="11">
        <v>13.984718445067102</v>
      </c>
      <c r="L14" s="11">
        <v>23.393426560416579</v>
      </c>
      <c r="M14" s="11">
        <v>25.912874699879339</v>
      </c>
      <c r="N14" s="11">
        <v>28.752518497650726</v>
      </c>
      <c r="O14" s="11">
        <v>33.410507747649703</v>
      </c>
      <c r="P14" s="11">
        <v>51.400922066589374</v>
      </c>
      <c r="Q14" s="11">
        <v>62.461042278726453</v>
      </c>
      <c r="R14" s="11">
        <v>54.115050427982965</v>
      </c>
      <c r="S14" s="11">
        <v>33.498053909539294</v>
      </c>
      <c r="T14" s="11">
        <v>26.838851703340652</v>
      </c>
      <c r="U14" s="11">
        <v>28.459157630613788</v>
      </c>
      <c r="V14" s="11">
        <v>14.538036729491482</v>
      </c>
      <c r="W14" s="11">
        <v>1.5216252821670428</v>
      </c>
      <c r="X14" s="11">
        <v>0.20749435665914223</v>
      </c>
      <c r="Y14" s="11">
        <f t="shared" si="177"/>
        <v>516.37177917481301</v>
      </c>
      <c r="Z14" s="11">
        <f t="shared" si="179"/>
        <v>23.822525271828649</v>
      </c>
      <c r="AA14" s="11">
        <f t="shared" si="180"/>
        <v>11.158082228543073</v>
      </c>
      <c r="AB14" s="11">
        <f t="shared" si="178"/>
        <v>221.63931231852081</v>
      </c>
      <c r="AC14" s="11">
        <f t="shared" si="181"/>
        <v>105.06321961181139</v>
      </c>
      <c r="AD14" s="15">
        <f t="shared" si="182"/>
        <v>0.42922429392386841</v>
      </c>
      <c r="AE14" s="15">
        <f t="shared" si="183"/>
        <v>0.20346429423332832</v>
      </c>
      <c r="AF14" s="11">
        <f t="shared" si="184"/>
        <v>64.648776488517754</v>
      </c>
      <c r="AI14" s="43"/>
      <c r="AJ14" s="1" t="s">
        <v>22</v>
      </c>
      <c r="AK14" s="8">
        <f>VLOOKUP(AK12&amp;"_2",A:D,4,FALSE)/VLOOKUP(AK12&amp;"_2",A:AF,32,FALSE)</f>
        <v>0.27901722874356999</v>
      </c>
      <c r="AL14" s="63"/>
      <c r="BH14" s="7" t="str">
        <f t="shared" si="19"/>
        <v>2040_3</v>
      </c>
      <c r="BI14" s="30">
        <f>BI13</f>
        <v>2040</v>
      </c>
      <c r="BJ14" s="5" t="s">
        <v>23</v>
      </c>
      <c r="BK14" s="16">
        <f>BK12+BK13</f>
        <v>3.6000528682016166</v>
      </c>
      <c r="BL14" s="16">
        <f t="shared" ref="BL14" si="185">BL12+BL13</f>
        <v>3.5520761803819538</v>
      </c>
      <c r="BM14" s="16">
        <f t="shared" ref="BM14" si="186">BM12+BM13</f>
        <v>5.7403171492145129</v>
      </c>
      <c r="BN14" s="16">
        <f t="shared" ref="BN14" si="187">BN12+BN13</f>
        <v>6.4293521962565592</v>
      </c>
      <c r="BO14" s="16">
        <f t="shared" ref="BO14" si="188">BO12+BO13</f>
        <v>4.6320177715036888</v>
      </c>
      <c r="BP14" s="16">
        <f t="shared" ref="BP14" si="189">BP12+BP13</f>
        <v>10.352463860490261</v>
      </c>
      <c r="BQ14" s="16">
        <f t="shared" ref="BQ14" si="190">BQ12+BQ13</f>
        <v>11.401365069221661</v>
      </c>
      <c r="BR14" s="16">
        <f t="shared" ref="BR14" si="191">BR12+BR13</f>
        <v>8.6391368939796003</v>
      </c>
      <c r="BS14" s="16">
        <f t="shared" ref="BS14" si="192">BS12+BS13</f>
        <v>11.918311550643278</v>
      </c>
      <c r="BT14" s="16">
        <f t="shared" ref="BT14" si="193">BT12+BT13</f>
        <v>20.360981843183595</v>
      </c>
      <c r="BU14" s="16">
        <f t="shared" ref="BU14" si="194">BU12+BU13</f>
        <v>14.92420361600513</v>
      </c>
      <c r="BV14" s="16">
        <f t="shared" ref="BV14" si="195">BV12+BV13</f>
        <v>15.289066200120477</v>
      </c>
      <c r="BW14" s="16">
        <f t="shared" ref="BW14" si="196">BW12+BW13</f>
        <v>26.883538320347657</v>
      </c>
      <c r="BX14" s="16">
        <f t="shared" ref="BX14" si="197">BX12+BX13</f>
        <v>29.285249544444937</v>
      </c>
      <c r="BY14" s="16">
        <f t="shared" ref="BY14" si="198">BY12+BY13</f>
        <v>30.111718880575133</v>
      </c>
      <c r="BZ14" s="16">
        <f t="shared" ref="BZ14" si="199">BZ12+BZ13</f>
        <v>29.439486102641446</v>
      </c>
      <c r="CA14" s="16">
        <f t="shared" ref="CA14" si="200">CA12+CA13</f>
        <v>30.481332814448962</v>
      </c>
      <c r="CB14" s="16">
        <f t="shared" ref="CB14" si="201">CB12+CB13</f>
        <v>23.396299384877977</v>
      </c>
      <c r="CC14" s="16">
        <f t="shared" ref="CC14" si="202">CC12+CC13</f>
        <v>9.4075672908863393</v>
      </c>
      <c r="CD14" s="16">
        <f t="shared" ref="CD14" si="203">CD12+CD13</f>
        <v>0.67489842341159212</v>
      </c>
      <c r="CE14" s="16">
        <f t="shared" ref="CE14" si="204">CE12+CE13</f>
        <v>8.7999595199106915E-4</v>
      </c>
      <c r="CF14" s="11">
        <f t="shared" si="2"/>
        <v>296.52031595678841</v>
      </c>
      <c r="CG14" s="11">
        <f t="shared" si="20"/>
        <v>5.5754359977578805</v>
      </c>
      <c r="CH14" s="11">
        <f t="shared" si="21"/>
        <v>3.5819972989371172</v>
      </c>
      <c r="CI14" s="11">
        <f t="shared" si="3"/>
        <v>152.7974324372384</v>
      </c>
      <c r="CJ14" s="11">
        <f t="shared" si="22"/>
        <v>93.400464012218293</v>
      </c>
      <c r="CK14" s="15">
        <f t="shared" si="23"/>
        <v>0.5153017321737422</v>
      </c>
      <c r="CL14" s="15">
        <f t="shared" si="24"/>
        <v>0.3149884138995368</v>
      </c>
      <c r="CM14" s="11">
        <f t="shared" si="25"/>
        <v>35.024983595195209</v>
      </c>
      <c r="CO14" s="7" t="str">
        <f t="shared" si="26"/>
        <v>2040_3</v>
      </c>
      <c r="CP14" s="30">
        <f>CP13</f>
        <v>2040</v>
      </c>
      <c r="CQ14" s="5" t="s">
        <v>23</v>
      </c>
      <c r="CR14" s="16">
        <f>CR12+CR13</f>
        <v>8.8641429795927316</v>
      </c>
      <c r="CS14" s="16">
        <f t="shared" ref="CS14" si="205">CS12+CS13</f>
        <v>8.2438788487727486</v>
      </c>
      <c r="CT14" s="16">
        <f t="shared" ref="CT14" si="206">CT12+CT13</f>
        <v>10.939661066937873</v>
      </c>
      <c r="CU14" s="16">
        <f t="shared" ref="CU14" si="207">CU12+CU13</f>
        <v>8.9979043441469599</v>
      </c>
      <c r="CV14" s="16">
        <f t="shared" ref="CV14" si="208">CV12+CV13</f>
        <v>5.4478761978611736</v>
      </c>
      <c r="CW14" s="16">
        <f t="shared" ref="CW14" si="209">CW12+CW13</f>
        <v>15.348272260775815</v>
      </c>
      <c r="CX14" s="16">
        <f t="shared" ref="CX14" si="210">CX12+CX13</f>
        <v>15.627820583030765</v>
      </c>
      <c r="CY14" s="16">
        <f t="shared" ref="CY14" si="211">CY12+CY13</f>
        <v>12.103424059591841</v>
      </c>
      <c r="CZ14" s="16">
        <f t="shared" ref="CZ14" si="212">CZ12+CZ13</f>
        <v>16.440747013824335</v>
      </c>
      <c r="DA14" s="16">
        <f t="shared" ref="DA14" si="213">DA12+DA13</f>
        <v>21.230707097315157</v>
      </c>
      <c r="DB14" s="16">
        <f t="shared" ref="DB14" si="214">DB12+DB13</f>
        <v>15.925176643868955</v>
      </c>
      <c r="DC14" s="16">
        <f t="shared" ref="DC14" si="215">DC12+DC13</f>
        <v>16.296929194733679</v>
      </c>
      <c r="DD14" s="16">
        <f t="shared" ref="DD14" si="216">DD12+DD13</f>
        <v>26.883538320347657</v>
      </c>
      <c r="DE14" s="16">
        <f t="shared" ref="DE14" si="217">DE12+DE13</f>
        <v>29.285249544444937</v>
      </c>
      <c r="DF14" s="16">
        <f t="shared" ref="DF14" si="218">DF12+DF13</f>
        <v>30.111718880575133</v>
      </c>
      <c r="DG14" s="16">
        <f t="shared" ref="DG14" si="219">DG12+DG13</f>
        <v>29.439486102641446</v>
      </c>
      <c r="DH14" s="16">
        <f t="shared" ref="DH14" si="220">DH12+DH13</f>
        <v>30.481332814448962</v>
      </c>
      <c r="DI14" s="16">
        <f t="shared" ref="DI14" si="221">DI12+DI13</f>
        <v>23.396299384877977</v>
      </c>
      <c r="DJ14" s="16">
        <f t="shared" ref="DJ14" si="222">DJ12+DJ13</f>
        <v>9.4075672908863393</v>
      </c>
      <c r="DK14" s="16">
        <f t="shared" ref="DK14" si="223">DK12+DK13</f>
        <v>0.67489842341159212</v>
      </c>
      <c r="DL14" s="16">
        <f t="shared" ref="DL14" si="224">DL12+DL13</f>
        <v>8.7999595199106915E-4</v>
      </c>
      <c r="DM14" s="11">
        <f t="shared" si="69"/>
        <v>335.14751104803815</v>
      </c>
      <c r="DN14" s="11">
        <f t="shared" si="34"/>
        <v>11.510123949426372</v>
      </c>
      <c r="DO14" s="11">
        <f t="shared" si="35"/>
        <v>6.1754452956045416</v>
      </c>
      <c r="DP14" s="11">
        <f t="shared" si="6"/>
        <v>152.7974324372384</v>
      </c>
      <c r="DQ14" s="11">
        <f t="shared" si="36"/>
        <v>93.400464012218293</v>
      </c>
      <c r="DR14" s="15">
        <f t="shared" si="37"/>
        <v>0.4559109866560736</v>
      </c>
      <c r="DS14" s="15">
        <f t="shared" si="38"/>
        <v>0.27868464163778556</v>
      </c>
      <c r="DT14" s="11">
        <f t="shared" si="70"/>
        <v>48.527393101259591</v>
      </c>
      <c r="DX14" s="30">
        <f>DX13</f>
        <v>2040</v>
      </c>
      <c r="DY14" s="5" t="s">
        <v>23</v>
      </c>
      <c r="DZ14" s="16">
        <f>DZ12+DZ13</f>
        <v>21.790742147806306</v>
      </c>
      <c r="EA14" s="16">
        <f t="shared" ref="EA14" si="225">EA12+EA13</f>
        <v>20.258938517704106</v>
      </c>
      <c r="EB14" s="16">
        <f t="shared" ref="EB14" si="226">EB12+EB13</f>
        <v>17.779999388204281</v>
      </c>
      <c r="EC14" s="16">
        <f t="shared" ref="EC14" si="227">EC12+EC13</f>
        <v>6.4293521962565592</v>
      </c>
      <c r="ED14" s="16">
        <f t="shared" ref="ED14" si="228">ED12+ED13</f>
        <v>4.6320177715036888</v>
      </c>
      <c r="EE14" s="16">
        <f t="shared" ref="EE14" si="229">EE12+EE13</f>
        <v>22.352463860490261</v>
      </c>
      <c r="EF14" s="16">
        <f t="shared" ref="EF14" si="230">EF12+EF13</f>
        <v>36.080731610648968</v>
      </c>
      <c r="EG14" s="16">
        <f t="shared" ref="EG14" si="231">EG12+EG13</f>
        <v>40.99801693569993</v>
      </c>
      <c r="EH14" s="16">
        <f t="shared" ref="EH14" si="232">EH12+EH13</f>
        <v>44.963524046710496</v>
      </c>
      <c r="EI14" s="16">
        <f t="shared" ref="EI14" si="233">EI12+EI13</f>
        <v>43.024250810170024</v>
      </c>
      <c r="EJ14" s="16">
        <f t="shared" ref="EJ14" si="234">EJ12+EJ13</f>
        <v>27.788946063937111</v>
      </c>
      <c r="EK14" s="16">
        <f t="shared" ref="EK14" si="235">EK12+EK13</f>
        <v>15.289066200120477</v>
      </c>
      <c r="EL14" s="16">
        <f t="shared" ref="EL14" si="236">EL12+EL13</f>
        <v>26.883538320347657</v>
      </c>
      <c r="EM14" s="16">
        <f t="shared" ref="EM14" si="237">EM12+EM13</f>
        <v>29.285249544444937</v>
      </c>
      <c r="EN14" s="16">
        <f t="shared" ref="EN14" si="238">EN12+EN13</f>
        <v>30.111718880575133</v>
      </c>
      <c r="EO14" s="16">
        <f t="shared" ref="EO14" si="239">EO12+EO13</f>
        <v>29.439486102641446</v>
      </c>
      <c r="EP14" s="16">
        <f t="shared" ref="EP14" si="240">EP12+EP13</f>
        <v>30.481332814448962</v>
      </c>
      <c r="EQ14" s="16">
        <f t="shared" ref="EQ14" si="241">EQ12+EQ13</f>
        <v>23.396299384877977</v>
      </c>
      <c r="ER14" s="16">
        <f t="shared" ref="ER14" si="242">ER12+ER13</f>
        <v>9.4075672908863393</v>
      </c>
      <c r="ES14" s="16">
        <f t="shared" ref="ES14" si="243">ES12+ES13</f>
        <v>0.67489842341159212</v>
      </c>
      <c r="ET14" s="16">
        <f t="shared" ref="ET14" si="244">ET12+ET13</f>
        <v>8.7999595199106915E-4</v>
      </c>
      <c r="EU14" s="11">
        <f t="shared" si="71"/>
        <v>481.0690203068383</v>
      </c>
      <c r="EV14" s="11">
        <f t="shared" si="41"/>
        <v>22.823362743545033</v>
      </c>
      <c r="EW14" s="11">
        <f t="shared" si="42"/>
        <v>8.3978701945330236</v>
      </c>
      <c r="EX14" s="11">
        <f t="shared" si="10"/>
        <v>152.7974324372384</v>
      </c>
      <c r="EY14" s="11">
        <f t="shared" si="43"/>
        <v>93.400464012218293</v>
      </c>
      <c r="EZ14" s="15">
        <f t="shared" si="44"/>
        <v>0.3176206032551841</v>
      </c>
      <c r="FA14" s="15">
        <f t="shared" si="45"/>
        <v>0.19415189935249844</v>
      </c>
      <c r="FB14" s="11">
        <f t="shared" si="72"/>
        <v>104.06323017834285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1.5524474105484281</v>
      </c>
      <c r="BL15" s="9">
        <f>IF(管理者入力シート!$B$14=1,BK12*管理者用人口入力シート!AM$3,IF(管理者入力シート!$B$14=2,BK12*管理者用人口入力シート!AM$7))</f>
        <v>1.3901233723891948</v>
      </c>
      <c r="BM15" s="9">
        <f>IF(管理者入力シート!$B$14=1,BL12*管理者用人口入力シート!AN$3,IF(管理者入力シート!$B$14=2,BL12*管理者用人口入力シート!AN$7))</f>
        <v>1.5322221292174951</v>
      </c>
      <c r="BN15" s="9">
        <f>IF(管理者入力シート!$B$14=1,BM12*管理者用人口入力シート!AO$3,IF(管理者入力シート!$B$14=2,BM12*管理者用人口入力シート!AO$7))</f>
        <v>1.9003699751919121</v>
      </c>
      <c r="BO15" s="9">
        <f>IF(管理者入力シート!$B$14=1,BN12*管理者用人口入力シート!AP$3,IF(管理者入力シート!$B$14=2,BN12*管理者用人口入力シート!AP$7))</f>
        <v>2.7494899174331064</v>
      </c>
      <c r="BP15" s="9">
        <f>IF(管理者入力シート!$B$14=1,BO12*管理者用人口入力シート!AQ$3,IF(管理者入力シート!$B$14=2,BO12*管理者用人口入力シート!AQ$7))</f>
        <v>4.0572118320544055</v>
      </c>
      <c r="BQ15" s="9">
        <f>IF(管理者入力シート!$B$14=1,BP12*管理者用人口入力シート!AR$3,IF(管理者入力シート!$B$14=2,BP12*管理者用人口入力シート!AR$7))</f>
        <v>10.266146897650602</v>
      </c>
      <c r="BR15" s="9">
        <f>IF(管理者入力シート!$B$14=1,BQ12*管理者用人口入力シート!AS$3,IF(管理者入力シート!$B$14=2,BQ12*管理者用人口入力シート!AS$7))</f>
        <v>5.6090126123164632</v>
      </c>
      <c r="BS15" s="9">
        <f>IF(管理者入力シート!$B$14=1,BR12*管理者用人口入力シート!AT$3,IF(管理者入力シート!$B$14=2,BR12*管理者用人口入力シート!AT$7))</f>
        <v>8.4085646625226076</v>
      </c>
      <c r="BT15" s="9">
        <f>IF(管理者入力シート!$B$14=1,BS12*管理者用人口入力シート!AU$3,IF(管理者入力シート!$B$14=2,BS12*管理者用人口入力シート!AU$7))</f>
        <v>11.509581394832054</v>
      </c>
      <c r="BU15" s="9">
        <f>IF(管理者入力シート!$B$14=1,BT12*管理者用人口入力シート!AV$3,IF(管理者入力シート!$B$14=2,BT12*管理者用人口入力シート!AV$7))</f>
        <v>13.115452265967633</v>
      </c>
      <c r="BV15" s="9">
        <f>IF(管理者入力シート!$B$14=1,BU12*管理者用人口入力シート!AW$3,IF(管理者入力シート!$B$14=2,BU12*管理者用人口入力シート!AW$7))</f>
        <v>5.9223323110202655</v>
      </c>
      <c r="BW15" s="9">
        <f>IF(管理者入力シート!$B$14=1,BV12*管理者用人口入力シート!AX$3,IF(管理者入力シート!$B$14=2,BV12*管理者用人口入力シート!AX$7))</f>
        <v>9.2781481983650096</v>
      </c>
      <c r="BX15" s="9">
        <f>IF(管理者入力シート!$B$14=1,BW12*管理者用人口入力シート!AY$3,IF(管理者入力シート!$B$14=2,BW12*管理者用人口入力シート!AY$7))</f>
        <v>13.674213084981176</v>
      </c>
      <c r="BY15" s="9">
        <f>IF(管理者入力シート!$B$14=1,BX12*管理者用人口入力シート!AZ$3,IF(管理者入力シート!$B$14=2,BX12*管理者用人口入力シート!AZ$7))</f>
        <v>14.399773758027237</v>
      </c>
      <c r="BZ15" s="9">
        <f>IF(管理者入力シート!$B$14=1,BY12*管理者用人口入力シート!BA$3,IF(管理者入力シート!$B$14=2,BY12*管理者用人口入力シート!BA$7))</f>
        <v>10.631309156196187</v>
      </c>
      <c r="CA15" s="9">
        <f>IF(管理者入力シート!$B$14=1,BZ12*管理者用人口入力シート!BB$3,IF(管理者入力シート!$B$14=2,BZ12*管理者用人口入力シート!BB$7))</f>
        <v>9.6779485691110594</v>
      </c>
      <c r="CB15" s="9">
        <f>IF(管理者入力シート!$B$14=1,CA12*管理者用人口入力シート!BC$3,IF(管理者入力シート!$B$14=2,CA12*管理者用人口入力シート!BC$7))</f>
        <v>9.691089279503041</v>
      </c>
      <c r="CC15" s="9">
        <f>IF(管理者入力シート!$B$14=1,CB12*管理者用人口入力シート!BD$3,IF(管理者入力シート!$B$14=2,CB12*管理者用人口入力シート!BD$7))</f>
        <v>4.8313902675794758</v>
      </c>
      <c r="CD15" s="9">
        <f>IF(管理者入力シート!$B$14=1,CC12*管理者用人口入力シート!BE$3,IF(管理者入力シート!$B$14=2,CC12*管理者用人口入力シート!BE$7))</f>
        <v>8.291280213644818E-2</v>
      </c>
      <c r="CE15" s="9">
        <f>IF(管理者入力シート!$B$14=1,CD12*管理者用人口入力シート!BF$3,IF(管理者入力シート!$B$14=2,CD12*管理者用人口入力シート!BF$7))</f>
        <v>5.7883481408878359E-5</v>
      </c>
      <c r="CF15" s="9">
        <f t="shared" ref="CF15:CF20" si="252">SUM(BK15:CE15)</f>
        <v>140.27979778052523</v>
      </c>
      <c r="CG15" s="9">
        <f t="shared" ref="CG15:CG20" si="253">BL15*3/5+BM15*3/5</f>
        <v>1.7534073009640139</v>
      </c>
      <c r="CH15" s="9">
        <f t="shared" ref="CH15:CH20" si="254">BM15*2/5+BN15*1/5</f>
        <v>0.99296284672538038</v>
      </c>
      <c r="CI15" s="9">
        <f t="shared" ref="CI15:CI20" si="255">SUM(BX15:CE15)</f>
        <v>62.988694801016031</v>
      </c>
      <c r="CJ15" s="9">
        <f t="shared" ref="CJ15:CJ20" si="256">SUM(BZ15:CE15)</f>
        <v>34.914707958007618</v>
      </c>
      <c r="CK15" s="13">
        <f t="shared" ref="CK15:CK20" si="257">CI15/CF15</f>
        <v>0.44902185345009549</v>
      </c>
      <c r="CL15" s="13">
        <f t="shared" ref="CL15:CL20" si="258">CJ15/CF15</f>
        <v>0.24889334394845242</v>
      </c>
      <c r="CM15" s="9">
        <f t="shared" ref="CM15:CM20" si="259">SUM(BO15:BR15)</f>
        <v>22.681861259454578</v>
      </c>
      <c r="CO15" s="7" t="str">
        <f t="shared" si="26"/>
        <v>2045_1</v>
      </c>
      <c r="CP15" s="28">
        <f>管理者入力シート!B12</f>
        <v>2045</v>
      </c>
      <c r="CQ15" s="3" t="s">
        <v>21</v>
      </c>
      <c r="CR15" s="9">
        <f>DT16*$AK$13+将来予測シート②!$G17</f>
        <v>4.1259182474987348</v>
      </c>
      <c r="CS15" s="9">
        <f>IF(管理者入力シート!$B$14=1,CR12*管理者用人口入力シート!AM$3,IF(管理者入力シート!$B$14=2,CR12*管理者用人口入力シート!AM$7))+将来予測シート②!$G18</f>
        <v>3.5045991381582158</v>
      </c>
      <c r="CT15" s="9">
        <f>IF(管理者入力シート!$B$14=1,CS12*管理者用人口入力シート!AN$3,IF(管理者入力シート!$B$14=2,CS12*管理者用人口入力シート!AN$7))+将来予測シート②!$G19</f>
        <v>4.644855596752052</v>
      </c>
      <c r="CU15" s="9">
        <f>IF(管理者入力シート!$B$14=1,CT12*管理者用人口入力シート!AO$3,IF(管理者入力シート!$B$14=2,CT12*管理者用人口入力シート!AO$7))+将来予測シート②!$G20</f>
        <v>3.67179259435789</v>
      </c>
      <c r="CV15" s="9">
        <f>IF(管理者入力シート!$B$14=1,CU12*管理者用人口入力シート!AP$3,IF(管理者入力シート!$B$14=2,CU12*管理者用人口入力シート!AP$7))+将来予測シート②!$G21</f>
        <v>3.8978454339654265</v>
      </c>
      <c r="CW15" s="9">
        <f>IF(管理者入力シート!$B$14=1,CV12*管理者用人口入力シート!AQ$3,IF(管理者入力シート!$B$14=2,CV12*管理者用人口入力シート!AQ$7))+将来予測シート②!$G22</f>
        <v>6.7715620358039281</v>
      </c>
      <c r="CX15" s="9">
        <f>IF(管理者入力シート!$B$14=1,CW12*管理者用人口入力シート!AR$3,IF(管理者入力シート!$B$14=2,CW12*管理者用人口入力シート!AR$7))+将来予測シート②!$G23</f>
        <v>13.327513621271978</v>
      </c>
      <c r="CY15" s="9">
        <f>IF(管理者入力シート!$B$14=1,CX12*管理者用人口入力シート!AS$3,IF(管理者入力シート!$B$14=2,CX12*管理者用人口入力シート!AS$7))+将来予測シート②!$G24</f>
        <v>7.1198520833170695</v>
      </c>
      <c r="CZ15" s="9">
        <f>IF(管理者入力シート!$B$14=1,CY12*管理者用人口入力シート!AT$3,IF(管理者入力シート!$B$14=2,CY12*管理者用人口入力シート!AT$7))+将来予測シート②!$G25</f>
        <v>10.222662575251924</v>
      </c>
      <c r="DA15" s="9">
        <f>IF(管理者入力シート!$B$14=1,CZ12*管理者用人口入力シート!AU$3,IF(管理者入力シート!$B$14=2,CZ12*管理者用人口入力シート!AU$7))+将来予測シート②!$G26</f>
        <v>13.556893157851311</v>
      </c>
      <c r="DB15" s="9">
        <f>IF(管理者入力シート!$B$14=1,DA12*管理者用人口入力シート!AV$3,IF(管理者入力シート!$B$14=2,DA12*管理者用人口入力シート!AV$7))+将来予測シート②!$G27</f>
        <v>13.115452265967633</v>
      </c>
      <c r="DC15" s="9">
        <f>IF(管理者入力シート!$B$14=1,DB12*管理者用人口入力シート!AW$3,IF(管理者入力シート!$B$14=2,DB12*管理者用人口入力シート!AW$7))+将来予測シート②!$G28</f>
        <v>5.9223323110202655</v>
      </c>
      <c r="DD15" s="9">
        <f>IF(管理者入力シート!$B$14=1,DC12*管理者用人口入力シート!AX$3,IF(管理者入力シート!$B$14=2,DC12*管理者用人口入力シート!AX$7))+将来予測シート②!$G29</f>
        <v>9.2781481983650096</v>
      </c>
      <c r="DE15" s="9">
        <f>IF(管理者入力シート!$B$14=1,DD12*管理者用人口入力シート!AY$3,IF(管理者入力シート!$B$14=2,DD12*管理者用人口入力シート!AY$7))</f>
        <v>13.674213084981176</v>
      </c>
      <c r="DF15" s="9">
        <f>IF(管理者入力シート!$B$14=1,DE12*管理者用人口入力シート!AZ$3,IF(管理者入力シート!$B$14=2,DE12*管理者用人口入力シート!AZ$7))</f>
        <v>14.399773758027237</v>
      </c>
      <c r="DG15" s="9">
        <f>IF(管理者入力シート!$B$14=1,DF12*管理者用人口入力シート!BA$3,IF(管理者入力シート!$B$14=2,DF12*管理者用人口入力シート!BA$7))</f>
        <v>10.631309156196187</v>
      </c>
      <c r="DH15" s="9">
        <f>IF(管理者入力シート!$B$14=1,DG12*管理者用人口入力シート!BB$3,IF(管理者入力シート!$B$14=2,DG12*管理者用人口入力シート!BB$7))</f>
        <v>9.6779485691110594</v>
      </c>
      <c r="DI15" s="9">
        <f>IF(管理者入力シート!$B$14=1,DH12*管理者用人口入力シート!BC$3,IF(管理者入力シート!$B$14=2,DH12*管理者用人口入力シート!BC$7))</f>
        <v>9.691089279503041</v>
      </c>
      <c r="DJ15" s="9">
        <f>IF(管理者入力シート!$B$14=1,DI12*管理者用人口入力シート!BD$3,IF(管理者入力シート!$B$14=2,DI12*管理者用人口入力シート!BD$7))</f>
        <v>4.8313902675794758</v>
      </c>
      <c r="DK15" s="9">
        <f>IF(管理者入力シート!$B$14=1,DJ12*管理者用人口入力シート!BE$3,IF(管理者入力シート!$B$14=2,DJ12*管理者用人口入力シート!BE$7))</f>
        <v>8.291280213644818E-2</v>
      </c>
      <c r="DL15" s="9">
        <f>IF(管理者入力シート!$B$14=1,DK12*管理者用人口入力シート!BF$3,IF(管理者入力シート!$B$14=2,DK12*管理者用人口入力シート!BF$7))</f>
        <v>5.7883481408878359E-5</v>
      </c>
      <c r="DM15" s="9">
        <f t="shared" ref="DM15:DM20" si="260">SUM(CR15:DL15)</f>
        <v>162.14812206059747</v>
      </c>
      <c r="DN15" s="9">
        <f t="shared" ref="DN15:DN20" si="261">CS15*3/5+CT15*3/5</f>
        <v>4.8896728409461598</v>
      </c>
      <c r="DO15" s="9">
        <f t="shared" ref="DO15:DO20" si="262">CT15*2/5+CU15*1/5</f>
        <v>2.5923007575723989</v>
      </c>
      <c r="DP15" s="9">
        <f t="shared" ref="DP15:DP20" si="263">SUM(DE15:DL15)</f>
        <v>62.988694801016031</v>
      </c>
      <c r="DQ15" s="9">
        <f t="shared" ref="DQ15:DQ20" si="264">SUM(DG15:DL15)</f>
        <v>34.914707958007618</v>
      </c>
      <c r="DR15" s="13">
        <f t="shared" ref="DR15:DR20" si="265">DP15/DM15</f>
        <v>0.38846391805559177</v>
      </c>
      <c r="DS15" s="13">
        <f t="shared" ref="DS15:DS20" si="266">DQ15/DM15</f>
        <v>0.21532600880175107</v>
      </c>
      <c r="DT15" s="9">
        <f t="shared" ref="DT15:DT20" si="267">SUM(CV15:CY15)</f>
        <v>31.1167731743584</v>
      </c>
      <c r="DV15" s="62" t="s">
        <v>404</v>
      </c>
      <c r="DW15" s="210">
        <f>AK13+AK14</f>
        <v>0.50925902341211859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1.8813246955658995</v>
      </c>
      <c r="BL16" s="10">
        <f>IF(管理者入力シート!$B$14=1,BK13*管理者用人口入力シート!AM$4,IF(管理者入力シート!$B$14=2,BK13*管理者用人口入力シート!AM$8))</f>
        <v>1.9162707258026268</v>
      </c>
      <c r="BM16" s="10">
        <f>IF(管理者入力シート!$B$14=1,BL13*管理者用人口入力シート!AN$4,IF(管理者入力シート!$B$14=2,BL13*管理者用人口入力シート!AN$8))</f>
        <v>1.5299474701233076</v>
      </c>
      <c r="BN16" s="10">
        <f>IF(管理者入力シート!$B$14=1,BM13*管理者用人口入力シート!AO$4,IF(管理者入力シート!$B$14=2,BM13*管理者用人口入力シート!AO$8))</f>
        <v>2.2104043635312443</v>
      </c>
      <c r="BO16" s="10">
        <f>IF(管理者入力シート!$B$14=1,BN13*管理者用人口入力シート!AP$4,IF(管理者入力シート!$B$14=2,BN13*管理者用人口入力シート!AP$8))</f>
        <v>0.91425866947424705</v>
      </c>
      <c r="BP16" s="10">
        <f>IF(管理者入力シート!$B$14=1,BO13*管理者用人口入力シート!AQ$4,IF(管理者入力シート!$B$14=2,BO13*管理者用人口入力シート!AQ$8))</f>
        <v>1.5961922594696449</v>
      </c>
      <c r="BQ16" s="10">
        <f>IF(管理者入力シート!$B$14=1,BP13*管理者用人口入力シート!AR$4,IF(管理者入力シート!$B$14=2,BP13*管理者用人口入力シート!AR$8))</f>
        <v>1.2317482235109309</v>
      </c>
      <c r="BR16" s="10">
        <f>IF(管理者入力シート!$B$14=1,BQ13*管理者用人口入力シート!AS$4,IF(管理者入力シート!$B$14=2,BQ13*管理者用人口入力シート!AS$8))</f>
        <v>3.0004837422094548</v>
      </c>
      <c r="BS16" s="10">
        <f>IF(管理者入力シート!$B$14=1,BR13*管理者用人口入力シート!AT$4,IF(管理者入力シート!$B$14=2,BR13*管理者用人口入力シート!AT$8))</f>
        <v>1.4309072373238385</v>
      </c>
      <c r="BT16" s="10">
        <f>IF(管理者入力シート!$B$14=1,BS13*管理者用人口入力シート!AU$4,IF(管理者入力シート!$B$14=2,BS13*管理者用人口入力シート!AU$8))</f>
        <v>1.4957641455940864</v>
      </c>
      <c r="BU16" s="10">
        <f>IF(管理者入力シート!$B$14=1,BT13*管理者用人口入力シート!AV$4,IF(管理者入力シート!$B$14=2,BT13*管理者用人口入力シート!AV$8))</f>
        <v>7.3117937949565928</v>
      </c>
      <c r="BV16" s="10">
        <f>IF(管理者入力シート!$B$14=1,BU13*管理者用人口入力シート!AW$4,IF(管理者入力シート!$B$14=2,BU13*管理者用人口入力シート!AW$8))</f>
        <v>9.3542744267810782</v>
      </c>
      <c r="BW16" s="10">
        <f>IF(管理者入力シート!$B$14=1,BV13*管理者用人口入力シート!AX$4,IF(管理者入力シート!$B$14=2,BV13*管理者用人口入力シート!AX$8))</f>
        <v>7.281975461783099</v>
      </c>
      <c r="BX16" s="10">
        <f>IF(管理者入力シート!$B$14=1,BW13*管理者用人口入力シート!AY$4,IF(管理者入力シート!$B$14=2,BW13*管理者用人口入力シート!AY$8))</f>
        <v>12.679202547018262</v>
      </c>
      <c r="BY16" s="10">
        <f>IF(管理者入力シート!$B$14=1,BX13*管理者用人口入力シート!AZ$4,IF(管理者入力シート!$B$14=2,BX13*管理者用人口入力シート!AZ$8))</f>
        <v>13.66569322621474</v>
      </c>
      <c r="BZ16" s="10">
        <f>IF(管理者入力シート!$B$14=1,BY13*管理者用人口入力シート!BA$4,IF(管理者入力シート!$B$14=2,BY13*管理者用人口入力シート!BA$8))</f>
        <v>15.378647467375332</v>
      </c>
      <c r="CA16" s="10">
        <f>IF(管理者入力シート!$B$14=1,BZ13*管理者用人口入力シート!BB$4,IF(管理者入力シート!$B$14=2,BZ13*管理者用人口入力シート!BB$8))</f>
        <v>12.037427114953132</v>
      </c>
      <c r="CB16" s="10">
        <f>IF(管理者入力シート!$B$14=1,CA13*管理者用人口入力シート!BC$4,IF(管理者入力シート!$B$14=2,CA13*管理者用人口入力シート!BC$8))</f>
        <v>9.0124526946179664</v>
      </c>
      <c r="CC16" s="10">
        <f>IF(管理者入力シート!$B$14=1,CB13*管理者用人口入力シート!BD$4,IF(管理者入力シート!$B$14=2,CB13*管理者用人口入力シート!BD$8))</f>
        <v>5.6252806504376069</v>
      </c>
      <c r="CD16" s="10">
        <f>IF(管理者入力シート!$B$14=1,CC13*管理者用人口入力シート!BE$4,IF(管理者入力シート!$B$14=2,CC13*管理者用人口入力シート!BE$8))</f>
        <v>0.83400388108365642</v>
      </c>
      <c r="CE16" s="10">
        <f>IF(管理者入力シート!$B$14=1,CD13*管理者用人口入力シート!BF$4,IF(管理者入力シート!$B$14=2,CD13*管理者用人口入力シート!BF$8))</f>
        <v>6.1701494200271383E-4</v>
      </c>
      <c r="CF16" s="10">
        <f t="shared" si="252"/>
        <v>110.38866981276874</v>
      </c>
      <c r="CG16" s="10">
        <f t="shared" si="253"/>
        <v>2.0677309175555605</v>
      </c>
      <c r="CH16" s="10">
        <f t="shared" si="254"/>
        <v>1.0540598607555718</v>
      </c>
      <c r="CI16" s="10">
        <f t="shared" si="255"/>
        <v>69.233324596642703</v>
      </c>
      <c r="CJ16" s="10">
        <f t="shared" si="256"/>
        <v>42.88842882340969</v>
      </c>
      <c r="CK16" s="14">
        <f t="shared" si="257"/>
        <v>0.6271778137563393</v>
      </c>
      <c r="CL16" s="14">
        <f t="shared" si="258"/>
        <v>0.3885220185744892</v>
      </c>
      <c r="CM16" s="10">
        <f t="shared" si="259"/>
        <v>6.7426828946642781</v>
      </c>
      <c r="CO16" s="7" t="str">
        <f t="shared" si="26"/>
        <v>2045_2</v>
      </c>
      <c r="CP16" s="29">
        <f>CP15</f>
        <v>2045</v>
      </c>
      <c r="CQ16" s="4" t="s">
        <v>22</v>
      </c>
      <c r="CR16" s="10">
        <f>DT16*$AK$14+将来予測シート②!$H17</f>
        <v>4.7881265126152854</v>
      </c>
      <c r="CS16" s="10">
        <f>IF(管理者入力シート!$B$14=1,CR13*管理者用人口入力シート!AM$4,IF(管理者入力シート!$B$14=2,CR13*管理者用人口入力シート!AM$8))+将来予測シート②!$H18</f>
        <v>4.625240810624736</v>
      </c>
      <c r="CT16" s="10">
        <f>IF(管理者入力シート!$B$14=1,CS13*管理者用人口入力シート!AN$4,IF(管理者入力シート!$B$14=2,CS13*管理者用人口入力シート!AN$8))+将来予測シート②!$H19</f>
        <v>4.4864892765731259</v>
      </c>
      <c r="CU16" s="10">
        <f>IF(管理者入力シート!$B$14=1,CT13*管理者用人口入力シート!AO$4,IF(管理者入力シート!$B$14=2,CT13*管理者用人口入力シート!AO$8))+将来予測シート②!$H20</f>
        <v>4.1540849450095436</v>
      </c>
      <c r="CV16" s="10">
        <f>IF(管理者入力シート!$B$14=1,CU13*管理者用人口入力シート!AP$4,IF(管理者入力シート!$B$14=2,CU13*管理者用人口入力シート!AP$8))+将来予測シート②!$H21</f>
        <v>1.2652366659678045</v>
      </c>
      <c r="CW16" s="10">
        <f>IF(管理者入力シート!$B$14=1,CV13*管理者用人口入力シート!AQ$4,IF(管理者入力シート!$B$14=2,CV13*管理者用人口入力シート!AQ$8))+将来予測シート②!$H22</f>
        <v>3.8776504560056777</v>
      </c>
      <c r="CX16" s="10">
        <f>IF(管理者入力シート!$B$14=1,CW13*管理者用人口入力シート!AR$4,IF(管理者入力シート!$B$14=2,CW13*管理者用人口入力シート!AR$8))+将来予測シート②!$H23</f>
        <v>3.4798574395781041</v>
      </c>
      <c r="CY16" s="10">
        <f>IF(管理者入力シート!$B$14=1,CX13*管理者用人口入力シート!AS$4,IF(管理者入力シート!$B$14=2,CX13*管理者用人口入力シート!AS$8))+将来予測シート②!$H24</f>
        <v>4.9539314368210885</v>
      </c>
      <c r="CZ16" s="10">
        <f>IF(管理者入力シート!$B$14=1,CY13*管理者用人口入力シート!AT$4,IF(管理者入力シート!$B$14=2,CY13*管理者用人口入力シート!AT$8))+将来予測シート②!$H25</f>
        <v>4.1392447877755805</v>
      </c>
      <c r="DA16" s="10">
        <f>IF(管理者入力シート!$B$14=1,CZ13*管理者用人口入力シート!AU$4,IF(管理者入力シート!$B$14=2,CZ13*管理者用人口入力シート!AU$8))+将来予測シート②!$H26</f>
        <v>3.8512737099347794</v>
      </c>
      <c r="DB16" s="10">
        <f>IF(管理者入力シート!$B$14=1,DA13*管理者用人口入力シート!AV$4,IF(管理者入力シート!$B$14=2,DA13*管理者用人口入力シート!AV$8))+将来予測シート②!$H27</f>
        <v>8.3127668228204179</v>
      </c>
      <c r="DC16" s="10">
        <f>IF(管理者入力シート!$B$14=1,DB13*管理者用人口入力シート!AW$4,IF(管理者入力シート!$B$14=2,DB13*管理者用人口入力シート!AW$8))+将来予測シート②!$H28</f>
        <v>10.362137421394277</v>
      </c>
      <c r="DD16" s="10">
        <f>IF(管理者入力シート!$B$14=1,DC13*管理者用人口入力シート!AX$4,IF(管理者入力シート!$B$14=2,DC13*管理者用人口入力シート!AX$8))+将来予測シート②!$H29</f>
        <v>8.4020648436157739</v>
      </c>
      <c r="DE16" s="10">
        <f>IF(管理者入力シート!$B$14=1,DD13*管理者用人口入力シート!AY$4,IF(管理者入力シート!$B$14=2,DD13*管理者用人口入力シート!AY$8))</f>
        <v>12.679202547018262</v>
      </c>
      <c r="DF16" s="10">
        <f>IF(管理者入力シート!$B$14=1,DE13*管理者用人口入力シート!AZ$4,IF(管理者入力シート!$B$14=2,DE13*管理者用人口入力シート!AZ$8))</f>
        <v>13.66569322621474</v>
      </c>
      <c r="DG16" s="10">
        <f>IF(管理者入力シート!$B$14=1,DF13*管理者用人口入力シート!BA$4,IF(管理者入力シート!$B$14=2,DF13*管理者用人口入力シート!BA$8))</f>
        <v>15.378647467375332</v>
      </c>
      <c r="DH16" s="10">
        <f>IF(管理者入力シート!$B$14=1,DG13*管理者用人口入力シート!BB$4,IF(管理者入力シート!$B$14=2,DG13*管理者用人口入力シート!BB$8))</f>
        <v>12.037427114953132</v>
      </c>
      <c r="DI16" s="10">
        <f>IF(管理者入力シート!$B$14=1,DH13*管理者用人口入力シート!BC$4,IF(管理者入力シート!$B$14=2,DH13*管理者用人口入力シート!BC$8))</f>
        <v>9.0124526946179664</v>
      </c>
      <c r="DJ16" s="10">
        <f>IF(管理者入力シート!$B$14=1,DI13*管理者用人口入力シート!BD$4,IF(管理者入力シート!$B$14=2,DI13*管理者用人口入力シート!BD$8))</f>
        <v>5.6252806504376069</v>
      </c>
      <c r="DK16" s="10">
        <f>IF(管理者入力シート!$B$14=1,DJ13*管理者用人口入力シート!BE$4,IF(管理者入力シート!$B$14=2,DJ13*管理者用人口入力シート!BE$8))</f>
        <v>0.83400388108365642</v>
      </c>
      <c r="DL16" s="10">
        <f>IF(管理者入力シート!$B$14=1,DK13*管理者用人口入力シート!BF$4,IF(管理者入力シート!$B$14=2,DK13*管理者用人口入力シート!BF$8))</f>
        <v>6.1701494200271383E-4</v>
      </c>
      <c r="DM16" s="10">
        <f t="shared" si="260"/>
        <v>135.93142972537891</v>
      </c>
      <c r="DN16" s="10">
        <f t="shared" si="261"/>
        <v>5.467038052318717</v>
      </c>
      <c r="DO16" s="10">
        <f t="shared" si="262"/>
        <v>2.6254126996311591</v>
      </c>
      <c r="DP16" s="10">
        <f t="shared" si="263"/>
        <v>69.233324596642703</v>
      </c>
      <c r="DQ16" s="10">
        <f t="shared" si="264"/>
        <v>42.88842882340969</v>
      </c>
      <c r="DR16" s="14">
        <f t="shared" si="265"/>
        <v>0.50932536159234254</v>
      </c>
      <c r="DS16" s="14">
        <f t="shared" si="266"/>
        <v>0.31551517489411252</v>
      </c>
      <c r="DT16" s="10">
        <f t="shared" si="267"/>
        <v>13.576675998372675</v>
      </c>
      <c r="DV16" s="211" t="s">
        <v>406</v>
      </c>
      <c r="DW16" s="7">
        <f>IF(DW10&lt;0,ABS(DW10)/DW15,0)</f>
        <v>12.676836843585631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3.4337721061143274</v>
      </c>
      <c r="BL17" s="16">
        <f t="shared" ref="BL17:CE17" si="268">BL15+BL16</f>
        <v>3.3063940981918218</v>
      </c>
      <c r="BM17" s="16">
        <f t="shared" si="268"/>
        <v>3.0621695993408027</v>
      </c>
      <c r="BN17" s="16">
        <f t="shared" si="268"/>
        <v>4.1107743387231563</v>
      </c>
      <c r="BO17" s="16">
        <f t="shared" si="268"/>
        <v>3.6637485869073534</v>
      </c>
      <c r="BP17" s="16">
        <f t="shared" si="268"/>
        <v>5.6534040915240507</v>
      </c>
      <c r="BQ17" s="16">
        <f t="shared" si="268"/>
        <v>11.497895121161532</v>
      </c>
      <c r="BR17" s="16">
        <f t="shared" si="268"/>
        <v>8.609496354525918</v>
      </c>
      <c r="BS17" s="16">
        <f t="shared" si="268"/>
        <v>9.8394718998464459</v>
      </c>
      <c r="BT17" s="16">
        <f t="shared" si="268"/>
        <v>13.005345540426141</v>
      </c>
      <c r="BU17" s="16">
        <f t="shared" si="268"/>
        <v>20.427246060924226</v>
      </c>
      <c r="BV17" s="16">
        <f t="shared" si="268"/>
        <v>15.276606737801345</v>
      </c>
      <c r="BW17" s="16">
        <f t="shared" si="268"/>
        <v>16.560123660148108</v>
      </c>
      <c r="BX17" s="16">
        <f t="shared" si="268"/>
        <v>26.353415631999439</v>
      </c>
      <c r="BY17" s="16">
        <f t="shared" si="268"/>
        <v>28.065466984241979</v>
      </c>
      <c r="BZ17" s="16">
        <f t="shared" si="268"/>
        <v>26.009956623571519</v>
      </c>
      <c r="CA17" s="16">
        <f t="shared" si="268"/>
        <v>21.715375684064192</v>
      </c>
      <c r="CB17" s="16">
        <f t="shared" si="268"/>
        <v>18.703541974121009</v>
      </c>
      <c r="CC17" s="16">
        <f t="shared" si="268"/>
        <v>10.456670918017082</v>
      </c>
      <c r="CD17" s="16">
        <f t="shared" si="268"/>
        <v>0.91691668322010456</v>
      </c>
      <c r="CE17" s="16">
        <f t="shared" si="268"/>
        <v>6.7489842341159219E-4</v>
      </c>
      <c r="CF17" s="11">
        <f t="shared" si="252"/>
        <v>250.66846759329397</v>
      </c>
      <c r="CG17" s="11">
        <f t="shared" si="253"/>
        <v>3.8211382185195752</v>
      </c>
      <c r="CH17" s="11">
        <f t="shared" si="254"/>
        <v>2.0470227074809522</v>
      </c>
      <c r="CI17" s="11">
        <f t="shared" si="255"/>
        <v>132.22201939765873</v>
      </c>
      <c r="CJ17" s="11">
        <f t="shared" si="256"/>
        <v>77.803136781417322</v>
      </c>
      <c r="CK17" s="15">
        <f t="shared" si="257"/>
        <v>0.52747767067450657</v>
      </c>
      <c r="CL17" s="15">
        <f t="shared" si="258"/>
        <v>0.31038262422241242</v>
      </c>
      <c r="CM17" s="11">
        <f t="shared" si="259"/>
        <v>29.424544154118855</v>
      </c>
      <c r="CO17" s="7" t="str">
        <f t="shared" si="26"/>
        <v>2045_3</v>
      </c>
      <c r="CP17" s="30">
        <f>CP16</f>
        <v>2045</v>
      </c>
      <c r="CQ17" s="5" t="s">
        <v>23</v>
      </c>
      <c r="CR17" s="16">
        <f>CR15+CR16</f>
        <v>8.9140447601140202</v>
      </c>
      <c r="CS17" s="16">
        <f>CS15+CS16</f>
        <v>8.1298399487829514</v>
      </c>
      <c r="CT17" s="16">
        <f t="shared" ref="CT17:DL17" si="269">CT15+CT16</f>
        <v>9.1313448733251779</v>
      </c>
      <c r="CU17" s="16">
        <f t="shared" si="269"/>
        <v>7.8258775393674336</v>
      </c>
      <c r="CV17" s="16">
        <f t="shared" si="269"/>
        <v>5.1630820999332308</v>
      </c>
      <c r="CW17" s="16">
        <f t="shared" si="269"/>
        <v>10.649212491809607</v>
      </c>
      <c r="CX17" s="16">
        <f t="shared" si="269"/>
        <v>16.80737106085008</v>
      </c>
      <c r="CY17" s="16">
        <f t="shared" si="269"/>
        <v>12.073783520138157</v>
      </c>
      <c r="CZ17" s="16">
        <f t="shared" si="269"/>
        <v>14.361907363027505</v>
      </c>
      <c r="DA17" s="16">
        <f t="shared" si="269"/>
        <v>17.40816686778609</v>
      </c>
      <c r="DB17" s="16">
        <f t="shared" si="269"/>
        <v>21.428219088788051</v>
      </c>
      <c r="DC17" s="16">
        <f t="shared" si="269"/>
        <v>16.284469732414543</v>
      </c>
      <c r="DD17" s="16">
        <f t="shared" si="269"/>
        <v>17.680213041980785</v>
      </c>
      <c r="DE17" s="16">
        <f t="shared" si="269"/>
        <v>26.353415631999439</v>
      </c>
      <c r="DF17" s="16">
        <f t="shared" si="269"/>
        <v>28.065466984241979</v>
      </c>
      <c r="DG17" s="16">
        <f t="shared" si="269"/>
        <v>26.009956623571519</v>
      </c>
      <c r="DH17" s="16">
        <f t="shared" si="269"/>
        <v>21.715375684064192</v>
      </c>
      <c r="DI17" s="16">
        <f t="shared" si="269"/>
        <v>18.703541974121009</v>
      </c>
      <c r="DJ17" s="16">
        <f t="shared" si="269"/>
        <v>10.456670918017082</v>
      </c>
      <c r="DK17" s="16">
        <f t="shared" si="269"/>
        <v>0.91691668322010456</v>
      </c>
      <c r="DL17" s="16">
        <f t="shared" si="269"/>
        <v>6.7489842341159219E-4</v>
      </c>
      <c r="DM17" s="11">
        <f t="shared" si="260"/>
        <v>298.07955178597638</v>
      </c>
      <c r="DN17" s="11">
        <f t="shared" si="261"/>
        <v>10.356710893264879</v>
      </c>
      <c r="DO17" s="11">
        <f t="shared" si="262"/>
        <v>5.2177134572035584</v>
      </c>
      <c r="DP17" s="11">
        <f t="shared" si="263"/>
        <v>132.22201939765873</v>
      </c>
      <c r="DQ17" s="11">
        <f t="shared" si="264"/>
        <v>77.803136781417322</v>
      </c>
      <c r="DR17" s="15">
        <f t="shared" si="265"/>
        <v>0.44357963706479014</v>
      </c>
      <c r="DS17" s="15">
        <f t="shared" si="266"/>
        <v>0.26101467314765903</v>
      </c>
      <c r="DT17" s="11">
        <f t="shared" si="267"/>
        <v>44.693449172731071</v>
      </c>
      <c r="DV17" s="62" t="s">
        <v>407</v>
      </c>
      <c r="DW17" s="7">
        <f>IF(DW9&gt;=0,0,IF(AND(DW10&lt;=0,DW9&lt;=0,DW16*2&gt;=ABS(DW9)),ROUND(DW16/3,0),ROUND(ABS(DW9)/6,0)))</f>
        <v>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1.0685214961669143</v>
      </c>
      <c r="BL18" s="9">
        <f>IF(管理者入力シート!$B$14=1,BK15*管理者用人口入力シート!AM$3,IF(管理者入力シート!$B$14=2,BK15*管理者用人口入力シート!AM$7))</f>
        <v>1.3259157670515271</v>
      </c>
      <c r="BM18" s="9">
        <f>IF(管理者入力シート!$B$14=1,BL15*管理者用人口入力シート!AN$3,IF(管理者入力シート!$B$14=2,BL15*管理者用人口入力シート!AN$7))</f>
        <v>1.4262448066693416</v>
      </c>
      <c r="BN18" s="9">
        <f>IF(管理者入力シート!$B$14=1,BM15*管理者用人口入力シート!AO$3,IF(管理者入力シート!$B$14=2,BM15*管理者用人口入力シート!AO$7))</f>
        <v>1.0137515078463908</v>
      </c>
      <c r="BO18" s="9">
        <f>IF(管理者入力シート!$B$14=1,BN15*管理者用人口入力シート!AP$3,IF(管理者入力シート!$B$14=2,BN15*管理者用人口入力シート!AP$7))</f>
        <v>1.7579582284732944</v>
      </c>
      <c r="BP18" s="9">
        <f>IF(管理者入力シート!$B$14=1,BO15*管理者用人口入力シート!AQ$3,IF(管理者入力シート!$B$14=2,BO15*管理者用人口入力シート!AQ$7))</f>
        <v>3.2090991118213341</v>
      </c>
      <c r="BQ18" s="9">
        <f>IF(管理者入力シート!$B$14=1,BP15*管理者用人口入力シート!AR$3,IF(管理者入力シート!$B$14=2,BP15*管理者用人口入力シート!AR$7))</f>
        <v>4.5759067036290366</v>
      </c>
      <c r="BR18" s="9">
        <f>IF(管理者入力シート!$B$14=1,BQ15*管理者用人口入力シート!AS$3,IF(管理者入力シート!$B$14=2,BQ15*管理者用人口入力シート!AS$7))</f>
        <v>6.8761655324445758</v>
      </c>
      <c r="BS18" s="9">
        <f>IF(管理者入力シート!$B$14=1,BR15*管理者用人口入力シート!AT$3,IF(管理者入力シート!$B$14=2,BR15*管理者用人口入力シート!AT$7))</f>
        <v>6.7348638076927916</v>
      </c>
      <c r="BT18" s="9">
        <f>IF(管理者入力シート!$B$14=1,BS15*管理者用人口入力シート!AU$3,IF(管理者入力シート!$B$14=2,BS15*管理者用人口入力シート!AU$7))</f>
        <v>9.4895392486233732</v>
      </c>
      <c r="BU18" s="9">
        <f>IF(管理者入力シート!$B$14=1,BT15*管理者用人口入力シート!AV$3,IF(管理者入力シート!$B$14=2,BT15*管理者用人口入力シート!AV$7))</f>
        <v>10.776293219170588</v>
      </c>
      <c r="BV18" s="9">
        <f>IF(管理者入力シート!$B$14=1,BU15*管理者用人口入力シート!AW$3,IF(管理者入力シート!$B$14=2,BU15*管理者用人口入力シート!AW$7))</f>
        <v>13.786965285732686</v>
      </c>
      <c r="BW18" s="9">
        <f>IF(管理者入力シート!$B$14=1,BV15*管理者用人口入力シート!AX$3,IF(管理者入力シート!$B$14=2,BV15*管理者用人口入力シート!AX$7))</f>
        <v>6.2893614804911575</v>
      </c>
      <c r="BX18" s="9">
        <f>IF(管理者入力シート!$B$14=1,BW15*管理者用人口入力シート!AY$3,IF(管理者入力シート!$B$14=2,BW15*管理者用人口入力シート!AY$7))</f>
        <v>9.4005169416513112</v>
      </c>
      <c r="BY18" s="9">
        <f>IF(管理者入力シート!$B$14=1,BX15*管理者用人口入力シート!AZ$3,IF(管理者入力シート!$B$14=2,BX15*管理者用人口入力シート!AZ$7))</f>
        <v>12.871838660984519</v>
      </c>
      <c r="BZ18" s="9">
        <f>IF(管理者入力シート!$B$14=1,BY15*管理者用人口入力シート!BA$3,IF(管理者入力シート!$B$14=2,BY15*管理者用人口入力シート!BA$7))</f>
        <v>12.343247235224116</v>
      </c>
      <c r="CA18" s="9">
        <f>IF(管理者入力シート!$B$14=1,BZ15*管理者用人口入力シート!BB$3,IF(管理者入力シート!$B$14=2,BZ15*管理者用人口入力シート!BB$7))</f>
        <v>7.4223317378209899</v>
      </c>
      <c r="CB18" s="9">
        <f>IF(管理者入力シート!$B$14=1,CA15*管理者用人口入力シート!BC$3,IF(管理者入力シート!$B$14=2,CA15*管理者用人口入力シート!BC$7))</f>
        <v>5.7448707139316868</v>
      </c>
      <c r="CC18" s="9">
        <f>IF(管理者入力シート!$B$14=1,CB15*管理者用人口入力シート!BD$3,IF(管理者入力シート!$B$14=2,CB15*管理者用人口入力シート!BD$7))</f>
        <v>4.344372609015541</v>
      </c>
      <c r="CD18" s="9">
        <f>IF(管理者入力シート!$B$14=1,CC15*管理者用人口入力シート!BE$3,IF(管理者入力シート!$B$14=2,CC15*管理者用人口入力シート!BE$7))</f>
        <v>8.730844538638674E-2</v>
      </c>
      <c r="CE18" s="9">
        <f>IF(管理者入力シート!$B$14=1,CD15*管理者用人口入力シート!BF$3,IF(管理者入力シート!$B$14=2,CD15*管理者用人口入力シート!BF$7))</f>
        <v>8.2912802136448187E-5</v>
      </c>
      <c r="CF18" s="9">
        <f t="shared" si="252"/>
        <v>120.54515545262969</v>
      </c>
      <c r="CG18" s="9">
        <f t="shared" si="253"/>
        <v>1.651296344232521</v>
      </c>
      <c r="CH18" s="9">
        <f t="shared" si="254"/>
        <v>0.77324822423701489</v>
      </c>
      <c r="CI18" s="9">
        <f t="shared" si="255"/>
        <v>52.214569256816688</v>
      </c>
      <c r="CJ18" s="9">
        <f t="shared" si="256"/>
        <v>29.942213654180854</v>
      </c>
      <c r="CK18" s="13">
        <f t="shared" si="257"/>
        <v>0.43315361003732172</v>
      </c>
      <c r="CL18" s="13">
        <f t="shared" si="258"/>
        <v>0.24839002066696217</v>
      </c>
      <c r="CM18" s="9">
        <f t="shared" si="259"/>
        <v>16.419129576368242</v>
      </c>
      <c r="CO18" s="7" t="str">
        <f t="shared" si="26"/>
        <v>2050_1</v>
      </c>
      <c r="CP18" s="28">
        <f>管理者入力シート!B13</f>
        <v>2050</v>
      </c>
      <c r="CQ18" s="3" t="s">
        <v>21</v>
      </c>
      <c r="CR18" s="9">
        <f>DT19*$AK$13+将来予測シート②!$G17</f>
        <v>3.7896153312742542</v>
      </c>
      <c r="CS18" s="9">
        <f>IF(管理者入力シート!$B$14=1,CR15*管理者用人口入力シート!AM$3,IF(管理者入力シート!$B$14=2,CR15*管理者用人口入力シート!AM$7))+将来予測シート②!$G18</f>
        <v>3.5238681972432095</v>
      </c>
      <c r="CT18" s="9">
        <f>IF(管理者入力シート!$B$14=1,CS15*管理者用人口入力シート!AN$3,IF(管理者入力シート!$B$14=2,CS15*管理者用人口入力シート!AN$7))+将来予測シート②!$G19</f>
        <v>4.5956638234671683</v>
      </c>
      <c r="CU18" s="9">
        <f>IF(管理者入力シート!$B$14=1,CT15*管理者用人口入力シート!AO$3,IF(管理者入力シート!$B$14=2,CT15*管理者用人口入力シート!AO$7))+将来予測シート②!$G20</f>
        <v>3.0731375530654197</v>
      </c>
      <c r="CV18" s="9">
        <f>IF(管理者入力シート!$B$14=1,CU15*管理者用人口入力シート!AP$3,IF(管理者入力シート!$B$14=2,CU15*管理者用人口入力シート!AP$7))+将来予測シート②!$G21</f>
        <v>3.3966322814834533</v>
      </c>
      <c r="CW18" s="9">
        <f>IF(管理者入力シート!$B$14=1,CV15*管理者用人口入力シート!AQ$3,IF(管理者入力シート!$B$14=2,CV15*管理者用人口入力シート!AQ$7))+将来予測シート②!$G22</f>
        <v>6.5494155991789045</v>
      </c>
      <c r="CX18" s="9">
        <f>IF(管理者入力シート!$B$14=1,CW15*管理者用人口入力シート!AR$3,IF(管理者入力シート!$B$14=2,CW15*管理者用人口入力シート!AR$7))+将来予測シート②!$G23</f>
        <v>7.6372734272504141</v>
      </c>
      <c r="CY18" s="9">
        <f>IF(管理者入力シート!$B$14=1,CX15*管理者用人口入力シート!AS$3,IF(管理者入力シート!$B$14=2,CX15*管理者用人口入力シート!AS$7))+将来予測シート②!$G24</f>
        <v>8.9266392454162329</v>
      </c>
      <c r="CZ18" s="9">
        <f>IF(管理者入力シート!$B$14=1,CY15*管理者用人口入力シート!AT$3,IF(管理者入力シート!$B$14=2,CY15*管理者用人口入力シート!AT$7))+将来予測シート②!$G25</f>
        <v>8.548961720422108</v>
      </c>
      <c r="DA18" s="9">
        <f>IF(管理者入力シート!$B$14=1,CZ15*管理者用人口入力シート!AU$3,IF(管理者入力シート!$B$14=2,CZ15*管理者用人口入力シート!AU$7))+将来予測シート②!$G26</f>
        <v>11.53685101164263</v>
      </c>
      <c r="DB18" s="9">
        <f>IF(管理者入力シート!$B$14=1,DA15*管理者用人口入力シート!AV$3,IF(管理者入力シート!$B$14=2,DA15*管理者用人口入力シート!AV$7))+将来予測シート②!$G27</f>
        <v>12.693168482701799</v>
      </c>
      <c r="DC18" s="9">
        <f>IF(管理者入力シート!$B$14=1,DB15*管理者用人口入力シート!AW$3,IF(管理者入力シート!$B$14=2,DB15*管理者用人口入力シート!AW$7))+将来予測シート②!$G28</f>
        <v>13.786965285732686</v>
      </c>
      <c r="DD18" s="9">
        <f>IF(管理者入力シート!$B$14=1,DC15*管理者用人口入力シート!AX$3,IF(管理者入力シート!$B$14=2,DC15*管理者用人口入力シート!AX$7))+将来予測シート②!$G29</f>
        <v>6.2893614804911575</v>
      </c>
      <c r="DE18" s="9">
        <f>IF(管理者入力シート!$B$14=1,DD15*管理者用人口入力シート!AY$3,IF(管理者入力シート!$B$14=2,DD15*管理者用人口入力シート!AY$7))</f>
        <v>9.4005169416513112</v>
      </c>
      <c r="DF18" s="9">
        <f>IF(管理者入力シート!$B$14=1,DE15*管理者用人口入力シート!AZ$3,IF(管理者入力シート!$B$14=2,DE15*管理者用人口入力シート!AZ$7))</f>
        <v>12.871838660984519</v>
      </c>
      <c r="DG18" s="9">
        <f>IF(管理者入力シート!$B$14=1,DF15*管理者用人口入力シート!BA$3,IF(管理者入力シート!$B$14=2,DF15*管理者用人口入力シート!BA$7))</f>
        <v>12.343247235224116</v>
      </c>
      <c r="DH18" s="9">
        <f>IF(管理者入力シート!$B$14=1,DG15*管理者用人口入力シート!BB$3,IF(管理者入力シート!$B$14=2,DG15*管理者用人口入力シート!BB$7))</f>
        <v>7.4223317378209899</v>
      </c>
      <c r="DI18" s="9">
        <f>IF(管理者入力シート!$B$14=1,DH15*管理者用人口入力シート!BC$3,IF(管理者入力シート!$B$14=2,DH15*管理者用人口入力シート!BC$7))</f>
        <v>5.7448707139316868</v>
      </c>
      <c r="DJ18" s="9">
        <f>IF(管理者入力シート!$B$14=1,DI15*管理者用人口入力シート!BD$3,IF(管理者入力シート!$B$14=2,DI15*管理者用人口入力シート!BD$7))</f>
        <v>4.344372609015541</v>
      </c>
      <c r="DK18" s="9">
        <f>IF(管理者入力シート!$B$14=1,DJ15*管理者用人口入力シート!BE$3,IF(管理者入力シート!$B$14=2,DJ15*管理者用人口入力シート!BE$7))</f>
        <v>8.730844538638674E-2</v>
      </c>
      <c r="DL18" s="9">
        <f>IF(管理者入力シート!$B$14=1,DK15*管理者用人口入力シート!BF$3,IF(管理者入力シート!$B$14=2,DK15*管理者用人口入力シート!BF$7))</f>
        <v>8.2912802136448187E-5</v>
      </c>
      <c r="DM18" s="9">
        <f t="shared" si="260"/>
        <v>146.56212269618612</v>
      </c>
      <c r="DN18" s="9">
        <f t="shared" si="261"/>
        <v>4.8717192124262265</v>
      </c>
      <c r="DO18" s="9">
        <f t="shared" si="262"/>
        <v>2.4528930399999513</v>
      </c>
      <c r="DP18" s="9">
        <f t="shared" si="263"/>
        <v>52.214569256816688</v>
      </c>
      <c r="DQ18" s="9">
        <f t="shared" si="264"/>
        <v>29.942213654180854</v>
      </c>
      <c r="DR18" s="13">
        <f t="shared" si="265"/>
        <v>0.35626237049700854</v>
      </c>
      <c r="DS18" s="13">
        <f t="shared" si="266"/>
        <v>0.20429707965030736</v>
      </c>
      <c r="DT18" s="9">
        <f t="shared" si="267"/>
        <v>26.509960553329005</v>
      </c>
      <c r="DX18" s="288">
        <f>DX1</f>
        <v>6</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1.2948817878292509</v>
      </c>
      <c r="BL19" s="10">
        <f>IF(管理者入力シート!$B$14=1,BK16*管理者用人口入力シート!AM$4,IF(管理者入力シート!$B$14=2,BK16*管理者用人口入力シート!AM$8))</f>
        <v>1.8277612043268499</v>
      </c>
      <c r="BM19" s="10">
        <f>IF(管理者入力シート!$B$14=1,BL16*管理者用人口入力シート!AN$4,IF(管理者入力シート!$B$14=2,BL16*管理者用人口入力シート!AN$8))</f>
        <v>1.4241274761216585</v>
      </c>
      <c r="BN19" s="10">
        <f>IF(管理者入力シート!$B$14=1,BM16*管理者用人口入力シート!AO$4,IF(管理者入力シート!$B$14=2,BM16*管理者用人口入力シート!AO$8))</f>
        <v>1.1791392127492173</v>
      </c>
      <c r="BO19" s="10">
        <f>IF(管理者入力シート!$B$14=1,BN16*管理者用人口入力シート!AP$4,IF(管理者入力シート!$B$14=2,BN16*管理者用人口入力シート!AP$8))</f>
        <v>0.58455517176647409</v>
      </c>
      <c r="BP19" s="10">
        <f>IF(管理者入力シート!$B$14=1,BO16*管理者用人口入力シート!AQ$4,IF(管理者入力シート!$B$14=2,BO16*管理者用人口入力シート!AQ$8))</f>
        <v>1.2625269209979564</v>
      </c>
      <c r="BQ19" s="10">
        <f>IF(管理者入力シート!$B$14=1,BP16*管理者用人口入力シート!AR$4,IF(管理者入力シート!$B$14=2,BP16*管理者用人口入力シート!AR$8))</f>
        <v>1.5728600833349167</v>
      </c>
      <c r="BR19" s="10">
        <f>IF(管理者入力シート!$B$14=1,BQ16*管理者用人口入力シート!AS$4,IF(管理者入力シート!$B$14=2,BQ16*管理者用人口入力シート!AS$8))</f>
        <v>1.2209246035621644</v>
      </c>
      <c r="BS19" s="10">
        <f>IF(管理者入力シート!$B$14=1,BR16*管理者用人口入力シート!AT$4,IF(管理者入力シート!$B$14=2,BR16*管理者用人口入力シート!AT$8))</f>
        <v>2.6239960560374489</v>
      </c>
      <c r="BT19" s="10">
        <f>IF(管理者入力シート!$B$14=1,BS16*管理者用人口入力シート!AU$4,IF(管理者入力シート!$B$14=2,BS16*管理者用人口入力シート!AU$8))</f>
        <v>1.244496160620167</v>
      </c>
      <c r="BU19" s="10">
        <f>IF(管理者入力シート!$B$14=1,BT16*管理者用人口入力シート!AV$4,IF(管理者入力シート!$B$14=2,BT16*管理者用人口入力シート!AV$8))</f>
        <v>1.7214856745541607</v>
      </c>
      <c r="BV19" s="10">
        <f>IF(管理者入力シート!$B$14=1,BU16*管理者用人口入力シート!AW$4,IF(管理者入力シート!$B$14=2,BU16*管理者用人口入力シート!AW$8))</f>
        <v>7.3621228395193983</v>
      </c>
      <c r="BW19" s="10">
        <f>IF(管理者入力シート!$B$14=1,BV16*管理者用人口入力シート!AX$4,IF(管理者入力シート!$B$14=2,BV16*管理者用人口入力シート!AX$8))</f>
        <v>10.395880706194131</v>
      </c>
      <c r="BX19" s="10">
        <f>IF(管理者入力シート!$B$14=1,BW16*管理者用人口入力シート!AY$4,IF(管理者入力シート!$B$14=2,BW16*管理者用人口入力シート!AY$8))</f>
        <v>6.8967950712591106</v>
      </c>
      <c r="BY19" s="10">
        <f>IF(管理者入力シート!$B$14=1,BX16*管理者用人口入力シート!AZ$4,IF(管理者入力シート!$B$14=2,BX16*管理者用人口入力シート!AZ$8))</f>
        <v>12.387179688245764</v>
      </c>
      <c r="BZ19" s="10">
        <f>IF(管理者入力シート!$B$14=1,BY16*管理者用人口入力シート!BA$4,IF(管理者入力シート!$B$14=2,BY16*管理者用人口入力シート!BA$8))</f>
        <v>11.867330326921937</v>
      </c>
      <c r="CA19" s="10">
        <f>IF(管理者入力シート!$B$14=1,BZ16*管理者用人口入力シート!BB$4,IF(管理者入力シート!$B$14=2,BZ16*管理者用人口入力シート!BB$8))</f>
        <v>11.883868095330566</v>
      </c>
      <c r="CB19" s="10">
        <f>IF(管理者入力シート!$B$14=1,CA16*管理者用人口入力シート!BC$4,IF(管理者入力シート!$B$14=2,CA16*管理者用人口入力シート!BC$8))</f>
        <v>7.6639347884089171</v>
      </c>
      <c r="CC19" s="10">
        <f>IF(管理者入力シート!$B$14=1,CB16*管理者用人口入力シート!BD$4,IF(管理者入力シート!$B$14=2,CB16*管理者用人口入力シート!BD$8))</f>
        <v>4.0176197397695601</v>
      </c>
      <c r="CD19" s="10">
        <f>IF(管理者入力シート!$B$14=1,CC16*管理者用人口入力シート!BE$4,IF(管理者入力シート!$B$14=2,CC16*管理者用人口入力シート!BE$8))</f>
        <v>0.97345883711131509</v>
      </c>
      <c r="CE19" s="10">
        <f>IF(管理者入力シート!$B$14=1,CD16*管理者用人口入力シート!BF$4,IF(管理者入力シート!$B$14=2,CD16*管理者用人口入力シート!BF$8))</f>
        <v>8.3400388108365638E-4</v>
      </c>
      <c r="CF19" s="10">
        <f t="shared" si="252"/>
        <v>89.405778448542051</v>
      </c>
      <c r="CG19" s="10">
        <f t="shared" si="253"/>
        <v>1.9511332082691051</v>
      </c>
      <c r="CH19" s="10">
        <f t="shared" si="254"/>
        <v>0.80547883299850687</v>
      </c>
      <c r="CI19" s="10">
        <f t="shared" si="255"/>
        <v>55.691020550928251</v>
      </c>
      <c r="CJ19" s="10">
        <f t="shared" si="256"/>
        <v>36.407045791423378</v>
      </c>
      <c r="CK19" s="14">
        <f t="shared" si="257"/>
        <v>0.62290180251583516</v>
      </c>
      <c r="CL19" s="14">
        <f t="shared" si="258"/>
        <v>0.40721132820713191</v>
      </c>
      <c r="CM19" s="10">
        <f t="shared" si="259"/>
        <v>4.6408667796615113</v>
      </c>
      <c r="CO19" s="7" t="str">
        <f t="shared" si="26"/>
        <v>2050_2</v>
      </c>
      <c r="CP19" s="29">
        <f>CP18</f>
        <v>2050</v>
      </c>
      <c r="CQ19" s="4" t="s">
        <v>22</v>
      </c>
      <c r="CR19" s="10">
        <f>DT19*$AK$14+将来予測シート②!$H17</f>
        <v>4.3805797080118145</v>
      </c>
      <c r="CS19" s="10">
        <f>IF(管理者入力シート!$B$14=1,CR16*管理者用人口入力シート!AM$4,IF(管理者入力シート!$B$14=2,CR16*管理者用人口入力シート!AM$8))+将来予測シート②!$H18</f>
        <v>4.6518030097588126</v>
      </c>
      <c r="CT19" s="10">
        <f>IF(管理者入力シート!$B$14=1,CS16*管理者用人口入力シート!AN$4,IF(管理者入力シート!$B$14=2,CS16*管理者用人口入力シート!AN$8))+将来予測シート②!$H19</f>
        <v>4.4373705308945706</v>
      </c>
      <c r="CU19" s="10">
        <f>IF(管理者入力シート!$B$14=1,CT16*管理者用人口入力シート!AO$4,IF(管理者入力シート!$B$14=2,CT16*管理者用人口入力シート!AO$8))+将来予測シート②!$H20</f>
        <v>3.4577627904831747</v>
      </c>
      <c r="CV19" s="10">
        <f>IF(管理者入力シート!$B$14=1,CU16*管理者用人口入力シート!AP$4,IF(管理者入力シート!$B$14=2,CU16*管理者用人口入力シート!AP$8))+将来予測シート②!$H21</f>
        <v>1.0985735816605275</v>
      </c>
      <c r="CW19" s="10">
        <f>IF(管理者入力シート!$B$14=1,CV16*管理者用人口入力シート!AQ$4,IF(管理者入力シート!$B$14=2,CV16*管理者用人口入力シート!AQ$8))+将来予測シート②!$H22</f>
        <v>3.7472028492074889</v>
      </c>
      <c r="CX19" s="10">
        <f>IF(管理者入力シート!$B$14=1,CW16*管理者用人口入力シート!AR$4,IF(管理者入力シート!$B$14=2,CW16*管理者用人口入力シート!AR$8))+将来予測シート②!$H23</f>
        <v>3.8209692994020901</v>
      </c>
      <c r="CY19" s="10">
        <f>IF(管理者入力シート!$B$14=1,CX16*管理者用人口入力シート!AS$4,IF(管理者入力シート!$B$14=2,CX16*管理者用人口入力シート!AS$8))+将来予測シート②!$H24</f>
        <v>3.4492792307502289</v>
      </c>
      <c r="CZ19" s="10">
        <f>IF(管理者入力シート!$B$14=1,CY16*管理者用人口入力シート!AT$4,IF(管理者入力シート!$B$14=2,CY16*管理者用人口入力シート!AT$8))+将来予測シート②!$H25</f>
        <v>5.3323336064891897</v>
      </c>
      <c r="DA19" s="10">
        <f>IF(管理者入力シート!$B$14=1,CZ16*管理者用人口入力シート!AU$4,IF(管理者入力シート!$B$14=2,CZ16*管理者用人口入力シート!AU$8))+将来予測シート②!$H26</f>
        <v>3.6000057249608606</v>
      </c>
      <c r="DB19" s="10">
        <f>IF(管理者入力シート!$B$14=1,DA16*管理者用人口入力シート!AV$4,IF(管理者入力シート!$B$14=2,DA16*管理者用人口入力シート!AV$8))+将来予測シート②!$H27</f>
        <v>4.4324585129071368</v>
      </c>
      <c r="DC19" s="10">
        <f>IF(管理者入力シート!$B$14=1,DB16*管理者用人口入力シート!AW$4,IF(管理者入力シート!$B$14=2,DB16*管理者用人口入力シート!AW$8))+将来予測シート②!$H28</f>
        <v>8.3699858341325974</v>
      </c>
      <c r="DD19" s="10">
        <f>IF(管理者入力シート!$B$14=1,DC16*管理者用人口入力シート!AX$4,IF(管理者入力シート!$B$14=2,DC16*管理者用人口入力シート!AX$8))+将来予測シート②!$H29</f>
        <v>11.515970088026803</v>
      </c>
      <c r="DE19" s="10">
        <f>IF(管理者入力シート!$B$14=1,DD16*管理者用人口入力シート!AY$4,IF(管理者入力シート!$B$14=2,DD16*管理者用人口入力シート!AY$8))</f>
        <v>7.9576372793296217</v>
      </c>
      <c r="DF19" s="10">
        <f>IF(管理者入力シート!$B$14=1,DE16*管理者用人口入力シート!AZ$4,IF(管理者入力シート!$B$14=2,DE16*管理者用人口入力シート!AZ$8))</f>
        <v>12.387179688245764</v>
      </c>
      <c r="DG19" s="10">
        <f>IF(管理者入力シート!$B$14=1,DF16*管理者用人口入力シート!BA$4,IF(管理者入力シート!$B$14=2,DF16*管理者用人口入力シート!BA$8))</f>
        <v>11.867330326921937</v>
      </c>
      <c r="DH19" s="10">
        <f>IF(管理者入力シート!$B$14=1,DG16*管理者用人口入力シート!BB$4,IF(管理者入力シート!$B$14=2,DG16*管理者用人口入力シート!BB$8))</f>
        <v>11.883868095330566</v>
      </c>
      <c r="DI19" s="10">
        <f>IF(管理者入力シート!$B$14=1,DH16*管理者用人口入力シート!BC$4,IF(管理者入力シート!$B$14=2,DH16*管理者用人口入力シート!BC$8))</f>
        <v>7.6639347884089171</v>
      </c>
      <c r="DJ19" s="10">
        <f>IF(管理者入力シート!$B$14=1,DI16*管理者用人口入力シート!BD$4,IF(管理者入力シート!$B$14=2,DI16*管理者用人口入力シート!BD$8))</f>
        <v>4.0176197397695601</v>
      </c>
      <c r="DK19" s="10">
        <f>IF(管理者入力シート!$B$14=1,DJ16*管理者用人口入力シート!BE$4,IF(管理者入力シート!$B$14=2,DJ16*管理者用人口入力シート!BE$8))</f>
        <v>0.97345883711131509</v>
      </c>
      <c r="DL19" s="10">
        <f>IF(管理者入力シート!$B$14=1,DK16*管理者用人口入力シート!BF$4,IF(管理者入力シート!$B$14=2,DK16*管理者用人口入力シート!BF$8))</f>
        <v>8.3400388108365638E-4</v>
      </c>
      <c r="DM19" s="10">
        <f t="shared" si="260"/>
        <v>119.04615752568408</v>
      </c>
      <c r="DN19" s="10">
        <f t="shared" si="261"/>
        <v>5.4535041243920297</v>
      </c>
      <c r="DO19" s="10">
        <f t="shared" si="262"/>
        <v>2.4665007704544633</v>
      </c>
      <c r="DP19" s="10">
        <f t="shared" si="263"/>
        <v>56.751862758998769</v>
      </c>
      <c r="DQ19" s="10">
        <f t="shared" si="264"/>
        <v>36.407045791423378</v>
      </c>
      <c r="DR19" s="14">
        <f t="shared" si="265"/>
        <v>0.4767214997825916</v>
      </c>
      <c r="DS19" s="14">
        <f t="shared" si="266"/>
        <v>0.30582293917020043</v>
      </c>
      <c r="DT19" s="10">
        <f t="shared" si="267"/>
        <v>12.116024961020335</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2.3634032839961652</v>
      </c>
      <c r="BL20" s="16">
        <f t="shared" ref="BL20:CE20" si="276">BL18+BL19</f>
        <v>3.1536769713783768</v>
      </c>
      <c r="BM20" s="16">
        <f t="shared" si="276"/>
        <v>2.8503722827910001</v>
      </c>
      <c r="BN20" s="16">
        <f t="shared" si="276"/>
        <v>2.1928907205956083</v>
      </c>
      <c r="BO20" s="16">
        <f t="shared" si="276"/>
        <v>2.3425134002397687</v>
      </c>
      <c r="BP20" s="16">
        <f t="shared" si="276"/>
        <v>4.4716260328192909</v>
      </c>
      <c r="BQ20" s="16">
        <f t="shared" si="276"/>
        <v>6.1487667869639537</v>
      </c>
      <c r="BR20" s="16">
        <f t="shared" si="276"/>
        <v>8.0970901360067398</v>
      </c>
      <c r="BS20" s="16">
        <f t="shared" si="276"/>
        <v>9.35885986373024</v>
      </c>
      <c r="BT20" s="16">
        <f t="shared" si="276"/>
        <v>10.734035409243541</v>
      </c>
      <c r="BU20" s="16">
        <f t="shared" si="276"/>
        <v>12.49777889372475</v>
      </c>
      <c r="BV20" s="16">
        <f t="shared" si="276"/>
        <v>21.149088125252085</v>
      </c>
      <c r="BW20" s="16">
        <f t="shared" si="276"/>
        <v>16.685242186685286</v>
      </c>
      <c r="BX20" s="16">
        <f t="shared" si="276"/>
        <v>16.297312012910421</v>
      </c>
      <c r="BY20" s="16">
        <f t="shared" si="276"/>
        <v>25.259018349230281</v>
      </c>
      <c r="BZ20" s="16">
        <f t="shared" si="276"/>
        <v>24.210577562146053</v>
      </c>
      <c r="CA20" s="16">
        <f t="shared" si="276"/>
        <v>19.306199833151556</v>
      </c>
      <c r="CB20" s="16">
        <f t="shared" si="276"/>
        <v>13.408805502340604</v>
      </c>
      <c r="CC20" s="16">
        <f t="shared" si="276"/>
        <v>8.3619923487851011</v>
      </c>
      <c r="CD20" s="16">
        <f t="shared" si="276"/>
        <v>1.0607672824977019</v>
      </c>
      <c r="CE20" s="16">
        <f t="shared" si="276"/>
        <v>9.1691668322010456E-4</v>
      </c>
      <c r="CF20" s="11">
        <f t="shared" si="252"/>
        <v>209.95093390117177</v>
      </c>
      <c r="CG20" s="11">
        <f t="shared" si="253"/>
        <v>3.6024295525016257</v>
      </c>
      <c r="CH20" s="11">
        <f t="shared" si="254"/>
        <v>1.5787270572355216</v>
      </c>
      <c r="CI20" s="11">
        <f t="shared" si="255"/>
        <v>107.90558980774493</v>
      </c>
      <c r="CJ20" s="11">
        <f t="shared" si="256"/>
        <v>66.349259445604247</v>
      </c>
      <c r="CK20" s="15">
        <f t="shared" si="257"/>
        <v>0.51395622683220987</v>
      </c>
      <c r="CL20" s="15">
        <f t="shared" si="258"/>
        <v>0.31602269260129234</v>
      </c>
      <c r="CM20" s="11">
        <f t="shared" si="259"/>
        <v>21.059996356029753</v>
      </c>
      <c r="CO20" s="7" t="str">
        <f t="shared" si="26"/>
        <v>2050_3</v>
      </c>
      <c r="CP20" s="30">
        <f>CP19</f>
        <v>2050</v>
      </c>
      <c r="CQ20" s="5" t="s">
        <v>23</v>
      </c>
      <c r="CR20" s="16">
        <f>CR18+CR19</f>
        <v>8.1701950392860692</v>
      </c>
      <c r="CS20" s="16">
        <f t="shared" ref="CS20:DL20" si="277">CS18+CS19</f>
        <v>8.1756712070020221</v>
      </c>
      <c r="CT20" s="16">
        <f t="shared" si="277"/>
        <v>9.0330343543617388</v>
      </c>
      <c r="CU20" s="16">
        <f t="shared" si="277"/>
        <v>6.5309003435485948</v>
      </c>
      <c r="CV20" s="16">
        <f t="shared" si="277"/>
        <v>4.4952058631439806</v>
      </c>
      <c r="CW20" s="16">
        <f t="shared" si="277"/>
        <v>10.296618448386393</v>
      </c>
      <c r="CX20" s="16">
        <f t="shared" si="277"/>
        <v>11.458242726652504</v>
      </c>
      <c r="CY20" s="16">
        <f t="shared" si="277"/>
        <v>12.375918476166461</v>
      </c>
      <c r="CZ20" s="16">
        <f t="shared" si="277"/>
        <v>13.881295326911298</v>
      </c>
      <c r="DA20" s="16">
        <f t="shared" si="277"/>
        <v>15.136856736603491</v>
      </c>
      <c r="DB20" s="16">
        <f t="shared" si="277"/>
        <v>17.125626995608936</v>
      </c>
      <c r="DC20" s="16">
        <f t="shared" si="277"/>
        <v>22.156951119865283</v>
      </c>
      <c r="DD20" s="16">
        <f t="shared" si="277"/>
        <v>17.805331568517961</v>
      </c>
      <c r="DE20" s="16">
        <f t="shared" si="277"/>
        <v>17.358154220980932</v>
      </c>
      <c r="DF20" s="16">
        <f t="shared" si="277"/>
        <v>25.259018349230281</v>
      </c>
      <c r="DG20" s="16">
        <f t="shared" si="277"/>
        <v>24.210577562146053</v>
      </c>
      <c r="DH20" s="16">
        <f t="shared" si="277"/>
        <v>19.306199833151556</v>
      </c>
      <c r="DI20" s="16">
        <f t="shared" si="277"/>
        <v>13.408805502340604</v>
      </c>
      <c r="DJ20" s="16">
        <f t="shared" si="277"/>
        <v>8.3619923487851011</v>
      </c>
      <c r="DK20" s="16">
        <f t="shared" si="277"/>
        <v>1.0607672824977019</v>
      </c>
      <c r="DL20" s="16">
        <f t="shared" si="277"/>
        <v>9.1691668322010456E-4</v>
      </c>
      <c r="DM20" s="11">
        <f t="shared" si="260"/>
        <v>265.60828022187019</v>
      </c>
      <c r="DN20" s="11">
        <f t="shared" si="261"/>
        <v>10.325223336818256</v>
      </c>
      <c r="DO20" s="11">
        <f t="shared" si="262"/>
        <v>4.9193938104544142</v>
      </c>
      <c r="DP20" s="11">
        <f t="shared" si="263"/>
        <v>108.96643201581544</v>
      </c>
      <c r="DQ20" s="11">
        <f t="shared" si="264"/>
        <v>66.349259445604247</v>
      </c>
      <c r="DR20" s="15">
        <f t="shared" si="265"/>
        <v>0.4102523909450137</v>
      </c>
      <c r="DS20" s="15">
        <f t="shared" si="266"/>
        <v>0.2498011710711007</v>
      </c>
      <c r="DT20" s="11">
        <f t="shared" si="267"/>
        <v>38.625985514349338</v>
      </c>
      <c r="DX20" s="28">
        <f>DX3</f>
        <v>2025</v>
      </c>
      <c r="DY20" s="3" t="s">
        <v>21</v>
      </c>
      <c r="DZ20" s="9">
        <f t="shared" ref="DZ20:ET20" si="278">ROUND(DZ3,0)</f>
        <v>5</v>
      </c>
      <c r="EA20" s="9">
        <f t="shared" si="278"/>
        <v>6</v>
      </c>
      <c r="EB20" s="9">
        <f t="shared" si="278"/>
        <v>13</v>
      </c>
      <c r="EC20" s="9">
        <f t="shared" si="278"/>
        <v>7</v>
      </c>
      <c r="ED20" s="9">
        <f t="shared" si="278"/>
        <v>8</v>
      </c>
      <c r="EE20" s="9">
        <f t="shared" si="278"/>
        <v>17</v>
      </c>
      <c r="EF20" s="9">
        <f t="shared" si="278"/>
        <v>21</v>
      </c>
      <c r="EG20" s="9">
        <f t="shared" si="278"/>
        <v>10</v>
      </c>
      <c r="EH20" s="9">
        <f t="shared" si="278"/>
        <v>8</v>
      </c>
      <c r="EI20" s="9">
        <f t="shared" si="278"/>
        <v>13</v>
      </c>
      <c r="EJ20" s="9">
        <f t="shared" si="278"/>
        <v>14</v>
      </c>
      <c r="EK20" s="9">
        <f t="shared" si="278"/>
        <v>12</v>
      </c>
      <c r="EL20" s="9">
        <f t="shared" si="278"/>
        <v>17</v>
      </c>
      <c r="EM20" s="9">
        <f t="shared" si="278"/>
        <v>29</v>
      </c>
      <c r="EN20" s="9">
        <f t="shared" si="278"/>
        <v>30</v>
      </c>
      <c r="EO20" s="9">
        <f t="shared" si="278"/>
        <v>25</v>
      </c>
      <c r="EP20" s="9">
        <f t="shared" si="278"/>
        <v>12</v>
      </c>
      <c r="EQ20" s="9">
        <f t="shared" si="278"/>
        <v>6</v>
      </c>
      <c r="ER20" s="9">
        <f t="shared" si="278"/>
        <v>5</v>
      </c>
      <c r="ES20" s="9">
        <f t="shared" si="278"/>
        <v>0</v>
      </c>
      <c r="ET20" s="9">
        <f t="shared" si="278"/>
        <v>0</v>
      </c>
      <c r="EU20" s="9">
        <f t="shared" ref="EU20:EU21" si="279">SUM(DZ20:ET20)</f>
        <v>258</v>
      </c>
      <c r="EV20" s="9">
        <f>EA20*3/5+EB20*3/5</f>
        <v>11.4</v>
      </c>
      <c r="EW20" s="9">
        <f>EB20*2/5+EC20*1/5</f>
        <v>6.6</v>
      </c>
      <c r="EX20" s="9">
        <f t="shared" ref="EX20:EX31" si="280">SUM(EM20:ET20)</f>
        <v>107</v>
      </c>
      <c r="EY20" s="9">
        <f>SUM(EO20:ET20)</f>
        <v>48</v>
      </c>
      <c r="EZ20" s="13">
        <f>EX20/EU20</f>
        <v>0.41472868217054265</v>
      </c>
      <c r="FA20" s="13">
        <f>EY20/EU20</f>
        <v>0.18604651162790697</v>
      </c>
      <c r="FB20" s="9">
        <f>SUM(ED20:EG20)</f>
        <v>56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v>
      </c>
      <c r="EA21" s="10">
        <f t="shared" si="281"/>
        <v>8</v>
      </c>
      <c r="EB21" s="10">
        <f t="shared" si="281"/>
        <v>4</v>
      </c>
      <c r="EC21" s="10">
        <f t="shared" si="281"/>
        <v>8</v>
      </c>
      <c r="ED21" s="10">
        <f t="shared" si="281"/>
        <v>1</v>
      </c>
      <c r="EE21" s="10">
        <f t="shared" si="281"/>
        <v>8</v>
      </c>
      <c r="EF21" s="10">
        <f t="shared" si="281"/>
        <v>14</v>
      </c>
      <c r="EG21" s="10">
        <f t="shared" si="281"/>
        <v>17</v>
      </c>
      <c r="EH21" s="10">
        <f t="shared" si="281"/>
        <v>7</v>
      </c>
      <c r="EI21" s="10">
        <f t="shared" si="281"/>
        <v>10</v>
      </c>
      <c r="EJ21" s="10">
        <f t="shared" si="281"/>
        <v>13</v>
      </c>
      <c r="EK21" s="10">
        <f t="shared" si="281"/>
        <v>17</v>
      </c>
      <c r="EL21" s="10">
        <f t="shared" si="281"/>
        <v>19</v>
      </c>
      <c r="EM21" s="10">
        <f t="shared" si="281"/>
        <v>22</v>
      </c>
      <c r="EN21" s="10">
        <f t="shared" si="281"/>
        <v>30</v>
      </c>
      <c r="EO21" s="10">
        <f t="shared" si="281"/>
        <v>22</v>
      </c>
      <c r="EP21" s="10">
        <f t="shared" si="281"/>
        <v>13</v>
      </c>
      <c r="EQ21" s="10">
        <f t="shared" si="281"/>
        <v>11</v>
      </c>
      <c r="ER21" s="10">
        <f t="shared" si="281"/>
        <v>7</v>
      </c>
      <c r="ES21" s="10">
        <f t="shared" si="281"/>
        <v>2</v>
      </c>
      <c r="ET21" s="10">
        <f t="shared" si="281"/>
        <v>0</v>
      </c>
      <c r="EU21" s="10">
        <f t="shared" si="279"/>
        <v>239</v>
      </c>
      <c r="EV21" s="10">
        <f t="shared" ref="EV21:EV31" si="282">EA21*3/5+EB21*3/5</f>
        <v>7.1999999999999993</v>
      </c>
      <c r="EW21" s="10">
        <f t="shared" ref="EW21:EW31" si="283">EB21*2/5+EC21*1/5</f>
        <v>3.2</v>
      </c>
      <c r="EX21" s="10">
        <f t="shared" si="280"/>
        <v>107</v>
      </c>
      <c r="EY21" s="10">
        <f t="shared" ref="EY21:EY31" si="284">SUM(EO21:ET21)</f>
        <v>55</v>
      </c>
      <c r="EZ21" s="14">
        <f t="shared" ref="EZ21:EZ31" si="285">EX21/EU21</f>
        <v>0.44769874476987448</v>
      </c>
      <c r="FA21" s="14">
        <f t="shared" ref="FA21:FA31" si="286">EY21/EU21</f>
        <v>0.23012552301255229</v>
      </c>
      <c r="FB21" s="10">
        <f>SUM(ED21:EG21)</f>
        <v>40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11</v>
      </c>
      <c r="EA22" s="16">
        <f t="shared" ref="EA22:ET22" si="287">EA20+EA21</f>
        <v>14</v>
      </c>
      <c r="EB22" s="16">
        <f t="shared" si="287"/>
        <v>17</v>
      </c>
      <c r="EC22" s="16">
        <f t="shared" si="287"/>
        <v>15</v>
      </c>
      <c r="ED22" s="16">
        <f t="shared" si="287"/>
        <v>9</v>
      </c>
      <c r="EE22" s="16">
        <f t="shared" si="287"/>
        <v>25</v>
      </c>
      <c r="EF22" s="16">
        <f t="shared" si="287"/>
        <v>35</v>
      </c>
      <c r="EG22" s="16">
        <f t="shared" si="287"/>
        <v>27</v>
      </c>
      <c r="EH22" s="16">
        <f t="shared" si="287"/>
        <v>15</v>
      </c>
      <c r="EI22" s="16">
        <f t="shared" si="287"/>
        <v>23</v>
      </c>
      <c r="EJ22" s="16">
        <f t="shared" si="287"/>
        <v>27</v>
      </c>
      <c r="EK22" s="16">
        <f t="shared" si="287"/>
        <v>29</v>
      </c>
      <c r="EL22" s="16">
        <f t="shared" si="287"/>
        <v>36</v>
      </c>
      <c r="EM22" s="16">
        <f t="shared" si="287"/>
        <v>51</v>
      </c>
      <c r="EN22" s="16">
        <f t="shared" si="287"/>
        <v>60</v>
      </c>
      <c r="EO22" s="16">
        <f t="shared" si="287"/>
        <v>47</v>
      </c>
      <c r="EP22" s="16">
        <f t="shared" si="287"/>
        <v>25</v>
      </c>
      <c r="EQ22" s="16">
        <f t="shared" si="287"/>
        <v>17</v>
      </c>
      <c r="ER22" s="16">
        <f t="shared" si="287"/>
        <v>12</v>
      </c>
      <c r="ES22" s="16">
        <f t="shared" si="287"/>
        <v>2</v>
      </c>
      <c r="ET22" s="16">
        <f t="shared" si="287"/>
        <v>0</v>
      </c>
      <c r="EU22" s="11">
        <f>SUM(DZ22:ET22)</f>
        <v>497</v>
      </c>
      <c r="EV22" s="11">
        <f t="shared" si="282"/>
        <v>18.600000000000001</v>
      </c>
      <c r="EW22" s="11">
        <f t="shared" si="283"/>
        <v>9.8000000000000007</v>
      </c>
      <c r="EX22" s="11">
        <f t="shared" si="280"/>
        <v>214</v>
      </c>
      <c r="EY22" s="11">
        <f t="shared" si="284"/>
        <v>103</v>
      </c>
      <c r="EZ22" s="15">
        <f t="shared" si="285"/>
        <v>0.43058350100603621</v>
      </c>
      <c r="FA22" s="15">
        <f t="shared" si="286"/>
        <v>0.20724346076458752</v>
      </c>
      <c r="FB22" s="11">
        <f>SUM(ED22:EG22)</f>
        <v>96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v>
      </c>
      <c r="EA23" s="9">
        <f t="shared" si="288"/>
        <v>4</v>
      </c>
      <c r="EB23" s="9">
        <f t="shared" si="288"/>
        <v>6</v>
      </c>
      <c r="EC23" s="9">
        <f t="shared" si="288"/>
        <v>8</v>
      </c>
      <c r="ED23" s="9">
        <f t="shared" si="288"/>
        <v>6</v>
      </c>
      <c r="EE23" s="9">
        <f t="shared" si="288"/>
        <v>15</v>
      </c>
      <c r="EF23" s="9">
        <f t="shared" si="288"/>
        <v>25</v>
      </c>
      <c r="EG23" s="9">
        <f t="shared" si="288"/>
        <v>20</v>
      </c>
      <c r="EH23" s="9">
        <f t="shared" si="288"/>
        <v>13</v>
      </c>
      <c r="EI23" s="9">
        <f t="shared" si="288"/>
        <v>9</v>
      </c>
      <c r="EJ23" s="9">
        <f t="shared" si="288"/>
        <v>12</v>
      </c>
      <c r="EK23" s="9">
        <f t="shared" si="288"/>
        <v>14</v>
      </c>
      <c r="EL23" s="9">
        <f t="shared" si="288"/>
        <v>13</v>
      </c>
      <c r="EM23" s="9">
        <f t="shared" si="288"/>
        <v>17</v>
      </c>
      <c r="EN23" s="9">
        <f t="shared" si="288"/>
        <v>27</v>
      </c>
      <c r="EO23" s="9">
        <f t="shared" si="288"/>
        <v>26</v>
      </c>
      <c r="EP23" s="9">
        <f t="shared" si="288"/>
        <v>17</v>
      </c>
      <c r="EQ23" s="9">
        <f t="shared" si="288"/>
        <v>7</v>
      </c>
      <c r="ER23" s="9">
        <f t="shared" si="288"/>
        <v>3</v>
      </c>
      <c r="ES23" s="9">
        <f t="shared" si="288"/>
        <v>0</v>
      </c>
      <c r="ET23" s="9">
        <f t="shared" si="288"/>
        <v>0</v>
      </c>
      <c r="EU23" s="9">
        <f t="shared" ref="EU23:EU31" si="289">SUM(DZ23:ET23)</f>
        <v>252</v>
      </c>
      <c r="EV23" s="9">
        <f t="shared" si="282"/>
        <v>6</v>
      </c>
      <c r="EW23" s="9">
        <f t="shared" si="283"/>
        <v>4</v>
      </c>
      <c r="EX23" s="9">
        <f t="shared" si="280"/>
        <v>97</v>
      </c>
      <c r="EY23" s="9">
        <f t="shared" si="284"/>
        <v>53</v>
      </c>
      <c r="EZ23" s="13">
        <f t="shared" si="285"/>
        <v>0.38492063492063494</v>
      </c>
      <c r="FA23" s="13">
        <f t="shared" si="286"/>
        <v>0.21031746031746032</v>
      </c>
      <c r="FB23" s="9">
        <f t="shared" ref="FB23:FB31" si="290">SUM(ED23:EG23)</f>
        <v>66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v>
      </c>
      <c r="EA24" s="10">
        <f t="shared" si="291"/>
        <v>6</v>
      </c>
      <c r="EB24" s="10">
        <f t="shared" si="291"/>
        <v>6</v>
      </c>
      <c r="EC24" s="10">
        <f t="shared" si="291"/>
        <v>3</v>
      </c>
      <c r="ED24" s="10">
        <f t="shared" si="291"/>
        <v>2</v>
      </c>
      <c r="EE24" s="10">
        <f t="shared" si="291"/>
        <v>8</v>
      </c>
      <c r="EF24" s="10">
        <f t="shared" si="291"/>
        <v>14</v>
      </c>
      <c r="EG24" s="10">
        <f t="shared" si="291"/>
        <v>20</v>
      </c>
      <c r="EH24" s="10">
        <f t="shared" si="291"/>
        <v>15</v>
      </c>
      <c r="EI24" s="10">
        <f t="shared" si="291"/>
        <v>6</v>
      </c>
      <c r="EJ24" s="10">
        <f t="shared" si="291"/>
        <v>12</v>
      </c>
      <c r="EK24" s="10">
        <f t="shared" si="291"/>
        <v>13</v>
      </c>
      <c r="EL24" s="10">
        <f t="shared" si="291"/>
        <v>19</v>
      </c>
      <c r="EM24" s="10">
        <f t="shared" si="291"/>
        <v>18</v>
      </c>
      <c r="EN24" s="10">
        <f t="shared" si="291"/>
        <v>21</v>
      </c>
      <c r="EO24" s="10">
        <f t="shared" si="291"/>
        <v>26</v>
      </c>
      <c r="EP24" s="10">
        <f t="shared" si="291"/>
        <v>17</v>
      </c>
      <c r="EQ24" s="10">
        <f t="shared" si="291"/>
        <v>8</v>
      </c>
      <c r="ER24" s="10">
        <f t="shared" si="291"/>
        <v>5</v>
      </c>
      <c r="ES24" s="10">
        <f t="shared" si="291"/>
        <v>1</v>
      </c>
      <c r="ET24" s="10">
        <f t="shared" si="291"/>
        <v>0</v>
      </c>
      <c r="EU24" s="10">
        <f t="shared" si="289"/>
        <v>232</v>
      </c>
      <c r="EV24" s="10">
        <f t="shared" si="282"/>
        <v>7.2</v>
      </c>
      <c r="EW24" s="10">
        <f t="shared" si="283"/>
        <v>3</v>
      </c>
      <c r="EX24" s="10">
        <f t="shared" si="280"/>
        <v>96</v>
      </c>
      <c r="EY24" s="10">
        <f t="shared" si="284"/>
        <v>57</v>
      </c>
      <c r="EZ24" s="14">
        <f t="shared" si="285"/>
        <v>0.41379310344827586</v>
      </c>
      <c r="FA24" s="14">
        <f t="shared" si="286"/>
        <v>0.24568965517241378</v>
      </c>
      <c r="FB24" s="10">
        <f t="shared" si="290"/>
        <v>44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v>
      </c>
      <c r="EA25" s="16">
        <f t="shared" ref="EA25:ET25" si="292">EA23+EA24</f>
        <v>10</v>
      </c>
      <c r="EB25" s="16">
        <f t="shared" si="292"/>
        <v>12</v>
      </c>
      <c r="EC25" s="16">
        <f t="shared" si="292"/>
        <v>11</v>
      </c>
      <c r="ED25" s="16">
        <f t="shared" si="292"/>
        <v>8</v>
      </c>
      <c r="EE25" s="16">
        <f t="shared" si="292"/>
        <v>23</v>
      </c>
      <c r="EF25" s="16">
        <f t="shared" si="292"/>
        <v>39</v>
      </c>
      <c r="EG25" s="16">
        <f t="shared" si="292"/>
        <v>40</v>
      </c>
      <c r="EH25" s="16">
        <f t="shared" si="292"/>
        <v>28</v>
      </c>
      <c r="EI25" s="16">
        <f t="shared" si="292"/>
        <v>15</v>
      </c>
      <c r="EJ25" s="16">
        <f t="shared" si="292"/>
        <v>24</v>
      </c>
      <c r="EK25" s="16">
        <f t="shared" si="292"/>
        <v>27</v>
      </c>
      <c r="EL25" s="16">
        <f t="shared" si="292"/>
        <v>32</v>
      </c>
      <c r="EM25" s="16">
        <f t="shared" si="292"/>
        <v>35</v>
      </c>
      <c r="EN25" s="16">
        <f t="shared" si="292"/>
        <v>48</v>
      </c>
      <c r="EO25" s="16">
        <f t="shared" si="292"/>
        <v>52</v>
      </c>
      <c r="EP25" s="16">
        <f t="shared" si="292"/>
        <v>34</v>
      </c>
      <c r="EQ25" s="16">
        <f t="shared" si="292"/>
        <v>15</v>
      </c>
      <c r="ER25" s="16">
        <f t="shared" si="292"/>
        <v>8</v>
      </c>
      <c r="ES25" s="16">
        <f t="shared" si="292"/>
        <v>1</v>
      </c>
      <c r="ET25" s="16">
        <f t="shared" si="292"/>
        <v>0</v>
      </c>
      <c r="EU25" s="11">
        <f t="shared" si="289"/>
        <v>484</v>
      </c>
      <c r="EV25" s="11">
        <f t="shared" si="282"/>
        <v>13.2</v>
      </c>
      <c r="EW25" s="11">
        <f t="shared" si="283"/>
        <v>7</v>
      </c>
      <c r="EX25" s="11">
        <f t="shared" si="280"/>
        <v>193</v>
      </c>
      <c r="EY25" s="11">
        <f t="shared" si="284"/>
        <v>110</v>
      </c>
      <c r="EZ25" s="15">
        <f t="shared" si="285"/>
        <v>0.3987603305785124</v>
      </c>
      <c r="FA25" s="15">
        <f t="shared" si="286"/>
        <v>0.22727272727272727</v>
      </c>
      <c r="FB25" s="11">
        <f t="shared" si="290"/>
        <v>110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10</v>
      </c>
      <c r="EA26" s="9">
        <f t="shared" si="293"/>
        <v>9</v>
      </c>
      <c r="EB26" s="9">
        <f t="shared" si="293"/>
        <v>4</v>
      </c>
      <c r="EC26" s="9">
        <f t="shared" si="293"/>
        <v>4</v>
      </c>
      <c r="ED26" s="9">
        <f t="shared" si="293"/>
        <v>8</v>
      </c>
      <c r="EE26" s="9">
        <f t="shared" si="293"/>
        <v>13</v>
      </c>
      <c r="EF26" s="9">
        <f t="shared" si="293"/>
        <v>23</v>
      </c>
      <c r="EG26" s="9">
        <f t="shared" si="293"/>
        <v>23</v>
      </c>
      <c r="EH26" s="9">
        <f t="shared" si="293"/>
        <v>24</v>
      </c>
      <c r="EI26" s="9">
        <f t="shared" si="293"/>
        <v>14</v>
      </c>
      <c r="EJ26" s="9">
        <f t="shared" si="293"/>
        <v>8</v>
      </c>
      <c r="EK26" s="9">
        <f t="shared" si="293"/>
        <v>13</v>
      </c>
      <c r="EL26" s="9">
        <f t="shared" si="293"/>
        <v>15</v>
      </c>
      <c r="EM26" s="9">
        <f t="shared" si="293"/>
        <v>13</v>
      </c>
      <c r="EN26" s="9">
        <f t="shared" si="293"/>
        <v>16</v>
      </c>
      <c r="EO26" s="9">
        <f t="shared" si="293"/>
        <v>23</v>
      </c>
      <c r="EP26" s="9">
        <f t="shared" si="293"/>
        <v>18</v>
      </c>
      <c r="EQ26" s="9">
        <f t="shared" si="293"/>
        <v>10</v>
      </c>
      <c r="ER26" s="9">
        <f t="shared" si="293"/>
        <v>3</v>
      </c>
      <c r="ES26" s="9">
        <f t="shared" si="293"/>
        <v>0</v>
      </c>
      <c r="ET26" s="9">
        <f t="shared" si="293"/>
        <v>0</v>
      </c>
      <c r="EU26" s="9">
        <f t="shared" si="289"/>
        <v>251</v>
      </c>
      <c r="EV26" s="9">
        <f t="shared" si="282"/>
        <v>7.8000000000000007</v>
      </c>
      <c r="EW26" s="9">
        <f t="shared" si="283"/>
        <v>2.4000000000000004</v>
      </c>
      <c r="EX26" s="9">
        <f t="shared" si="280"/>
        <v>83</v>
      </c>
      <c r="EY26" s="9">
        <f t="shared" si="284"/>
        <v>54</v>
      </c>
      <c r="EZ26" s="13">
        <f t="shared" si="285"/>
        <v>0.33067729083665337</v>
      </c>
      <c r="FA26" s="13">
        <f t="shared" si="286"/>
        <v>0.2151394422310757</v>
      </c>
      <c r="FB26" s="9">
        <f t="shared" si="290"/>
        <v>67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12</v>
      </c>
      <c r="EA27" s="10">
        <f t="shared" si="294"/>
        <v>12</v>
      </c>
      <c r="EB27" s="10">
        <f t="shared" si="294"/>
        <v>4</v>
      </c>
      <c r="EC27" s="10">
        <f t="shared" si="294"/>
        <v>4</v>
      </c>
      <c r="ED27" s="10">
        <f t="shared" si="294"/>
        <v>1</v>
      </c>
      <c r="EE27" s="10">
        <f t="shared" si="294"/>
        <v>9</v>
      </c>
      <c r="EF27" s="10">
        <f t="shared" si="294"/>
        <v>14</v>
      </c>
      <c r="EG27" s="10">
        <f t="shared" si="294"/>
        <v>20</v>
      </c>
      <c r="EH27" s="10">
        <f t="shared" si="294"/>
        <v>18</v>
      </c>
      <c r="EI27" s="10">
        <f t="shared" si="294"/>
        <v>13</v>
      </c>
      <c r="EJ27" s="10">
        <f t="shared" si="294"/>
        <v>7</v>
      </c>
      <c r="EK27" s="10">
        <f t="shared" si="294"/>
        <v>12</v>
      </c>
      <c r="EL27" s="10">
        <f t="shared" si="294"/>
        <v>15</v>
      </c>
      <c r="EM27" s="10">
        <f t="shared" si="294"/>
        <v>18</v>
      </c>
      <c r="EN27" s="10">
        <f t="shared" si="294"/>
        <v>18</v>
      </c>
      <c r="EO27" s="10">
        <f t="shared" si="294"/>
        <v>18</v>
      </c>
      <c r="EP27" s="10">
        <f t="shared" si="294"/>
        <v>20</v>
      </c>
      <c r="EQ27" s="10">
        <f t="shared" si="294"/>
        <v>11</v>
      </c>
      <c r="ER27" s="10">
        <f t="shared" si="294"/>
        <v>4</v>
      </c>
      <c r="ES27" s="10">
        <f t="shared" si="294"/>
        <v>1</v>
      </c>
      <c r="ET27" s="10">
        <f t="shared" si="294"/>
        <v>0</v>
      </c>
      <c r="EU27" s="10">
        <f t="shared" si="289"/>
        <v>231</v>
      </c>
      <c r="EV27" s="10">
        <f t="shared" si="282"/>
        <v>9.6</v>
      </c>
      <c r="EW27" s="10">
        <f t="shared" si="283"/>
        <v>2.4000000000000004</v>
      </c>
      <c r="EX27" s="10">
        <f t="shared" si="280"/>
        <v>90</v>
      </c>
      <c r="EY27" s="10">
        <f t="shared" si="284"/>
        <v>54</v>
      </c>
      <c r="EZ27" s="14">
        <f t="shared" si="285"/>
        <v>0.38961038961038963</v>
      </c>
      <c r="FA27" s="14">
        <f t="shared" si="286"/>
        <v>0.23376623376623376</v>
      </c>
      <c r="FB27" s="10">
        <f t="shared" si="290"/>
        <v>44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v>
      </c>
      <c r="EA28" s="16">
        <f t="shared" ref="EA28:ET28" si="295">EA26+EA27</f>
        <v>21</v>
      </c>
      <c r="EB28" s="16">
        <f t="shared" si="295"/>
        <v>8</v>
      </c>
      <c r="EC28" s="16">
        <f t="shared" si="295"/>
        <v>8</v>
      </c>
      <c r="ED28" s="16">
        <f t="shared" si="295"/>
        <v>9</v>
      </c>
      <c r="EE28" s="16">
        <f t="shared" si="295"/>
        <v>22</v>
      </c>
      <c r="EF28" s="16">
        <f t="shared" si="295"/>
        <v>37</v>
      </c>
      <c r="EG28" s="16">
        <f t="shared" si="295"/>
        <v>43</v>
      </c>
      <c r="EH28" s="16">
        <f t="shared" si="295"/>
        <v>42</v>
      </c>
      <c r="EI28" s="16">
        <f t="shared" si="295"/>
        <v>27</v>
      </c>
      <c r="EJ28" s="16">
        <f t="shared" si="295"/>
        <v>15</v>
      </c>
      <c r="EK28" s="16">
        <f t="shared" si="295"/>
        <v>25</v>
      </c>
      <c r="EL28" s="16">
        <f t="shared" si="295"/>
        <v>30</v>
      </c>
      <c r="EM28" s="16">
        <f t="shared" si="295"/>
        <v>31</v>
      </c>
      <c r="EN28" s="16">
        <f t="shared" si="295"/>
        <v>34</v>
      </c>
      <c r="EO28" s="16">
        <f t="shared" si="295"/>
        <v>41</v>
      </c>
      <c r="EP28" s="16">
        <f t="shared" si="295"/>
        <v>38</v>
      </c>
      <c r="EQ28" s="16">
        <f t="shared" si="295"/>
        <v>21</v>
      </c>
      <c r="ER28" s="16">
        <f t="shared" si="295"/>
        <v>7</v>
      </c>
      <c r="ES28" s="16">
        <f t="shared" si="295"/>
        <v>1</v>
      </c>
      <c r="ET28" s="16">
        <f t="shared" si="295"/>
        <v>0</v>
      </c>
      <c r="EU28" s="11">
        <f t="shared" si="289"/>
        <v>482</v>
      </c>
      <c r="EV28" s="11">
        <f t="shared" si="282"/>
        <v>17.399999999999999</v>
      </c>
      <c r="EW28" s="11">
        <f t="shared" si="283"/>
        <v>4.8000000000000007</v>
      </c>
      <c r="EX28" s="11">
        <f t="shared" si="280"/>
        <v>173</v>
      </c>
      <c r="EY28" s="11">
        <f t="shared" si="284"/>
        <v>108</v>
      </c>
      <c r="EZ28" s="15">
        <f t="shared" si="285"/>
        <v>0.35892116182572614</v>
      </c>
      <c r="FA28" s="15">
        <f t="shared" si="286"/>
        <v>0.22406639004149378</v>
      </c>
      <c r="FB28" s="11">
        <f t="shared" si="290"/>
        <v>111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10</v>
      </c>
      <c r="EA29" s="9">
        <f t="shared" si="296"/>
        <v>9</v>
      </c>
      <c r="EB29" s="9">
        <f t="shared" si="296"/>
        <v>9</v>
      </c>
      <c r="EC29" s="9">
        <f t="shared" si="296"/>
        <v>3</v>
      </c>
      <c r="ED29" s="9">
        <f t="shared" si="296"/>
        <v>3</v>
      </c>
      <c r="EE29" s="9">
        <f t="shared" si="296"/>
        <v>15</v>
      </c>
      <c r="EF29" s="9">
        <f t="shared" si="296"/>
        <v>21</v>
      </c>
      <c r="EG29" s="9">
        <f t="shared" si="296"/>
        <v>22</v>
      </c>
      <c r="EH29" s="9">
        <f t="shared" si="296"/>
        <v>28</v>
      </c>
      <c r="EI29" s="9">
        <f t="shared" si="296"/>
        <v>28</v>
      </c>
      <c r="EJ29" s="9">
        <f t="shared" si="296"/>
        <v>13</v>
      </c>
      <c r="EK29" s="9">
        <f t="shared" si="296"/>
        <v>9</v>
      </c>
      <c r="EL29" s="9">
        <f t="shared" si="296"/>
        <v>13</v>
      </c>
      <c r="EM29" s="9">
        <f t="shared" si="296"/>
        <v>15</v>
      </c>
      <c r="EN29" s="9">
        <f t="shared" si="296"/>
        <v>12</v>
      </c>
      <c r="EO29" s="9">
        <f t="shared" si="296"/>
        <v>14</v>
      </c>
      <c r="EP29" s="9">
        <f t="shared" si="296"/>
        <v>16</v>
      </c>
      <c r="EQ29" s="9">
        <f t="shared" si="296"/>
        <v>11</v>
      </c>
      <c r="ER29" s="9">
        <f t="shared" si="296"/>
        <v>5</v>
      </c>
      <c r="ES29" s="9">
        <f t="shared" si="296"/>
        <v>0</v>
      </c>
      <c r="ET29" s="9">
        <f t="shared" si="296"/>
        <v>0</v>
      </c>
      <c r="EU29" s="9">
        <f t="shared" si="289"/>
        <v>256</v>
      </c>
      <c r="EV29" s="9">
        <f t="shared" si="282"/>
        <v>10.8</v>
      </c>
      <c r="EW29" s="9">
        <f t="shared" si="283"/>
        <v>4.2</v>
      </c>
      <c r="EX29" s="9">
        <f t="shared" si="280"/>
        <v>73</v>
      </c>
      <c r="EY29" s="9">
        <f t="shared" si="284"/>
        <v>46</v>
      </c>
      <c r="EZ29" s="13">
        <f t="shared" si="285"/>
        <v>0.28515625</v>
      </c>
      <c r="FA29" s="13">
        <f t="shared" si="286"/>
        <v>0.1796875</v>
      </c>
      <c r="FB29" s="9">
        <f t="shared" si="290"/>
        <v>61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12</v>
      </c>
      <c r="EA30" s="10">
        <f t="shared" si="297"/>
        <v>12</v>
      </c>
      <c r="EB30" s="10">
        <f t="shared" si="297"/>
        <v>9</v>
      </c>
      <c r="EC30" s="10">
        <f t="shared" si="297"/>
        <v>3</v>
      </c>
      <c r="ED30" s="10">
        <f t="shared" si="297"/>
        <v>1</v>
      </c>
      <c r="EE30" s="10">
        <f t="shared" si="297"/>
        <v>7</v>
      </c>
      <c r="EF30" s="10">
        <f t="shared" si="297"/>
        <v>15</v>
      </c>
      <c r="EG30" s="10">
        <f t="shared" si="297"/>
        <v>19</v>
      </c>
      <c r="EH30" s="10">
        <f t="shared" si="297"/>
        <v>17</v>
      </c>
      <c r="EI30" s="10">
        <f t="shared" si="297"/>
        <v>15</v>
      </c>
      <c r="EJ30" s="10">
        <f t="shared" si="297"/>
        <v>15</v>
      </c>
      <c r="EK30" s="10">
        <f t="shared" si="297"/>
        <v>7</v>
      </c>
      <c r="EL30" s="10">
        <f t="shared" si="297"/>
        <v>13</v>
      </c>
      <c r="EM30" s="10">
        <f t="shared" si="297"/>
        <v>14</v>
      </c>
      <c r="EN30" s="10">
        <f t="shared" si="297"/>
        <v>18</v>
      </c>
      <c r="EO30" s="10">
        <f t="shared" si="297"/>
        <v>16</v>
      </c>
      <c r="EP30" s="10">
        <f t="shared" si="297"/>
        <v>14</v>
      </c>
      <c r="EQ30" s="10">
        <f t="shared" si="297"/>
        <v>13</v>
      </c>
      <c r="ER30" s="10">
        <f t="shared" si="297"/>
        <v>5</v>
      </c>
      <c r="ES30" s="10">
        <f t="shared" si="297"/>
        <v>1</v>
      </c>
      <c r="ET30" s="10">
        <f t="shared" si="297"/>
        <v>0</v>
      </c>
      <c r="EU30" s="10">
        <f t="shared" si="289"/>
        <v>226</v>
      </c>
      <c r="EV30" s="10">
        <f t="shared" si="282"/>
        <v>12.600000000000001</v>
      </c>
      <c r="EW30" s="10">
        <f t="shared" si="283"/>
        <v>4.2</v>
      </c>
      <c r="EX30" s="10">
        <f t="shared" si="280"/>
        <v>81</v>
      </c>
      <c r="EY30" s="10">
        <f t="shared" si="284"/>
        <v>49</v>
      </c>
      <c r="EZ30" s="14">
        <f t="shared" si="285"/>
        <v>0.3584070796460177</v>
      </c>
      <c r="FA30" s="14">
        <f t="shared" si="286"/>
        <v>0.2168141592920354</v>
      </c>
      <c r="FB30" s="10">
        <f t="shared" si="290"/>
        <v>42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22</v>
      </c>
      <c r="EA31" s="16">
        <f t="shared" ref="EA31:ET31" si="298">EA29+EA30</f>
        <v>21</v>
      </c>
      <c r="EB31" s="16">
        <f t="shared" si="298"/>
        <v>18</v>
      </c>
      <c r="EC31" s="16">
        <f t="shared" si="298"/>
        <v>6</v>
      </c>
      <c r="ED31" s="16">
        <f t="shared" si="298"/>
        <v>4</v>
      </c>
      <c r="EE31" s="16">
        <f t="shared" si="298"/>
        <v>22</v>
      </c>
      <c r="EF31" s="16">
        <f t="shared" si="298"/>
        <v>36</v>
      </c>
      <c r="EG31" s="16">
        <f t="shared" si="298"/>
        <v>41</v>
      </c>
      <c r="EH31" s="16">
        <f t="shared" si="298"/>
        <v>45</v>
      </c>
      <c r="EI31" s="16">
        <f t="shared" si="298"/>
        <v>43</v>
      </c>
      <c r="EJ31" s="16">
        <f t="shared" si="298"/>
        <v>28</v>
      </c>
      <c r="EK31" s="16">
        <f t="shared" si="298"/>
        <v>16</v>
      </c>
      <c r="EL31" s="16">
        <f t="shared" si="298"/>
        <v>26</v>
      </c>
      <c r="EM31" s="16">
        <f t="shared" si="298"/>
        <v>29</v>
      </c>
      <c r="EN31" s="16">
        <f t="shared" si="298"/>
        <v>30</v>
      </c>
      <c r="EO31" s="16">
        <f t="shared" si="298"/>
        <v>30</v>
      </c>
      <c r="EP31" s="16">
        <f t="shared" si="298"/>
        <v>30</v>
      </c>
      <c r="EQ31" s="16">
        <f t="shared" si="298"/>
        <v>24</v>
      </c>
      <c r="ER31" s="16">
        <f t="shared" si="298"/>
        <v>10</v>
      </c>
      <c r="ES31" s="16">
        <f t="shared" si="298"/>
        <v>1</v>
      </c>
      <c r="ET31" s="16">
        <f t="shared" si="298"/>
        <v>0</v>
      </c>
      <c r="EU31" s="11">
        <f t="shared" si="289"/>
        <v>482</v>
      </c>
      <c r="EV31" s="11">
        <f t="shared" si="282"/>
        <v>23.4</v>
      </c>
      <c r="EW31" s="11">
        <f t="shared" si="283"/>
        <v>8.4</v>
      </c>
      <c r="EX31" s="11">
        <f t="shared" si="280"/>
        <v>154</v>
      </c>
      <c r="EY31" s="11">
        <f t="shared" si="284"/>
        <v>95</v>
      </c>
      <c r="EZ31" s="15">
        <f t="shared" si="285"/>
        <v>0.31950207468879666</v>
      </c>
      <c r="FA31" s="15">
        <f t="shared" si="286"/>
        <v>0.1970954356846473</v>
      </c>
      <c r="FB31" s="11">
        <f t="shared" si="290"/>
        <v>103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309</v>
      </c>
      <c r="D4" s="17">
        <f>SUM(C41:C61)</f>
        <v>342</v>
      </c>
      <c r="E4" s="17">
        <f>C4+D4</f>
        <v>651</v>
      </c>
      <c r="F4" s="85"/>
      <c r="G4" s="1" t="s">
        <v>58</v>
      </c>
      <c r="H4" s="1">
        <f>B4</f>
        <v>2010</v>
      </c>
      <c r="I4" s="17">
        <f>C4</f>
        <v>309</v>
      </c>
      <c r="J4" s="17">
        <f>D4</f>
        <v>342</v>
      </c>
      <c r="K4" s="17">
        <f>I4+J4</f>
        <v>651</v>
      </c>
      <c r="N4" s="1" t="s">
        <v>58</v>
      </c>
      <c r="O4" s="1">
        <f>H4</f>
        <v>2010</v>
      </c>
      <c r="P4" s="17">
        <f>I4</f>
        <v>309</v>
      </c>
      <c r="Q4" s="17">
        <f t="shared" ref="Q4:R4" si="0">J4</f>
        <v>342</v>
      </c>
      <c r="R4" s="17">
        <f t="shared" si="0"/>
        <v>651</v>
      </c>
      <c r="S4" s="1"/>
      <c r="T4" s="1"/>
      <c r="U4" s="1"/>
    </row>
    <row r="5" spans="1:21" x14ac:dyDescent="0.15">
      <c r="A5" s="1" t="s">
        <v>61</v>
      </c>
      <c r="B5" s="1">
        <f>管理者入力シート!B6</f>
        <v>2015</v>
      </c>
      <c r="C5" s="17">
        <f>SUM(B65:B85)</f>
        <v>283</v>
      </c>
      <c r="D5" s="17">
        <f>SUM(C65:C85)</f>
        <v>289</v>
      </c>
      <c r="E5" s="17">
        <f t="shared" ref="E5" si="1">C5+D5</f>
        <v>572</v>
      </c>
      <c r="F5" s="85"/>
      <c r="G5" s="1" t="s">
        <v>57</v>
      </c>
      <c r="H5" s="1">
        <f t="shared" ref="H5:H6" si="2">B5</f>
        <v>2015</v>
      </c>
      <c r="I5" s="17">
        <f t="shared" ref="I5" si="3">C5</f>
        <v>283</v>
      </c>
      <c r="J5" s="17">
        <f>D5</f>
        <v>289</v>
      </c>
      <c r="K5" s="17">
        <f t="shared" ref="K5:K10" si="4">I5+J5</f>
        <v>572</v>
      </c>
      <c r="N5" s="1" t="s">
        <v>57</v>
      </c>
      <c r="O5" s="1">
        <f t="shared" ref="O5:O10" si="5">H5</f>
        <v>2015</v>
      </c>
      <c r="P5" s="17">
        <f t="shared" ref="P5:P10" si="6">I5</f>
        <v>283</v>
      </c>
      <c r="Q5" s="17">
        <f t="shared" ref="Q5:Q10" si="7">J5</f>
        <v>289</v>
      </c>
      <c r="R5" s="17">
        <f t="shared" ref="R5:R10" si="8">K5</f>
        <v>572</v>
      </c>
      <c r="S5" s="1"/>
      <c r="T5" s="1"/>
      <c r="U5" s="1"/>
    </row>
    <row r="6" spans="1:21" x14ac:dyDescent="0.15">
      <c r="A6" s="1" t="s">
        <v>62</v>
      </c>
      <c r="B6" s="1">
        <f>管理者入力シート!B5</f>
        <v>2020</v>
      </c>
      <c r="C6" s="17">
        <f>SUM(B89:B109)</f>
        <v>263</v>
      </c>
      <c r="D6" s="17">
        <f>SUM(C89:C109)</f>
        <v>252</v>
      </c>
      <c r="E6" s="17">
        <f>C6+D6</f>
        <v>515</v>
      </c>
      <c r="F6" s="85"/>
      <c r="G6" s="1" t="s">
        <v>62</v>
      </c>
      <c r="H6" s="1">
        <f t="shared" si="2"/>
        <v>2020</v>
      </c>
      <c r="I6" s="17">
        <f>C6</f>
        <v>263</v>
      </c>
      <c r="J6" s="17">
        <f>D6</f>
        <v>252</v>
      </c>
      <c r="K6" s="17">
        <f t="shared" si="4"/>
        <v>515</v>
      </c>
      <c r="N6" s="1" t="s">
        <v>62</v>
      </c>
      <c r="O6" s="1">
        <f t="shared" si="5"/>
        <v>2020</v>
      </c>
      <c r="P6" s="17">
        <f t="shared" si="6"/>
        <v>263</v>
      </c>
      <c r="Q6" s="17">
        <f t="shared" si="7"/>
        <v>252</v>
      </c>
      <c r="R6" s="17">
        <f t="shared" si="8"/>
        <v>515</v>
      </c>
      <c r="S6" s="1"/>
      <c r="T6" s="1"/>
      <c r="U6" s="1"/>
    </row>
    <row r="7" spans="1:21" x14ac:dyDescent="0.15">
      <c r="G7" s="1" t="s">
        <v>106</v>
      </c>
      <c r="H7" s="1">
        <f>管理者入力シート!B8</f>
        <v>2025</v>
      </c>
      <c r="I7" s="17">
        <f>SUM(H69:H89)</f>
        <v>240</v>
      </c>
      <c r="J7" s="17">
        <f>SUM(I69:I89)</f>
        <v>221</v>
      </c>
      <c r="K7" s="17">
        <f t="shared" si="4"/>
        <v>461</v>
      </c>
      <c r="N7" s="1" t="s">
        <v>106</v>
      </c>
      <c r="O7" s="1">
        <f t="shared" si="5"/>
        <v>2025</v>
      </c>
      <c r="P7" s="17">
        <f t="shared" si="6"/>
        <v>240</v>
      </c>
      <c r="Q7" s="17">
        <f t="shared" si="7"/>
        <v>221</v>
      </c>
      <c r="R7" s="17">
        <f t="shared" si="8"/>
        <v>461</v>
      </c>
      <c r="S7" s="235">
        <f>SUM(O69:O89)</f>
        <v>244</v>
      </c>
      <c r="T7" s="235">
        <f>SUM(P69:P89)</f>
        <v>226</v>
      </c>
      <c r="U7" s="235">
        <f>S7+T7</f>
        <v>470</v>
      </c>
    </row>
    <row r="8" spans="1:21" x14ac:dyDescent="0.15">
      <c r="A8" s="69" t="s">
        <v>71</v>
      </c>
      <c r="G8" s="1" t="s">
        <v>107</v>
      </c>
      <c r="H8" s="1">
        <f>管理者入力シート!B9</f>
        <v>2030</v>
      </c>
      <c r="I8" s="17">
        <f>SUM(H93:H113)</f>
        <v>209</v>
      </c>
      <c r="J8" s="17">
        <f>SUM(I93:I113)</f>
        <v>188</v>
      </c>
      <c r="K8" s="17">
        <f t="shared" si="4"/>
        <v>397</v>
      </c>
      <c r="N8" s="1" t="s">
        <v>107</v>
      </c>
      <c r="O8" s="1">
        <f t="shared" si="5"/>
        <v>2030</v>
      </c>
      <c r="P8" s="17">
        <f t="shared" si="6"/>
        <v>209</v>
      </c>
      <c r="Q8" s="17">
        <f t="shared" si="7"/>
        <v>188</v>
      </c>
      <c r="R8" s="17">
        <f t="shared" si="8"/>
        <v>397</v>
      </c>
      <c r="S8" s="235">
        <f>SUM(O93:O113)</f>
        <v>218</v>
      </c>
      <c r="T8" s="235">
        <f>SUM(P93:P113)</f>
        <v>199</v>
      </c>
      <c r="U8" s="235">
        <f t="shared" ref="U8:U10" si="9">S8+T8</f>
        <v>417</v>
      </c>
    </row>
    <row r="9" spans="1:21" x14ac:dyDescent="0.15">
      <c r="A9" s="2" t="s">
        <v>72</v>
      </c>
      <c r="G9" s="1" t="s">
        <v>108</v>
      </c>
      <c r="H9" s="1">
        <f>管理者入力シート!B10</f>
        <v>2035</v>
      </c>
      <c r="I9" s="17">
        <f>SUM(H117:H137)</f>
        <v>183</v>
      </c>
      <c r="J9" s="17">
        <f>SUM(I117:I137)</f>
        <v>161</v>
      </c>
      <c r="K9" s="17">
        <f t="shared" si="4"/>
        <v>344</v>
      </c>
      <c r="N9" s="1" t="s">
        <v>108</v>
      </c>
      <c r="O9" s="1">
        <f t="shared" si="5"/>
        <v>2035</v>
      </c>
      <c r="P9" s="17">
        <f t="shared" si="6"/>
        <v>183</v>
      </c>
      <c r="Q9" s="17">
        <f t="shared" si="7"/>
        <v>161</v>
      </c>
      <c r="R9" s="17">
        <f t="shared" si="8"/>
        <v>344</v>
      </c>
      <c r="S9" s="235">
        <f>SUM(O117:O137)</f>
        <v>195</v>
      </c>
      <c r="T9" s="235">
        <f>SUM(P117:P137)</f>
        <v>178</v>
      </c>
      <c r="U9" s="235">
        <f t="shared" si="9"/>
        <v>373</v>
      </c>
    </row>
    <row r="10" spans="1:21" x14ac:dyDescent="0.15">
      <c r="A10" s="1" t="s">
        <v>58</v>
      </c>
      <c r="B10" s="1">
        <f>B4</f>
        <v>2010</v>
      </c>
      <c r="C10" s="17">
        <f>ROUND(VLOOKUP(B10&amp;"_3",管理者用人口入力シート!A:AA,26,FALSE),0)</f>
        <v>27</v>
      </c>
      <c r="D10" s="12"/>
      <c r="E10" s="12"/>
      <c r="G10" s="1" t="s">
        <v>109</v>
      </c>
      <c r="H10" s="1">
        <f>管理者入力シート!B11</f>
        <v>2040</v>
      </c>
      <c r="I10" s="17">
        <f>SUM(H141:H161)</f>
        <v>161</v>
      </c>
      <c r="J10" s="17">
        <f>SUM(I141:I161)</f>
        <v>135</v>
      </c>
      <c r="K10" s="17">
        <f t="shared" si="4"/>
        <v>296</v>
      </c>
      <c r="N10" s="1" t="s">
        <v>109</v>
      </c>
      <c r="O10" s="1">
        <f t="shared" si="5"/>
        <v>2040</v>
      </c>
      <c r="P10" s="17">
        <f t="shared" si="6"/>
        <v>161</v>
      </c>
      <c r="Q10" s="17">
        <f t="shared" si="7"/>
        <v>135</v>
      </c>
      <c r="R10" s="17">
        <f t="shared" si="8"/>
        <v>296</v>
      </c>
      <c r="S10" s="235">
        <f>SUM(O141:O161)</f>
        <v>181</v>
      </c>
      <c r="T10" s="235">
        <f>SUM(P141:P161)</f>
        <v>157</v>
      </c>
      <c r="U10" s="235">
        <f t="shared" si="9"/>
        <v>338</v>
      </c>
    </row>
    <row r="11" spans="1:21" x14ac:dyDescent="0.15">
      <c r="A11" s="1" t="s">
        <v>61</v>
      </c>
      <c r="B11" s="1">
        <f t="shared" ref="B11:B12" si="10">B5</f>
        <v>2015</v>
      </c>
      <c r="C11" s="17">
        <f>ROUND(VLOOKUP(B11&amp;"_3",管理者用人口入力シート!A:AA,26,FALSE),0)</f>
        <v>23</v>
      </c>
      <c r="D11" s="12"/>
      <c r="E11" s="12"/>
      <c r="I11" s="12"/>
      <c r="J11" s="12"/>
      <c r="K11" s="12"/>
      <c r="P11" s="12"/>
    </row>
    <row r="12" spans="1:21" x14ac:dyDescent="0.15">
      <c r="A12" s="1" t="s">
        <v>62</v>
      </c>
      <c r="B12" s="1">
        <f t="shared" si="10"/>
        <v>2020</v>
      </c>
      <c r="C12" s="17">
        <f>ROUND(VLOOKUP(B12&amp;"_3",管理者用人口入力シート!A:AA,26,FALSE),0)</f>
        <v>24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v>
      </c>
      <c r="D14" s="12"/>
      <c r="E14" s="12"/>
      <c r="G14" s="1" t="s">
        <v>58</v>
      </c>
      <c r="H14" s="1">
        <f>H4</f>
        <v>2010</v>
      </c>
      <c r="I14" s="17">
        <f>C10</f>
        <v>27</v>
      </c>
      <c r="J14" s="12"/>
      <c r="K14" s="12"/>
      <c r="N14" s="1" t="s">
        <v>58</v>
      </c>
      <c r="O14" s="1">
        <f>O4</f>
        <v>2010</v>
      </c>
      <c r="P14" s="17">
        <f>I14</f>
        <v>27</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23</v>
      </c>
      <c r="J15" s="12"/>
      <c r="K15" s="12"/>
      <c r="N15" s="1" t="s">
        <v>57</v>
      </c>
      <c r="O15" s="1">
        <f t="shared" ref="O15:O20" si="13">O5</f>
        <v>2015</v>
      </c>
      <c r="P15" s="17">
        <f t="shared" ref="P15:P20" si="14">I15</f>
        <v>23</v>
      </c>
      <c r="Q15" s="17"/>
    </row>
    <row r="16" spans="1:21" x14ac:dyDescent="0.15">
      <c r="A16" s="1" t="s">
        <v>62</v>
      </c>
      <c r="B16" s="1">
        <f t="shared" si="11"/>
        <v>2020</v>
      </c>
      <c r="C16" s="17">
        <f>ROUND(VLOOKUP(B16&amp;"_3",管理者用人口入力シート!A:AA,27,FALSE),0)</f>
        <v>11</v>
      </c>
      <c r="D16" s="12"/>
      <c r="E16" s="12"/>
      <c r="G16" s="1" t="s">
        <v>62</v>
      </c>
      <c r="H16" s="1">
        <f t="shared" si="12"/>
        <v>2020</v>
      </c>
      <c r="I16" s="17">
        <f>C12</f>
        <v>24</v>
      </c>
      <c r="J16" s="12"/>
      <c r="K16" s="12"/>
      <c r="N16" s="1" t="s">
        <v>62</v>
      </c>
      <c r="O16" s="1">
        <f t="shared" si="13"/>
        <v>2020</v>
      </c>
      <c r="P16" s="17">
        <f t="shared" si="14"/>
        <v>24</v>
      </c>
      <c r="Q16" s="17"/>
    </row>
    <row r="17" spans="1:17" x14ac:dyDescent="0.15">
      <c r="G17" s="1" t="s">
        <v>106</v>
      </c>
      <c r="H17" s="1">
        <f t="shared" si="12"/>
        <v>2025</v>
      </c>
      <c r="I17" s="17">
        <f>ROUND(VLOOKUP(H17&amp;"_3",管理者用人口入力シート!BH:CM,26,FALSE),0)</f>
        <v>18</v>
      </c>
      <c r="J17" s="12"/>
      <c r="K17" s="12"/>
      <c r="N17" s="1" t="s">
        <v>106</v>
      </c>
      <c r="O17" s="1">
        <f t="shared" si="13"/>
        <v>2025</v>
      </c>
      <c r="P17" s="17">
        <f t="shared" si="14"/>
        <v>18</v>
      </c>
      <c r="Q17" s="17">
        <f>ROUND(VLOOKUP(H17&amp;"_3",管理者用人口入力シート!CO:DT,26,FALSE),0)</f>
        <v>19</v>
      </c>
    </row>
    <row r="18" spans="1:17" x14ac:dyDescent="0.15">
      <c r="A18" s="69" t="s">
        <v>110</v>
      </c>
      <c r="G18" s="1" t="s">
        <v>107</v>
      </c>
      <c r="H18" s="1">
        <f t="shared" si="12"/>
        <v>2030</v>
      </c>
      <c r="I18" s="17">
        <f>ROUND(VLOOKUP(H18&amp;"_3",管理者用人口入力シート!BH:CM,26,FALSE),0)</f>
        <v>13</v>
      </c>
      <c r="J18" s="12"/>
      <c r="K18" s="12"/>
      <c r="N18" s="1" t="s">
        <v>107</v>
      </c>
      <c r="O18" s="1">
        <f t="shared" si="13"/>
        <v>2030</v>
      </c>
      <c r="P18" s="17">
        <f t="shared" si="14"/>
        <v>13</v>
      </c>
      <c r="Q18" s="17">
        <f>ROUND(VLOOKUP(H18&amp;"_3",管理者用人口入力シート!CO:DT,26,FALSE),0)</f>
        <v>15</v>
      </c>
    </row>
    <row r="19" spans="1:17" x14ac:dyDescent="0.15">
      <c r="A19" s="2" t="s">
        <v>84</v>
      </c>
      <c r="G19" s="1" t="s">
        <v>108</v>
      </c>
      <c r="H19" s="1">
        <f t="shared" si="12"/>
        <v>2035</v>
      </c>
      <c r="I19" s="17">
        <f>ROUND(VLOOKUP(H19&amp;"_3",管理者用人口入力シート!BH:CM,26,FALSE),0)</f>
        <v>9</v>
      </c>
      <c r="J19" s="12"/>
      <c r="K19" s="12"/>
      <c r="N19" s="1" t="s">
        <v>108</v>
      </c>
      <c r="O19" s="1">
        <f t="shared" si="13"/>
        <v>2035</v>
      </c>
      <c r="P19" s="17">
        <f t="shared" si="14"/>
        <v>9</v>
      </c>
      <c r="Q19" s="17">
        <f>ROUND(VLOOKUP(H19&amp;"_3",管理者用人口入力シート!CO:DT,26,FALSE),0)</f>
        <v>14</v>
      </c>
    </row>
    <row r="20" spans="1:17" x14ac:dyDescent="0.15">
      <c r="A20" s="1" t="s">
        <v>58</v>
      </c>
      <c r="B20" s="1">
        <f>B4</f>
        <v>2010</v>
      </c>
      <c r="C20" s="17">
        <f>SUM(B54:C61)</f>
        <v>240</v>
      </c>
      <c r="D20" s="12"/>
      <c r="E20" s="12"/>
      <c r="G20" s="1" t="s">
        <v>109</v>
      </c>
      <c r="H20" s="1">
        <f t="shared" si="12"/>
        <v>2040</v>
      </c>
      <c r="I20" s="17">
        <f>ROUND(VLOOKUP(H20&amp;"_3",管理者用人口入力シート!BH:CM,26,FALSE),0)</f>
        <v>6</v>
      </c>
      <c r="J20" s="12"/>
      <c r="K20" s="12"/>
      <c r="N20" s="1" t="s">
        <v>109</v>
      </c>
      <c r="O20" s="1">
        <f t="shared" si="13"/>
        <v>2040</v>
      </c>
      <c r="P20" s="17">
        <f t="shared" si="14"/>
        <v>6</v>
      </c>
      <c r="Q20" s="17">
        <f>ROUND(VLOOKUP(H20&amp;"_3",管理者用人口入力シート!CO:DT,26,FALSE),0)</f>
        <v>12</v>
      </c>
    </row>
    <row r="21" spans="1:17" x14ac:dyDescent="0.15">
      <c r="A21" s="1" t="s">
        <v>61</v>
      </c>
      <c r="B21" s="1">
        <f t="shared" ref="B21:B22" si="15">B5</f>
        <v>2015</v>
      </c>
      <c r="C21" s="17">
        <f>SUM(B78:C85)</f>
        <v>238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220</v>
      </c>
      <c r="D22" s="12"/>
      <c r="E22" s="12"/>
      <c r="G22" s="1" t="s">
        <v>58</v>
      </c>
      <c r="H22" s="1">
        <f>H4</f>
        <v>2010</v>
      </c>
      <c r="I22" s="17">
        <f>C14</f>
        <v>15</v>
      </c>
      <c r="J22" s="12"/>
      <c r="K22" s="12"/>
      <c r="N22" s="1" t="s">
        <v>58</v>
      </c>
      <c r="O22" s="1">
        <f>O4</f>
        <v>2010</v>
      </c>
      <c r="P22" s="17">
        <f>I22</f>
        <v>15</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150</v>
      </c>
      <c r="D24" s="12"/>
      <c r="E24" s="12"/>
      <c r="G24" s="1" t="s">
        <v>62</v>
      </c>
      <c r="H24" s="1">
        <f t="shared" si="16"/>
        <v>2020</v>
      </c>
      <c r="I24" s="17">
        <f t="shared" si="17"/>
        <v>11</v>
      </c>
      <c r="J24" s="12"/>
      <c r="K24" s="12"/>
      <c r="N24" s="1" t="s">
        <v>62</v>
      </c>
      <c r="O24" s="1">
        <f t="shared" si="18"/>
        <v>2020</v>
      </c>
      <c r="P24" s="17">
        <f t="shared" si="19"/>
        <v>11</v>
      </c>
      <c r="Q24" s="17"/>
    </row>
    <row r="25" spans="1:17" x14ac:dyDescent="0.15">
      <c r="A25" s="1" t="s">
        <v>61</v>
      </c>
      <c r="B25" s="1">
        <f t="shared" ref="B25:B26" si="20">B5</f>
        <v>2015</v>
      </c>
      <c r="C25" s="17">
        <f>SUM(B80:C85)</f>
        <v>142</v>
      </c>
      <c r="D25" s="12"/>
      <c r="E25" s="12"/>
      <c r="G25" s="1" t="s">
        <v>106</v>
      </c>
      <c r="H25" s="1">
        <f t="shared" si="16"/>
        <v>2025</v>
      </c>
      <c r="I25" s="17">
        <f>ROUND(VLOOKUP(H25&amp;"_3",管理者用人口入力シート!BH:CM,27,FALSE),0)</f>
        <v>10</v>
      </c>
      <c r="J25" s="12"/>
      <c r="K25" s="12"/>
      <c r="N25" s="1" t="s">
        <v>106</v>
      </c>
      <c r="O25" s="1">
        <f t="shared" si="18"/>
        <v>2025</v>
      </c>
      <c r="P25" s="17">
        <f t="shared" si="19"/>
        <v>10</v>
      </c>
      <c r="Q25" s="17">
        <f>ROUND(VLOOKUP(H17&amp;"_3",管理者用人口入力シート!CO:DT,27,FALSE),0)</f>
        <v>11</v>
      </c>
    </row>
    <row r="26" spans="1:17" x14ac:dyDescent="0.15">
      <c r="A26" s="1" t="s">
        <v>62</v>
      </c>
      <c r="B26" s="1">
        <f t="shared" si="20"/>
        <v>2020</v>
      </c>
      <c r="C26" s="17">
        <f>SUM(B104:C109)</f>
        <v>104</v>
      </c>
      <c r="D26" s="12"/>
      <c r="E26" s="12"/>
      <c r="G26" s="1" t="s">
        <v>107</v>
      </c>
      <c r="H26" s="1">
        <f t="shared" si="16"/>
        <v>2030</v>
      </c>
      <c r="I26" s="17">
        <f>ROUND(VLOOKUP(H26&amp;"_3",管理者用人口入力シート!BH:CM,27,FALSE),0)</f>
        <v>7</v>
      </c>
      <c r="J26" s="12"/>
      <c r="K26" s="12"/>
      <c r="N26" s="1" t="s">
        <v>107</v>
      </c>
      <c r="O26" s="1">
        <f t="shared" si="18"/>
        <v>2030</v>
      </c>
      <c r="P26" s="17">
        <f t="shared" si="19"/>
        <v>7</v>
      </c>
      <c r="Q26" s="17">
        <f>ROUND(VLOOKUP(H18&amp;"_3",管理者用人口入力シート!CO:DT,27,FALSE),0)</f>
        <v>8</v>
      </c>
    </row>
    <row r="27" spans="1:17" x14ac:dyDescent="0.15">
      <c r="G27" s="1" t="s">
        <v>108</v>
      </c>
      <c r="H27" s="1">
        <f t="shared" si="16"/>
        <v>2035</v>
      </c>
      <c r="I27" s="17">
        <f>ROUND(VLOOKUP(H27&amp;"_3",管理者用人口入力シート!BH:CM,27,FALSE),0)</f>
        <v>5</v>
      </c>
      <c r="J27" s="12"/>
      <c r="K27" s="12"/>
      <c r="N27" s="1" t="s">
        <v>108</v>
      </c>
      <c r="O27" s="1">
        <f t="shared" si="18"/>
        <v>2035</v>
      </c>
      <c r="P27" s="17">
        <f t="shared" si="19"/>
        <v>5</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6</v>
      </c>
    </row>
    <row r="29" spans="1:17" x14ac:dyDescent="0.15">
      <c r="A29" s="2" t="s">
        <v>84</v>
      </c>
    </row>
    <row r="30" spans="1:17" x14ac:dyDescent="0.15">
      <c r="A30" s="1" t="s">
        <v>58</v>
      </c>
      <c r="B30" s="1">
        <f>B4</f>
        <v>2010</v>
      </c>
      <c r="C30" s="38">
        <f>ROUND((SUM(B54:C61)/SUM(B41:C61)),2)</f>
        <v>0.37</v>
      </c>
      <c r="D30" s="204"/>
      <c r="E30" s="204"/>
      <c r="G30" s="69" t="s">
        <v>110</v>
      </c>
      <c r="N30" s="69" t="s">
        <v>110</v>
      </c>
    </row>
    <row r="31" spans="1:17" x14ac:dyDescent="0.15">
      <c r="A31" s="1" t="s">
        <v>61</v>
      </c>
      <c r="B31" s="1">
        <f t="shared" ref="B31:B32" si="21">B5</f>
        <v>2015</v>
      </c>
      <c r="C31" s="38">
        <f>ROUND((SUM(B78:C85)/SUM(B65:C85)),2)</f>
        <v>0.42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240</v>
      </c>
      <c r="J32" s="12"/>
      <c r="K32" s="12"/>
      <c r="N32" s="1" t="s">
        <v>58</v>
      </c>
      <c r="O32" s="1">
        <f>O4</f>
        <v>2010</v>
      </c>
      <c r="P32" s="17">
        <f>I32</f>
        <v>240</v>
      </c>
      <c r="Q32" s="17"/>
    </row>
    <row r="33" spans="1:17" x14ac:dyDescent="0.15">
      <c r="A33" s="2" t="s">
        <v>86</v>
      </c>
      <c r="G33" s="1" t="s">
        <v>57</v>
      </c>
      <c r="H33" s="1">
        <f t="shared" ref="H33:H38" si="22">H5</f>
        <v>2015</v>
      </c>
      <c r="I33" s="17">
        <f>C21</f>
        <v>238</v>
      </c>
      <c r="J33" s="12"/>
      <c r="K33" s="12"/>
      <c r="N33" s="1" t="s">
        <v>57</v>
      </c>
      <c r="O33" s="1">
        <f t="shared" ref="O33:O38" si="23">O5</f>
        <v>2015</v>
      </c>
      <c r="P33" s="17">
        <f t="shared" ref="P33:P38" si="24">I33</f>
        <v>238</v>
      </c>
      <c r="Q33" s="17"/>
    </row>
    <row r="34" spans="1:17" x14ac:dyDescent="0.15">
      <c r="A34" s="1" t="s">
        <v>58</v>
      </c>
      <c r="B34" s="1">
        <f>B4</f>
        <v>2010</v>
      </c>
      <c r="C34" s="38">
        <f>ROUND((SUM(B56:C61)/SUM(B41:C61)),2)</f>
        <v>0.23</v>
      </c>
      <c r="D34" s="204"/>
      <c r="E34" s="204"/>
      <c r="G34" s="1" t="s">
        <v>62</v>
      </c>
      <c r="H34" s="1">
        <f t="shared" si="22"/>
        <v>2020</v>
      </c>
      <c r="I34" s="17">
        <f>C22</f>
        <v>220</v>
      </c>
      <c r="J34" s="12"/>
      <c r="K34" s="12"/>
      <c r="N34" s="1" t="s">
        <v>62</v>
      </c>
      <c r="O34" s="1">
        <f t="shared" si="23"/>
        <v>2020</v>
      </c>
      <c r="P34" s="17">
        <f t="shared" si="24"/>
        <v>220</v>
      </c>
      <c r="Q34" s="17"/>
    </row>
    <row r="35" spans="1:17" x14ac:dyDescent="0.15">
      <c r="A35" s="1" t="s">
        <v>61</v>
      </c>
      <c r="B35" s="1">
        <f t="shared" ref="B35:B36" si="25">B5</f>
        <v>2015</v>
      </c>
      <c r="C35" s="38">
        <f>ROUND((SUM(B80:C85)/SUM(B65:C85)),2)</f>
        <v>0.25</v>
      </c>
      <c r="D35" s="204"/>
      <c r="E35" s="204"/>
      <c r="G35" s="1" t="s">
        <v>106</v>
      </c>
      <c r="H35" s="1">
        <f t="shared" si="22"/>
        <v>2025</v>
      </c>
      <c r="I35" s="17">
        <f>SUM(H82:I89)</f>
        <v>214</v>
      </c>
      <c r="J35" s="12"/>
      <c r="K35" s="12"/>
      <c r="N35" s="1" t="s">
        <v>106</v>
      </c>
      <c r="O35" s="1">
        <f t="shared" si="23"/>
        <v>2025</v>
      </c>
      <c r="P35" s="17">
        <f t="shared" si="24"/>
        <v>214</v>
      </c>
      <c r="Q35" s="17">
        <f>SUM(O82:P89)</f>
        <v>214</v>
      </c>
    </row>
    <row r="36" spans="1:17" x14ac:dyDescent="0.15">
      <c r="A36" s="1" t="s">
        <v>62</v>
      </c>
      <c r="B36" s="1">
        <f t="shared" si="25"/>
        <v>2020</v>
      </c>
      <c r="C36" s="38">
        <f>ROUND((SUM(B104:C109)/SUM(B89:C109)),2)</f>
        <v>0.2</v>
      </c>
      <c r="D36" s="204"/>
      <c r="E36" s="204"/>
      <c r="G36" s="1" t="s">
        <v>107</v>
      </c>
      <c r="H36" s="1">
        <f t="shared" si="22"/>
        <v>2030</v>
      </c>
      <c r="I36" s="17">
        <f>SUM(H106:I113)</f>
        <v>193</v>
      </c>
      <c r="J36" s="12"/>
      <c r="K36" s="12"/>
      <c r="N36" s="1" t="s">
        <v>107</v>
      </c>
      <c r="O36" s="1">
        <f t="shared" si="23"/>
        <v>2030</v>
      </c>
      <c r="P36" s="17">
        <f t="shared" si="24"/>
        <v>193</v>
      </c>
      <c r="Q36" s="17">
        <f>SUM(O106:P113)</f>
        <v>193</v>
      </c>
    </row>
    <row r="37" spans="1:17" x14ac:dyDescent="0.15">
      <c r="G37" s="1" t="s">
        <v>108</v>
      </c>
      <c r="H37" s="1">
        <f t="shared" si="22"/>
        <v>2035</v>
      </c>
      <c r="I37" s="17">
        <f>SUM(H130:I137)</f>
        <v>173</v>
      </c>
      <c r="J37" s="12"/>
      <c r="K37" s="12"/>
      <c r="N37" s="1" t="s">
        <v>108</v>
      </c>
      <c r="O37" s="1">
        <f t="shared" si="23"/>
        <v>2035</v>
      </c>
      <c r="P37" s="17">
        <f t="shared" si="24"/>
        <v>173</v>
      </c>
      <c r="Q37" s="17">
        <f>SUM(O130:P137)</f>
        <v>173</v>
      </c>
    </row>
    <row r="38" spans="1:17" x14ac:dyDescent="0.15">
      <c r="A38" s="69" t="s">
        <v>113</v>
      </c>
      <c r="G38" s="1" t="s">
        <v>109</v>
      </c>
      <c r="H38" s="1">
        <f t="shared" si="22"/>
        <v>2040</v>
      </c>
      <c r="I38" s="17">
        <f>SUM(H154:I161)</f>
        <v>154</v>
      </c>
      <c r="J38" s="12"/>
      <c r="K38" s="12"/>
      <c r="N38" s="1" t="s">
        <v>109</v>
      </c>
      <c r="O38" s="1">
        <f t="shared" si="23"/>
        <v>2040</v>
      </c>
      <c r="P38" s="17">
        <f t="shared" si="24"/>
        <v>154</v>
      </c>
      <c r="Q38" s="17">
        <f>SUM(O154:P161)</f>
        <v>154</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150</v>
      </c>
      <c r="J40" s="12"/>
      <c r="K40" s="12"/>
      <c r="N40" s="1" t="s">
        <v>58</v>
      </c>
      <c r="O40" s="1">
        <f>O4</f>
        <v>2010</v>
      </c>
      <c r="P40" s="17">
        <f>I40</f>
        <v>150</v>
      </c>
      <c r="Q40" s="17"/>
    </row>
    <row r="41" spans="1:17" x14ac:dyDescent="0.15">
      <c r="A41" s="2" t="s">
        <v>0</v>
      </c>
      <c r="B41" s="17">
        <f>ROUND(VLOOKUP(B$39&amp;"_1",管理者用人口入力シート!A:X,D41,FALSE),0)</f>
        <v>14</v>
      </c>
      <c r="C41" s="17">
        <f>ROUND(VLOOKUP(B$39&amp;"_2",管理者用人口入力シート!A:X,D41,FALSE),0)</f>
        <v>9</v>
      </c>
      <c r="D41" s="2">
        <v>4</v>
      </c>
      <c r="G41" s="1" t="s">
        <v>57</v>
      </c>
      <c r="H41" s="1">
        <f t="shared" ref="H41:H46" si="26">H5</f>
        <v>2015</v>
      </c>
      <c r="I41" s="17">
        <f>C25</f>
        <v>142</v>
      </c>
      <c r="J41" s="12"/>
      <c r="K41" s="12"/>
      <c r="N41" s="1" t="s">
        <v>57</v>
      </c>
      <c r="O41" s="1">
        <f t="shared" ref="O41:O46" si="27">O5</f>
        <v>2015</v>
      </c>
      <c r="P41" s="17">
        <f t="shared" ref="P41:P46" si="28">I41</f>
        <v>142</v>
      </c>
      <c r="Q41" s="17"/>
    </row>
    <row r="42" spans="1:17" x14ac:dyDescent="0.15">
      <c r="A42" s="2" t="s">
        <v>1</v>
      </c>
      <c r="B42" s="17">
        <f>ROUND(VLOOKUP(B$39&amp;"_1",管理者用人口入力シート!A:X,D42,FALSE),0)</f>
        <v>14</v>
      </c>
      <c r="C42" s="17">
        <f>ROUND(VLOOKUP(B$39&amp;"_2",管理者用人口入力シート!A:X,D42,FALSE),0)</f>
        <v>10</v>
      </c>
      <c r="D42" s="2">
        <v>5</v>
      </c>
      <c r="G42" s="1" t="s">
        <v>62</v>
      </c>
      <c r="H42" s="1">
        <f t="shared" si="26"/>
        <v>2020</v>
      </c>
      <c r="I42" s="17">
        <f>C26</f>
        <v>104</v>
      </c>
      <c r="J42" s="12"/>
      <c r="K42" s="12"/>
      <c r="N42" s="1" t="s">
        <v>62</v>
      </c>
      <c r="O42" s="1">
        <f t="shared" si="27"/>
        <v>2020</v>
      </c>
      <c r="P42" s="17">
        <f t="shared" si="28"/>
        <v>104</v>
      </c>
      <c r="Q42" s="17"/>
    </row>
    <row r="43" spans="1:17" x14ac:dyDescent="0.15">
      <c r="A43" s="2" t="s">
        <v>2</v>
      </c>
      <c r="B43" s="17">
        <f>ROUND(VLOOKUP(B$39&amp;"_1",管理者用人口入力シート!A:X,D43,FALSE),0)</f>
        <v>8</v>
      </c>
      <c r="C43" s="17">
        <f>ROUND(VLOOKUP(B$39&amp;"_2",管理者用人口入力シート!A:X,D43,FALSE),0)</f>
        <v>13</v>
      </c>
      <c r="D43" s="2">
        <v>6</v>
      </c>
      <c r="G43" s="1" t="s">
        <v>106</v>
      </c>
      <c r="H43" s="1">
        <f t="shared" si="26"/>
        <v>2025</v>
      </c>
      <c r="I43" s="17">
        <f>SUM(H84:I89)</f>
        <v>103</v>
      </c>
      <c r="J43" s="12"/>
      <c r="K43" s="12"/>
      <c r="N43" s="1" t="s">
        <v>106</v>
      </c>
      <c r="O43" s="1">
        <f t="shared" si="27"/>
        <v>2025</v>
      </c>
      <c r="P43" s="17">
        <f t="shared" si="28"/>
        <v>103</v>
      </c>
      <c r="Q43" s="17">
        <f>SUM(O84:P89)</f>
        <v>103</v>
      </c>
    </row>
    <row r="44" spans="1:17" x14ac:dyDescent="0.15">
      <c r="A44" s="2" t="s">
        <v>3</v>
      </c>
      <c r="B44" s="17">
        <f>ROUND(VLOOKUP(B$39&amp;"_1",管理者用人口入力シート!A:X,D44,FALSE),0)</f>
        <v>21</v>
      </c>
      <c r="C44" s="17">
        <f>ROUND(VLOOKUP(B$39&amp;"_2",管理者用人口入力シート!A:X,D44,FALSE),0)</f>
        <v>11</v>
      </c>
      <c r="D44" s="2">
        <v>7</v>
      </c>
      <c r="G44" s="1" t="s">
        <v>107</v>
      </c>
      <c r="H44" s="1">
        <f t="shared" si="26"/>
        <v>2030</v>
      </c>
      <c r="I44" s="17">
        <f>SUM(H108:I113)</f>
        <v>110</v>
      </c>
      <c r="J44" s="12"/>
      <c r="K44" s="12"/>
      <c r="N44" s="1" t="s">
        <v>107</v>
      </c>
      <c r="O44" s="1">
        <f t="shared" si="27"/>
        <v>2030</v>
      </c>
      <c r="P44" s="17">
        <f t="shared" si="28"/>
        <v>110</v>
      </c>
      <c r="Q44" s="17">
        <f>SUM(O108:P113)</f>
        <v>110</v>
      </c>
    </row>
    <row r="45" spans="1:17" x14ac:dyDescent="0.15">
      <c r="A45" s="2" t="s">
        <v>4</v>
      </c>
      <c r="B45" s="17">
        <f>ROUND(VLOOKUP(B$39&amp;"_1",管理者用人口入力シート!A:X,D45,FALSE),0)</f>
        <v>5</v>
      </c>
      <c r="C45" s="17">
        <f>ROUND(VLOOKUP(B$39&amp;"_2",管理者用人口入力シート!A:X,D45,FALSE),0)</f>
        <v>9</v>
      </c>
      <c r="D45" s="2">
        <v>8</v>
      </c>
      <c r="G45" s="1" t="s">
        <v>108</v>
      </c>
      <c r="H45" s="1">
        <f t="shared" si="26"/>
        <v>2035</v>
      </c>
      <c r="I45" s="17">
        <f>SUM(H132:I137)</f>
        <v>108</v>
      </c>
      <c r="J45" s="12"/>
      <c r="K45" s="12"/>
      <c r="N45" s="1" t="s">
        <v>108</v>
      </c>
      <c r="O45" s="1">
        <f t="shared" si="27"/>
        <v>2035</v>
      </c>
      <c r="P45" s="17">
        <f t="shared" si="28"/>
        <v>108</v>
      </c>
      <c r="Q45" s="17">
        <f>SUM(O132:P137)</f>
        <v>108</v>
      </c>
    </row>
    <row r="46" spans="1:17" x14ac:dyDescent="0.15">
      <c r="A46" s="2" t="s">
        <v>5</v>
      </c>
      <c r="B46" s="17">
        <f>ROUND(VLOOKUP(B$39&amp;"_1",管理者用人口入力シート!A:X,D46,FALSE),0)</f>
        <v>12</v>
      </c>
      <c r="C46" s="17">
        <f>ROUND(VLOOKUP(B$39&amp;"_2",管理者用人口入力シート!A:X,D46,FALSE),0)</f>
        <v>9</v>
      </c>
      <c r="D46" s="2">
        <v>9</v>
      </c>
      <c r="G46" s="1" t="s">
        <v>109</v>
      </c>
      <c r="H46" s="1">
        <f t="shared" si="26"/>
        <v>2040</v>
      </c>
      <c r="I46" s="17">
        <f>SUM(H156:I161)</f>
        <v>95</v>
      </c>
      <c r="J46" s="12"/>
      <c r="K46" s="12"/>
      <c r="N46" s="1" t="s">
        <v>109</v>
      </c>
      <c r="O46" s="1">
        <f t="shared" si="27"/>
        <v>2040</v>
      </c>
      <c r="P46" s="17">
        <f t="shared" si="28"/>
        <v>95</v>
      </c>
      <c r="Q46" s="17">
        <f>SUM(O156:P161)</f>
        <v>95</v>
      </c>
    </row>
    <row r="47" spans="1:17" x14ac:dyDescent="0.15">
      <c r="A47" s="2" t="s">
        <v>6</v>
      </c>
      <c r="B47" s="17">
        <f>ROUND(VLOOKUP(B$39&amp;"_1",管理者用人口入力シート!A:X,D47,FALSE),0)</f>
        <v>8</v>
      </c>
      <c r="C47" s="17">
        <f>ROUND(VLOOKUP(B$39&amp;"_2",管理者用人口入力シート!A:X,D47,FALSE),0)</f>
        <v>12</v>
      </c>
      <c r="D47" s="2">
        <v>10</v>
      </c>
    </row>
    <row r="48" spans="1:17" x14ac:dyDescent="0.15">
      <c r="A48" s="2" t="s">
        <v>7</v>
      </c>
      <c r="B48" s="17">
        <f>ROUND(VLOOKUP(B$39&amp;"_1",管理者用人口入力シート!A:X,D48,FALSE),0)</f>
        <v>15</v>
      </c>
      <c r="C48" s="17">
        <f>ROUND(VLOOKUP(B$39&amp;"_2",管理者用人口入力シート!A:X,D48,FALSE),0)</f>
        <v>17</v>
      </c>
      <c r="D48" s="2">
        <v>11</v>
      </c>
      <c r="G48" s="69" t="s">
        <v>85</v>
      </c>
      <c r="N48" s="69" t="s">
        <v>85</v>
      </c>
    </row>
    <row r="49" spans="1:17" x14ac:dyDescent="0.15">
      <c r="A49" s="2" t="s">
        <v>8</v>
      </c>
      <c r="B49" s="17">
        <f>ROUND(VLOOKUP(B$39&amp;"_1",管理者用人口入力シート!A:X,D49,FALSE),0)</f>
        <v>12</v>
      </c>
      <c r="C49" s="17">
        <f>ROUND(VLOOKUP(B$39&amp;"_2",管理者用人口入力シート!A:X,D49,FALSE),0)</f>
        <v>17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16</v>
      </c>
      <c r="C50" s="17">
        <f>ROUND(VLOOKUP(B$39&amp;"_2",管理者用人口入力シート!A:X,D50,FALSE),0)</f>
        <v>16</v>
      </c>
      <c r="D50" s="2">
        <v>13</v>
      </c>
      <c r="G50" s="1" t="s">
        <v>58</v>
      </c>
      <c r="H50" s="1">
        <f>H4</f>
        <v>2010</v>
      </c>
      <c r="I50" s="38">
        <f>C30</f>
        <v>0.37</v>
      </c>
      <c r="J50" s="204"/>
      <c r="K50" s="204"/>
      <c r="N50" s="1" t="s">
        <v>58</v>
      </c>
      <c r="O50" s="1">
        <f>O4</f>
        <v>2010</v>
      </c>
      <c r="P50" s="38">
        <f t="shared" ref="P50:P56" si="29">I50</f>
        <v>0.37</v>
      </c>
      <c r="Q50" s="1"/>
    </row>
    <row r="51" spans="1:17" x14ac:dyDescent="0.15">
      <c r="A51" s="2" t="s">
        <v>10</v>
      </c>
      <c r="B51" s="17">
        <f>ROUND(VLOOKUP(B$39&amp;"_1",管理者用人口入力シート!A:X,D51,FALSE),0)</f>
        <v>25</v>
      </c>
      <c r="C51" s="17">
        <f>ROUND(VLOOKUP(B$39&amp;"_2",管理者用人口入力シート!A:X,D51,FALSE),0)</f>
        <v>19</v>
      </c>
      <c r="D51" s="2">
        <v>14</v>
      </c>
      <c r="G51" s="1" t="s">
        <v>57</v>
      </c>
      <c r="H51" s="1">
        <f t="shared" ref="H51:H56" si="30">H5</f>
        <v>2015</v>
      </c>
      <c r="I51" s="38">
        <f t="shared" ref="I51:I52" si="31">C31</f>
        <v>0.42</v>
      </c>
      <c r="J51" s="204"/>
      <c r="K51" s="204"/>
      <c r="N51" s="1" t="s">
        <v>57</v>
      </c>
      <c r="O51" s="1">
        <f t="shared" ref="O51:O56" si="32">O5</f>
        <v>2015</v>
      </c>
      <c r="P51" s="38">
        <f t="shared" si="29"/>
        <v>0.42</v>
      </c>
      <c r="Q51" s="1"/>
    </row>
    <row r="52" spans="1:17" x14ac:dyDescent="0.15">
      <c r="A52" s="2" t="s">
        <v>11</v>
      </c>
      <c r="B52" s="17">
        <f>ROUND(VLOOKUP(B$39&amp;"_1",管理者用人口入力シート!A:X,D52,FALSE),0)</f>
        <v>28</v>
      </c>
      <c r="C52" s="17">
        <f>ROUND(VLOOKUP(B$39&amp;"_2",管理者用人口入力シート!A:X,D52,FALSE),0)</f>
        <v>30</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33</v>
      </c>
      <c r="C53" s="17">
        <f>ROUND(VLOOKUP(B$39&amp;"_2",管理者用人口入力シート!A:X,D53,FALSE),0)</f>
        <v>28</v>
      </c>
      <c r="D53" s="2">
        <v>16</v>
      </c>
      <c r="G53" s="1" t="s">
        <v>106</v>
      </c>
      <c r="H53" s="1">
        <f t="shared" si="30"/>
        <v>2025</v>
      </c>
      <c r="I53" s="38">
        <f>ROUND((SUM(H82:I89)/SUM(H69:I89)),2)</f>
        <v>0.46</v>
      </c>
      <c r="J53" s="204"/>
      <c r="K53" s="204"/>
      <c r="L53" s="70"/>
      <c r="M53" s="70"/>
      <c r="N53" s="1" t="s">
        <v>106</v>
      </c>
      <c r="O53" s="1">
        <f t="shared" si="32"/>
        <v>2025</v>
      </c>
      <c r="P53" s="38">
        <f t="shared" si="29"/>
        <v>0.46</v>
      </c>
      <c r="Q53" s="38">
        <f>ROUND((SUM(O82:P89)/SUM(O69:P89)),2)</f>
        <v>0.46</v>
      </c>
    </row>
    <row r="54" spans="1:17" x14ac:dyDescent="0.15">
      <c r="A54" s="2" t="s">
        <v>13</v>
      </c>
      <c r="B54" s="17">
        <f>ROUND(VLOOKUP(B$39&amp;"_1",管理者用人口入力シート!A:X,D54,FALSE),0)</f>
        <v>19</v>
      </c>
      <c r="C54" s="17">
        <f>ROUND(VLOOKUP(B$39&amp;"_2",管理者用人口入力シート!A:X,D54,FALSE),0)</f>
        <v>19</v>
      </c>
      <c r="D54" s="2">
        <v>17</v>
      </c>
      <c r="G54" s="1" t="s">
        <v>107</v>
      </c>
      <c r="H54" s="1">
        <f t="shared" si="30"/>
        <v>2030</v>
      </c>
      <c r="I54" s="38">
        <f>ROUND((SUM(H106:I113)/SUM(H93:I113)),2)</f>
        <v>0.49</v>
      </c>
      <c r="J54" s="204"/>
      <c r="K54" s="204"/>
      <c r="N54" s="1" t="s">
        <v>107</v>
      </c>
      <c r="O54" s="1">
        <f t="shared" si="32"/>
        <v>2030</v>
      </c>
      <c r="P54" s="38">
        <f t="shared" si="29"/>
        <v>0.49</v>
      </c>
      <c r="Q54" s="38">
        <f>ROUND((SUM(O106:P113)/SUM(O93:P113)),2)</f>
        <v>0.46</v>
      </c>
    </row>
    <row r="55" spans="1:17" x14ac:dyDescent="0.15">
      <c r="A55" s="2" t="s">
        <v>14</v>
      </c>
      <c r="B55" s="17">
        <f>ROUND(VLOOKUP(B$39&amp;"_1",管理者用人口入力シート!A:X,D55,FALSE),0)</f>
        <v>23</v>
      </c>
      <c r="C55" s="17">
        <f>ROUND(VLOOKUP(B$39&amp;"_2",管理者用人口入力シート!A:X,D55,FALSE),0)</f>
        <v>29</v>
      </c>
      <c r="D55" s="2">
        <v>18</v>
      </c>
      <c r="G55" s="1" t="s">
        <v>108</v>
      </c>
      <c r="H55" s="1">
        <f t="shared" si="30"/>
        <v>2035</v>
      </c>
      <c r="I55" s="38">
        <f>ROUND((SUM(H130:I137)/SUM(H117:I137)),2)</f>
        <v>0.5</v>
      </c>
      <c r="J55" s="204"/>
      <c r="K55" s="204"/>
      <c r="N55" s="1" t="s">
        <v>108</v>
      </c>
      <c r="O55" s="1">
        <f t="shared" si="32"/>
        <v>2035</v>
      </c>
      <c r="P55" s="38">
        <f t="shared" si="29"/>
        <v>0.5</v>
      </c>
      <c r="Q55" s="38">
        <f>ROUND((SUM(O130:P137)/SUM(O117:P137)),2)</f>
        <v>0.46</v>
      </c>
    </row>
    <row r="56" spans="1:17" x14ac:dyDescent="0.15">
      <c r="A56" s="2" t="s">
        <v>15</v>
      </c>
      <c r="B56" s="17">
        <f>ROUND(VLOOKUP(B$39&amp;"_1",管理者用人口入力シート!A:X,D56,FALSE),0)</f>
        <v>25</v>
      </c>
      <c r="C56" s="17">
        <f>ROUND(VLOOKUP(B$39&amp;"_2",管理者用人口入力シート!A:X,D56,FALSE),0)</f>
        <v>29</v>
      </c>
      <c r="D56" s="2">
        <v>19</v>
      </c>
      <c r="G56" s="1" t="s">
        <v>109</v>
      </c>
      <c r="H56" s="1">
        <f t="shared" si="30"/>
        <v>2040</v>
      </c>
      <c r="I56" s="38">
        <f>ROUND((SUM(H154:I161)/SUM(H141:I161)),2)</f>
        <v>0.52</v>
      </c>
      <c r="J56" s="204"/>
      <c r="K56" s="204"/>
      <c r="N56" s="1" t="s">
        <v>109</v>
      </c>
      <c r="O56" s="1">
        <f t="shared" si="32"/>
        <v>2040</v>
      </c>
      <c r="P56" s="38">
        <f t="shared" si="29"/>
        <v>0.52</v>
      </c>
      <c r="Q56" s="38">
        <f>ROUND((SUM(O154:P161)/SUM(O141:P161)),2)</f>
        <v>0.46</v>
      </c>
    </row>
    <row r="57" spans="1:17" x14ac:dyDescent="0.15">
      <c r="A57" s="2" t="s">
        <v>16</v>
      </c>
      <c r="B57" s="17">
        <f>ROUND(VLOOKUP(B$39&amp;"_1",管理者用人口入力シート!A:X,D57,FALSE),0)</f>
        <v>19</v>
      </c>
      <c r="C57" s="17">
        <f>ROUND(VLOOKUP(B$39&amp;"_2",管理者用人口入力シート!A:X,D57,FALSE),0)</f>
        <v>31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23</v>
      </c>
      <c r="D58" s="2">
        <v>21</v>
      </c>
      <c r="G58" s="1" t="s">
        <v>58</v>
      </c>
      <c r="H58" s="1">
        <f>H4</f>
        <v>2010</v>
      </c>
      <c r="I58" s="38">
        <f>C34</f>
        <v>0.23</v>
      </c>
      <c r="J58" s="204"/>
      <c r="K58" s="204"/>
      <c r="N58" s="1" t="s">
        <v>58</v>
      </c>
      <c r="O58" s="1">
        <f>O4</f>
        <v>2010</v>
      </c>
      <c r="P58" s="38">
        <f t="shared" ref="P58:P64" si="33">I58</f>
        <v>0.23</v>
      </c>
      <c r="Q58" s="1"/>
    </row>
    <row r="59" spans="1:17" x14ac:dyDescent="0.15">
      <c r="A59" s="2" t="s">
        <v>18</v>
      </c>
      <c r="B59" s="17">
        <f>ROUND(VLOOKUP(B$39&amp;"_1",管理者用人口入力シート!A:X,D59,FALSE),0)</f>
        <v>3</v>
      </c>
      <c r="C59" s="17">
        <f>ROUND(VLOOKUP(B$39&amp;"_2",管理者用人口入力シート!A:X,D59,FALSE),0)</f>
        <v>8</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0</v>
      </c>
      <c r="C60" s="17">
        <f>ROUND(VLOOKUP(B$39&amp;"_2",管理者用人口入力シート!A:X,D60,FALSE),0)</f>
        <v>3</v>
      </c>
      <c r="D60" s="2">
        <v>23</v>
      </c>
      <c r="G60" s="1" t="s">
        <v>62</v>
      </c>
      <c r="H60" s="1">
        <f t="shared" si="34"/>
        <v>2020</v>
      </c>
      <c r="I60" s="38">
        <f t="shared" si="35"/>
        <v>0.2</v>
      </c>
      <c r="J60" s="204"/>
      <c r="K60" s="204"/>
      <c r="N60" s="1" t="s">
        <v>62</v>
      </c>
      <c r="O60" s="1">
        <f t="shared" si="36"/>
        <v>2020</v>
      </c>
      <c r="P60" s="38">
        <f t="shared" si="33"/>
        <v>0.2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0.22</v>
      </c>
      <c r="J61" s="204"/>
      <c r="K61" s="204"/>
      <c r="N61" s="1" t="s">
        <v>106</v>
      </c>
      <c r="O61" s="1">
        <f t="shared" si="36"/>
        <v>2025</v>
      </c>
      <c r="P61" s="38">
        <f t="shared" si="33"/>
        <v>0.22</v>
      </c>
      <c r="Q61" s="38">
        <f>ROUND((SUM(O84:P89)/SUM(O69:P89)),2)</f>
        <v>0.22</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0.26</v>
      </c>
    </row>
    <row r="63" spans="1:17" x14ac:dyDescent="0.15">
      <c r="A63" s="2" t="s">
        <v>384</v>
      </c>
      <c r="B63" s="316">
        <f>管理者入力シート!B6</f>
        <v>2015</v>
      </c>
      <c r="C63" s="317"/>
      <c r="D63" s="2" t="s">
        <v>114</v>
      </c>
      <c r="G63" s="1" t="s">
        <v>108</v>
      </c>
      <c r="H63" s="1">
        <f t="shared" si="34"/>
        <v>2035</v>
      </c>
      <c r="I63" s="38">
        <f>ROUND((SUM(H132:I137)/SUM(H117:I137)),2)</f>
        <v>0.31</v>
      </c>
      <c r="J63" s="204"/>
      <c r="K63" s="204"/>
      <c r="N63" s="1" t="s">
        <v>108</v>
      </c>
      <c r="O63" s="1">
        <f t="shared" si="36"/>
        <v>2035</v>
      </c>
      <c r="P63" s="38">
        <f t="shared" si="33"/>
        <v>0.31</v>
      </c>
      <c r="Q63" s="38">
        <f>ROUND((SUM(O132:P137)/SUM(O117:P137)),2)</f>
        <v>0.28999999999999998</v>
      </c>
    </row>
    <row r="64" spans="1:17" x14ac:dyDescent="0.15">
      <c r="A64" s="2" t="s">
        <v>115</v>
      </c>
      <c r="B64" s="18" t="s">
        <v>21</v>
      </c>
      <c r="C64" s="18" t="s">
        <v>22</v>
      </c>
      <c r="G64" s="1" t="s">
        <v>109</v>
      </c>
      <c r="H64" s="1">
        <f t="shared" si="34"/>
        <v>2040</v>
      </c>
      <c r="I64" s="38">
        <f>ROUND((SUM(H156:I161)/SUM(H141:I161)),2)</f>
        <v>0.32</v>
      </c>
      <c r="J64" s="204"/>
      <c r="K64" s="204"/>
      <c r="N64" s="1" t="s">
        <v>109</v>
      </c>
      <c r="O64" s="1">
        <f t="shared" si="36"/>
        <v>2040</v>
      </c>
      <c r="P64" s="38">
        <f t="shared" si="33"/>
        <v>0.32</v>
      </c>
      <c r="Q64" s="38">
        <f>ROUND((SUM(O156:P161)/SUM(O141:P161)),2)</f>
        <v>0.28000000000000003</v>
      </c>
    </row>
    <row r="65" spans="1:21" x14ac:dyDescent="0.15">
      <c r="A65" s="2" t="s">
        <v>0</v>
      </c>
      <c r="B65" s="17">
        <f>ROUND(VLOOKUP(B$63&amp;"_1",管理者用人口入力シート!A:X,D65,FALSE),0)</f>
        <v>12</v>
      </c>
      <c r="C65" s="17">
        <f>ROUND(VLOOKUP(B$63&amp;"_2",管理者用人口入力シート!A:X,D65,FALSE),0)</f>
        <v>7</v>
      </c>
      <c r="D65" s="2">
        <v>4</v>
      </c>
    </row>
    <row r="66" spans="1:21" x14ac:dyDescent="0.15">
      <c r="A66" s="2" t="s">
        <v>1</v>
      </c>
      <c r="B66" s="17">
        <f>ROUND(VLOOKUP(B$63&amp;"_1",管理者用人口入力シート!A:X,D66,FALSE),0)</f>
        <v>10</v>
      </c>
      <c r="C66" s="17">
        <f>ROUND(VLOOKUP(B$63&amp;"_2",管理者用人口入力シート!A:X,D66,FALSE),0)</f>
        <v>10</v>
      </c>
      <c r="D66" s="2">
        <v>5</v>
      </c>
      <c r="G66" s="69" t="s">
        <v>113</v>
      </c>
      <c r="N66" s="69" t="s">
        <v>113</v>
      </c>
    </row>
    <row r="67" spans="1:21" x14ac:dyDescent="0.15">
      <c r="A67" s="2" t="s">
        <v>2</v>
      </c>
      <c r="B67" s="17">
        <f>ROUND(VLOOKUP(B$63&amp;"_1",管理者用人口入力シート!A:X,D67,FALSE),0)</f>
        <v>14</v>
      </c>
      <c r="C67" s="17">
        <f>ROUND(VLOOKUP(B$63&amp;"_2",管理者用人口入力シート!A:X,D67,FALSE),0)</f>
        <v>5</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6</v>
      </c>
      <c r="C68" s="17">
        <f>ROUND(VLOOKUP(B$63&amp;"_2",管理者用人口入力シート!A:X,D68,FALSE),0)</f>
        <v>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10</v>
      </c>
      <c r="C69" s="17">
        <f>ROUND(VLOOKUP(B$63&amp;"_2",管理者用人口入力シート!A:X,D69,FALSE),0)</f>
        <v>4</v>
      </c>
      <c r="D69" s="2">
        <v>8</v>
      </c>
      <c r="G69" s="2" t="s">
        <v>0</v>
      </c>
      <c r="H69" s="17">
        <f>ROUND(VLOOKUP(H$67&amp;"_1",管理者用人口入力シート!BH:CE,J69,FALSE),0)</f>
        <v>5</v>
      </c>
      <c r="I69" s="17">
        <f>ROUND(VLOOKUP(H$67&amp;"_2",管理者用人口入力シート!BH:CE,J69,FALSE),0)</f>
        <v>6</v>
      </c>
      <c r="J69" s="2">
        <v>4</v>
      </c>
      <c r="K69" s="12"/>
      <c r="N69" s="2" t="s">
        <v>0</v>
      </c>
      <c r="O69" s="17">
        <f>ROUND(VLOOKUP(O$67&amp;"_1",管理者用人口入力シート!CO:DL,Q69,FALSE),0)</f>
        <v>6</v>
      </c>
      <c r="P69" s="17">
        <f>ROUND(VLOOKUP(O$67&amp;"_2",管理者用人口入力シート!CO:DL,Q69,FALSE),0)</f>
        <v>7</v>
      </c>
      <c r="Q69" s="2">
        <v>4</v>
      </c>
      <c r="U69" s="85"/>
    </row>
    <row r="70" spans="1:21" x14ac:dyDescent="0.15">
      <c r="A70" s="2" t="s">
        <v>5</v>
      </c>
      <c r="B70" s="17">
        <f>ROUND(VLOOKUP(B$63&amp;"_1",管理者用人口入力シート!A:X,D70,FALSE),0)</f>
        <v>5</v>
      </c>
      <c r="C70" s="17">
        <f>ROUND(VLOOKUP(B$63&amp;"_2",管理者用人口入力シート!A:X,D70,FALSE),0)</f>
        <v>9</v>
      </c>
      <c r="D70" s="2">
        <v>9</v>
      </c>
      <c r="G70" s="2" t="s">
        <v>1</v>
      </c>
      <c r="H70" s="17">
        <f>ROUND(VLOOKUP(H$67&amp;"_1",管理者用人口入力シート!BH:CE,J70,FALSE),0)</f>
        <v>6</v>
      </c>
      <c r="I70" s="17">
        <f>ROUND(VLOOKUP(H$67&amp;"_2",管理者用人口入力シート!BH:CE,J70,FALSE),0)</f>
        <v>8</v>
      </c>
      <c r="J70" s="2">
        <v>5</v>
      </c>
      <c r="K70" s="12"/>
      <c r="N70" s="2" t="s">
        <v>1</v>
      </c>
      <c r="O70" s="17">
        <f>ROUND(VLOOKUP(O$67&amp;"_1",管理者用人口入力シート!CO:DL,Q70,FALSE),0)</f>
        <v>6</v>
      </c>
      <c r="P70" s="17">
        <f>ROUND(VLOOKUP(O$67&amp;"_2",管理者用人口入力シート!CO:DL,Q70,FALSE),0)</f>
        <v>8</v>
      </c>
      <c r="Q70" s="2">
        <v>5</v>
      </c>
      <c r="U70" s="85"/>
    </row>
    <row r="71" spans="1:21" x14ac:dyDescent="0.15">
      <c r="A71" s="2" t="s">
        <v>6</v>
      </c>
      <c r="B71" s="17">
        <f>ROUND(VLOOKUP(B$63&amp;"_1",管理者用人口入力シート!A:X,D71,FALSE),0)</f>
        <v>11</v>
      </c>
      <c r="C71" s="17">
        <f>ROUND(VLOOKUP(B$63&amp;"_2",管理者用人口入力シート!A:X,D71,FALSE),0)</f>
        <v>7</v>
      </c>
      <c r="D71" s="2">
        <v>10</v>
      </c>
      <c r="G71" s="2" t="s">
        <v>2</v>
      </c>
      <c r="H71" s="17">
        <f>ROUND(VLOOKUP(H$67&amp;"_1",管理者用人口入力シート!BH:CE,J71,FALSE),0)</f>
        <v>13</v>
      </c>
      <c r="I71" s="17">
        <f>ROUND(VLOOKUP(H$67&amp;"_2",管理者用人口入力シート!BH:CE,J71,FALSE),0)</f>
        <v>4</v>
      </c>
      <c r="J71" s="2">
        <v>6</v>
      </c>
      <c r="K71" s="12"/>
      <c r="N71" s="2" t="s">
        <v>2</v>
      </c>
      <c r="O71" s="17">
        <f>ROUND(VLOOKUP(O$67&amp;"_1",管理者用人口入力シート!CO:DL,Q71,FALSE),0)</f>
        <v>14</v>
      </c>
      <c r="P71" s="17">
        <f>ROUND(VLOOKUP(O$67&amp;"_2",管理者用人口入力シート!CO:DL,Q71,FALSE),0)</f>
        <v>5</v>
      </c>
      <c r="Q71" s="2">
        <v>6</v>
      </c>
      <c r="U71" s="85"/>
    </row>
    <row r="72" spans="1:21" x14ac:dyDescent="0.15">
      <c r="A72" s="2" t="s">
        <v>7</v>
      </c>
      <c r="B72" s="17">
        <f>ROUND(VLOOKUP(B$63&amp;"_1",管理者用人口入力シート!A:X,D72,FALSE),0)</f>
        <v>6</v>
      </c>
      <c r="C72" s="17">
        <f>ROUND(VLOOKUP(B$63&amp;"_2",管理者用人口入力シート!A:X,D72,FALSE),0)</f>
        <v>12</v>
      </c>
      <c r="D72" s="2">
        <v>11</v>
      </c>
      <c r="G72" s="2" t="s">
        <v>3</v>
      </c>
      <c r="H72" s="17">
        <f>ROUND(VLOOKUP(H$67&amp;"_1",管理者用人口入力シート!BH:CE,J72,FALSE),0)</f>
        <v>7</v>
      </c>
      <c r="I72" s="17">
        <f>ROUND(VLOOKUP(H$67&amp;"_2",管理者用人口入力シート!BH:CE,J72,FALSE),0)</f>
        <v>8</v>
      </c>
      <c r="J72" s="2">
        <v>7</v>
      </c>
      <c r="K72" s="12"/>
      <c r="N72" s="2" t="s">
        <v>3</v>
      </c>
      <c r="O72" s="17">
        <f>ROUND(VLOOKUP(O$67&amp;"_1",管理者用人口入力シート!CO:DL,Q72,FALSE),0)</f>
        <v>7</v>
      </c>
      <c r="P72" s="17">
        <f>ROUND(VLOOKUP(O$67&amp;"_2",管理者用人口入力シート!CO:DL,Q72,FALSE),0)</f>
        <v>8</v>
      </c>
      <c r="Q72" s="2">
        <v>7</v>
      </c>
      <c r="U72" s="85"/>
    </row>
    <row r="73" spans="1:21" x14ac:dyDescent="0.15">
      <c r="A73" s="2" t="s">
        <v>8</v>
      </c>
      <c r="B73" s="17">
        <f>ROUND(VLOOKUP(B$63&amp;"_1",管理者用人口入力シート!A:X,D73,FALSE),0)</f>
        <v>12</v>
      </c>
      <c r="C73" s="17">
        <f>ROUND(VLOOKUP(B$63&amp;"_2",管理者用人口入力シート!A:X,D73,FALSE),0)</f>
        <v>13</v>
      </c>
      <c r="D73" s="2">
        <v>12</v>
      </c>
      <c r="G73" s="2" t="s">
        <v>4</v>
      </c>
      <c r="H73" s="17">
        <f>ROUND(VLOOKUP(H$67&amp;"_1",管理者用人口入力シート!BH:CE,J73,FALSE),0)</f>
        <v>8</v>
      </c>
      <c r="I73" s="17">
        <f>ROUND(VLOOKUP(H$67&amp;"_2",管理者用人口入力シート!BH:CE,J73,FALSE),0)</f>
        <v>1</v>
      </c>
      <c r="J73" s="2">
        <v>8</v>
      </c>
      <c r="K73" s="12"/>
      <c r="N73" s="2" t="s">
        <v>4</v>
      </c>
      <c r="O73" s="17">
        <f>ROUND(VLOOKUP(O$67&amp;"_1",管理者用人口入力シート!CO:DL,Q73,FALSE),0)</f>
        <v>8</v>
      </c>
      <c r="P73" s="17">
        <f>ROUND(VLOOKUP(O$67&amp;"_2",管理者用人口入力シート!CO:DL,Q73,FALSE),0)</f>
        <v>1</v>
      </c>
      <c r="Q73" s="2">
        <v>8</v>
      </c>
      <c r="U73" s="85"/>
    </row>
    <row r="74" spans="1:21" x14ac:dyDescent="0.15">
      <c r="A74" s="2" t="s">
        <v>9</v>
      </c>
      <c r="B74" s="17">
        <f>ROUND(VLOOKUP(B$63&amp;"_1",管理者用人口入力シート!A:X,D74,FALSE),0)</f>
        <v>13</v>
      </c>
      <c r="C74" s="17">
        <f>ROUND(VLOOKUP(B$63&amp;"_2",管理者用人口入力シート!A:X,D74,FALSE),0)</f>
        <v>14</v>
      </c>
      <c r="D74" s="2">
        <v>13</v>
      </c>
      <c r="G74" s="2" t="s">
        <v>5</v>
      </c>
      <c r="H74" s="17">
        <f>ROUND(VLOOKUP(H$67&amp;"_1",管理者用人口入力シート!BH:CE,J74,FALSE),0)</f>
        <v>11</v>
      </c>
      <c r="I74" s="17">
        <f>ROUND(VLOOKUP(H$67&amp;"_2",管理者用人口入力シート!BH:CE,J74,FALSE),0)</f>
        <v>2</v>
      </c>
      <c r="J74" s="2">
        <v>9</v>
      </c>
      <c r="K74" s="12"/>
      <c r="N74" s="2" t="s">
        <v>5</v>
      </c>
      <c r="O74" s="17">
        <f>ROUND(VLOOKUP(O$67&amp;"_1",管理者用人口入力シート!CO:DL,Q74,FALSE),0)</f>
        <v>13</v>
      </c>
      <c r="P74" s="17">
        <f>ROUND(VLOOKUP(O$67&amp;"_2",管理者用人口入力シート!CO:DL,Q74,FALSE),0)</f>
        <v>4</v>
      </c>
      <c r="Q74" s="2">
        <v>9</v>
      </c>
      <c r="U74" s="85"/>
    </row>
    <row r="75" spans="1:21" x14ac:dyDescent="0.15">
      <c r="A75" s="2" t="s">
        <v>10</v>
      </c>
      <c r="B75" s="17">
        <f>ROUND(VLOOKUP(B$63&amp;"_1",管理者用人口入力シート!A:X,D75,FALSE),0)</f>
        <v>16</v>
      </c>
      <c r="C75" s="17">
        <f>ROUND(VLOOKUP(B$63&amp;"_2",管理者用人口入力シート!A:X,D75,FALSE),0)</f>
        <v>18</v>
      </c>
      <c r="D75" s="2">
        <v>14</v>
      </c>
      <c r="G75" s="2" t="s">
        <v>6</v>
      </c>
      <c r="H75" s="17">
        <f>ROUND(VLOOKUP(H$67&amp;"_1",管理者用人口入力シート!BH:CE,J75,FALSE),0)</f>
        <v>15</v>
      </c>
      <c r="I75" s="17">
        <f>ROUND(VLOOKUP(H$67&amp;"_2",管理者用人口入力シート!BH:CE,J75,FALSE),0)</f>
        <v>8</v>
      </c>
      <c r="J75" s="2">
        <v>10</v>
      </c>
      <c r="K75" s="12"/>
      <c r="N75" s="2" t="s">
        <v>6</v>
      </c>
      <c r="O75" s="17">
        <f>ROUND(VLOOKUP(O$67&amp;"_1",管理者用人口入力シート!CO:DL,Q75,FALSE),0)</f>
        <v>15</v>
      </c>
      <c r="P75" s="17">
        <f>ROUND(VLOOKUP(O$67&amp;"_2",管理者用人口入力シート!CO:DL,Q75,FALSE),0)</f>
        <v>8</v>
      </c>
      <c r="Q75" s="2">
        <v>10</v>
      </c>
      <c r="U75" s="85"/>
    </row>
    <row r="76" spans="1:21" x14ac:dyDescent="0.15">
      <c r="A76" s="2" t="s">
        <v>11</v>
      </c>
      <c r="B76" s="17">
        <f>ROUND(VLOOKUP(B$63&amp;"_1",管理者用人口入力シート!A:X,D76,FALSE),0)</f>
        <v>28</v>
      </c>
      <c r="C76" s="17">
        <f>ROUND(VLOOKUP(B$63&amp;"_2",管理者用人口入力シート!A:X,D76,FALSE),0)</f>
        <v>20</v>
      </c>
      <c r="D76" s="2">
        <v>15</v>
      </c>
      <c r="G76" s="2" t="s">
        <v>7</v>
      </c>
      <c r="H76" s="17">
        <f>ROUND(VLOOKUP(H$67&amp;"_1",管理者用人口入力シート!BH:CE,J76,FALSE),0)</f>
        <v>4</v>
      </c>
      <c r="I76" s="17">
        <f>ROUND(VLOOKUP(H$67&amp;"_2",管理者用人口入力シート!BH:CE,J76,FALSE),0)</f>
        <v>11</v>
      </c>
      <c r="J76" s="2">
        <v>11</v>
      </c>
      <c r="K76" s="12"/>
      <c r="N76" s="2" t="s">
        <v>7</v>
      </c>
      <c r="O76" s="17">
        <f>ROUND(VLOOKUP(O$67&amp;"_1",管理者用人口入力シート!CO:DL,Q76,FALSE),0)</f>
        <v>4</v>
      </c>
      <c r="P76" s="17">
        <f>ROUND(VLOOKUP(O$67&amp;"_2",管理者用人口入力シート!CO:DL,Q76,FALSE),0)</f>
        <v>11</v>
      </c>
      <c r="Q76" s="2">
        <v>11</v>
      </c>
      <c r="U76" s="85"/>
    </row>
    <row r="77" spans="1:21" x14ac:dyDescent="0.15">
      <c r="A77" s="2" t="s">
        <v>12</v>
      </c>
      <c r="B77" s="17">
        <f>ROUND(VLOOKUP(B$63&amp;"_1",管理者用人口入力シート!A:X,D77,FALSE),0)</f>
        <v>31</v>
      </c>
      <c r="C77" s="17">
        <f>ROUND(VLOOKUP(B$63&amp;"_2",管理者用人口入力シート!A:X,D77,FALSE),0)</f>
        <v>32</v>
      </c>
      <c r="D77" s="2">
        <v>16</v>
      </c>
      <c r="G77" s="2" t="s">
        <v>8</v>
      </c>
      <c r="H77" s="17">
        <f>ROUND(VLOOKUP(H$67&amp;"_1",管理者用人口入力シート!BH:CE,J77,FALSE),0)</f>
        <v>8</v>
      </c>
      <c r="I77" s="17">
        <f>ROUND(VLOOKUP(H$67&amp;"_2",管理者用人口入力シート!BH:CE,J77,FALSE),0)</f>
        <v>7</v>
      </c>
      <c r="J77" s="2">
        <v>12</v>
      </c>
      <c r="K77" s="12"/>
      <c r="N77" s="2" t="s">
        <v>8</v>
      </c>
      <c r="O77" s="17">
        <f>ROUND(VLOOKUP(O$67&amp;"_1",管理者用人口入力シート!CO:DL,Q77,FALSE),0)</f>
        <v>8</v>
      </c>
      <c r="P77" s="17">
        <f>ROUND(VLOOKUP(O$67&amp;"_2",管理者用人口入力シート!CO:DL,Q77,FALSE),0)</f>
        <v>8</v>
      </c>
      <c r="Q77" s="2">
        <v>12</v>
      </c>
      <c r="U77" s="85"/>
    </row>
    <row r="78" spans="1:21" x14ac:dyDescent="0.15">
      <c r="A78" s="2" t="s">
        <v>13</v>
      </c>
      <c r="B78" s="17">
        <f>ROUND(VLOOKUP(B$63&amp;"_1",管理者用人口入力シート!A:X,D78,FALSE),0)</f>
        <v>32</v>
      </c>
      <c r="C78" s="17">
        <f>ROUND(VLOOKUP(B$63&amp;"_2",管理者用人口入力シート!A:X,D78,FALSE),0)</f>
        <v>26</v>
      </c>
      <c r="D78" s="2">
        <v>17</v>
      </c>
      <c r="G78" s="2" t="s">
        <v>9</v>
      </c>
      <c r="H78" s="17">
        <f>ROUND(VLOOKUP(H$67&amp;"_1",管理者用人口入力シート!BH:CE,J78,FALSE),0)</f>
        <v>13</v>
      </c>
      <c r="I78" s="17">
        <f>ROUND(VLOOKUP(H$67&amp;"_2",管理者用人口入力シート!BH:CE,J78,FALSE),0)</f>
        <v>10</v>
      </c>
      <c r="J78" s="2">
        <v>13</v>
      </c>
      <c r="K78" s="12"/>
      <c r="N78" s="2" t="s">
        <v>9</v>
      </c>
      <c r="O78" s="17">
        <f>ROUND(VLOOKUP(O$67&amp;"_1",管理者用人口入力シート!CO:DL,Q78,FALSE),0)</f>
        <v>13</v>
      </c>
      <c r="P78" s="17">
        <f>ROUND(VLOOKUP(O$67&amp;"_2",管理者用人口入力シート!CO:DL,Q78,FALSE),0)</f>
        <v>10</v>
      </c>
      <c r="Q78" s="2">
        <v>13</v>
      </c>
      <c r="U78" s="85"/>
    </row>
    <row r="79" spans="1:21" x14ac:dyDescent="0.15">
      <c r="A79" s="2" t="s">
        <v>14</v>
      </c>
      <c r="B79" s="17">
        <f>ROUND(VLOOKUP(B$63&amp;"_1",管理者用人口入力シート!A:X,D79,FALSE),0)</f>
        <v>19</v>
      </c>
      <c r="C79" s="17">
        <f>ROUND(VLOOKUP(B$63&amp;"_2",管理者用人口入力シート!A:X,D79,FALSE),0)</f>
        <v>19</v>
      </c>
      <c r="D79" s="2">
        <v>18</v>
      </c>
      <c r="G79" s="2" t="s">
        <v>10</v>
      </c>
      <c r="H79" s="17">
        <f>ROUND(VLOOKUP(H$67&amp;"_1",管理者用人口入力シート!BH:CE,J79,FALSE),0)</f>
        <v>14</v>
      </c>
      <c r="I79" s="17">
        <f>ROUND(VLOOKUP(H$67&amp;"_2",管理者用人口入力シート!BH:CE,J79,FALSE),0)</f>
        <v>13</v>
      </c>
      <c r="J79" s="2">
        <v>14</v>
      </c>
      <c r="K79" s="12"/>
      <c r="N79" s="2" t="s">
        <v>10</v>
      </c>
      <c r="O79" s="17">
        <f>ROUND(VLOOKUP(O$67&amp;"_1",管理者用人口入力シート!CO:DL,Q79,FALSE),0)</f>
        <v>14</v>
      </c>
      <c r="P79" s="17">
        <f>ROUND(VLOOKUP(O$67&amp;"_2",管理者用人口入力シート!CO:DL,Q79,FALSE),0)</f>
        <v>13</v>
      </c>
      <c r="Q79" s="2">
        <v>14</v>
      </c>
      <c r="U79" s="85"/>
    </row>
    <row r="80" spans="1:21" x14ac:dyDescent="0.15">
      <c r="A80" s="2" t="s">
        <v>15</v>
      </c>
      <c r="B80" s="17">
        <f>ROUND(VLOOKUP(B$63&amp;"_1",管理者用人口入力シート!A:X,D80,FALSE),0)</f>
        <v>18</v>
      </c>
      <c r="C80" s="17">
        <f>ROUND(VLOOKUP(B$63&amp;"_2",管理者用人口入力シート!A:X,D80,FALSE),0)</f>
        <v>26</v>
      </c>
      <c r="D80" s="2">
        <v>19</v>
      </c>
      <c r="G80" s="2" t="s">
        <v>11</v>
      </c>
      <c r="H80" s="17">
        <f>ROUND(VLOOKUP(H$67&amp;"_1",管理者用人口入力シート!BH:CE,J80,FALSE),0)</f>
        <v>12</v>
      </c>
      <c r="I80" s="17">
        <f>ROUND(VLOOKUP(H$67&amp;"_2",管理者用人口入力シート!BH:CE,J80,FALSE),0)</f>
        <v>17</v>
      </c>
      <c r="J80" s="2">
        <v>15</v>
      </c>
      <c r="K80" s="12"/>
      <c r="N80" s="2" t="s">
        <v>11</v>
      </c>
      <c r="O80" s="17">
        <f>ROUND(VLOOKUP(O$67&amp;"_1",管理者用人口入力シート!CO:DL,Q80,FALSE),0)</f>
        <v>12</v>
      </c>
      <c r="P80" s="17">
        <f>ROUND(VLOOKUP(O$67&amp;"_2",管理者用人口入力シート!CO:DL,Q80,FALSE),0)</f>
        <v>17</v>
      </c>
      <c r="Q80" s="2">
        <v>15</v>
      </c>
      <c r="U80" s="85"/>
    </row>
    <row r="81" spans="1:21" x14ac:dyDescent="0.15">
      <c r="A81" s="2" t="s">
        <v>16</v>
      </c>
      <c r="B81" s="17">
        <f>ROUND(VLOOKUP(B$63&amp;"_1",管理者用人口入力シート!A:X,D81,FALSE),0)</f>
        <v>23</v>
      </c>
      <c r="C81" s="17">
        <f>ROUND(VLOOKUP(B$63&amp;"_2",管理者用人口入力シート!A:X,D81,FALSE),0)</f>
        <v>26</v>
      </c>
      <c r="D81" s="2">
        <v>20</v>
      </c>
      <c r="G81" s="2" t="s">
        <v>12</v>
      </c>
      <c r="H81" s="17">
        <f>ROUND(VLOOKUP(H$67&amp;"_1",管理者用人口入力シート!BH:CE,J81,FALSE),0)</f>
        <v>17</v>
      </c>
      <c r="I81" s="17">
        <f>ROUND(VLOOKUP(H$67&amp;"_2",管理者用人口入力シート!BH:CE,J81,FALSE),0)</f>
        <v>19</v>
      </c>
      <c r="J81" s="2">
        <v>16</v>
      </c>
      <c r="K81" s="12"/>
      <c r="N81" s="2" t="s">
        <v>12</v>
      </c>
      <c r="O81" s="17">
        <f>ROUND(VLOOKUP(O$67&amp;"_1",管理者用人口入力シート!CO:DL,Q81,FALSE),0)</f>
        <v>17</v>
      </c>
      <c r="P81" s="17">
        <f>ROUND(VLOOKUP(O$67&amp;"_2",管理者用人口入力シート!CO:DL,Q81,FALSE),0)</f>
        <v>19</v>
      </c>
      <c r="Q81" s="2">
        <v>16</v>
      </c>
      <c r="U81" s="85"/>
    </row>
    <row r="82" spans="1:21" x14ac:dyDescent="0.15">
      <c r="A82" s="2" t="s">
        <v>17</v>
      </c>
      <c r="B82" s="17">
        <f>ROUND(VLOOKUP(B$63&amp;"_1",管理者用人口入力シート!A:X,D82,FALSE),0)</f>
        <v>12</v>
      </c>
      <c r="C82" s="17">
        <f>ROUND(VLOOKUP(B$63&amp;"_2",管理者用人口入力シート!A:X,D82,FALSE),0)</f>
        <v>20</v>
      </c>
      <c r="D82" s="2">
        <v>21</v>
      </c>
      <c r="G82" s="2" t="s">
        <v>13</v>
      </c>
      <c r="H82" s="17">
        <f>ROUND(VLOOKUP(H$67&amp;"_1",管理者用人口入力シート!BH:CE,J82,FALSE),0)</f>
        <v>29</v>
      </c>
      <c r="I82" s="17">
        <f>ROUND(VLOOKUP(H$67&amp;"_2",管理者用人口入力シート!BH:CE,J82,FALSE),0)</f>
        <v>22</v>
      </c>
      <c r="J82" s="2">
        <v>17</v>
      </c>
      <c r="K82" s="12"/>
      <c r="N82" s="2" t="s">
        <v>13</v>
      </c>
      <c r="O82" s="17">
        <f>ROUND(VLOOKUP(O$67&amp;"_1",管理者用人口入力シート!CO:DL,Q82,FALSE),0)</f>
        <v>29</v>
      </c>
      <c r="P82" s="17">
        <f>ROUND(VLOOKUP(O$67&amp;"_2",管理者用人口入力シート!CO:DL,Q82,FALSE),0)</f>
        <v>22</v>
      </c>
      <c r="Q82" s="2">
        <v>17</v>
      </c>
      <c r="U82" s="85"/>
    </row>
    <row r="83" spans="1:21" x14ac:dyDescent="0.15">
      <c r="A83" s="2" t="s">
        <v>18</v>
      </c>
      <c r="B83" s="17">
        <f>ROUND(VLOOKUP(B$63&amp;"_1",管理者用人口入力シート!A:X,D83,FALSE),0)</f>
        <v>4</v>
      </c>
      <c r="C83" s="17">
        <f>ROUND(VLOOKUP(B$63&amp;"_2",管理者用人口入力シート!A:X,D83,FALSE),0)</f>
        <v>10</v>
      </c>
      <c r="D83" s="2">
        <v>22</v>
      </c>
      <c r="G83" s="2" t="s">
        <v>14</v>
      </c>
      <c r="H83" s="17">
        <f>ROUND(VLOOKUP(H$67&amp;"_1",管理者用人口入力シート!BH:CE,J83,FALSE),0)</f>
        <v>30</v>
      </c>
      <c r="I83" s="17">
        <f>ROUND(VLOOKUP(H$67&amp;"_2",管理者用人口入力シート!BH:CE,J83,FALSE),0)</f>
        <v>30</v>
      </c>
      <c r="J83" s="2">
        <v>18</v>
      </c>
      <c r="K83" s="12"/>
      <c r="N83" s="2" t="s">
        <v>14</v>
      </c>
      <c r="O83" s="17">
        <f>ROUND(VLOOKUP(O$67&amp;"_1",管理者用人口入力シート!CO:DL,Q83,FALSE),0)</f>
        <v>30</v>
      </c>
      <c r="P83" s="17">
        <f>ROUND(VLOOKUP(O$67&amp;"_2",管理者用人口入力シート!CO:DL,Q83,FALSE),0)</f>
        <v>30</v>
      </c>
      <c r="Q83" s="2">
        <v>18</v>
      </c>
      <c r="U83" s="85"/>
    </row>
    <row r="84" spans="1:21" x14ac:dyDescent="0.15">
      <c r="A84" s="2" t="s">
        <v>19</v>
      </c>
      <c r="B84" s="17">
        <f>ROUND(VLOOKUP(B$63&amp;"_1",管理者用人口入力シート!A:X,D84,FALSE),0)</f>
        <v>1</v>
      </c>
      <c r="C84" s="17">
        <f>ROUND(VLOOKUP(B$63&amp;"_2",管理者用人口入力シート!A:X,D84,FALSE),0)</f>
        <v>2</v>
      </c>
      <c r="D84" s="2">
        <v>23</v>
      </c>
      <c r="G84" s="2" t="s">
        <v>15</v>
      </c>
      <c r="H84" s="17">
        <f>ROUND(VLOOKUP(H$67&amp;"_1",管理者用人口入力シート!BH:CE,J84,FALSE),0)</f>
        <v>25</v>
      </c>
      <c r="I84" s="17">
        <f>ROUND(VLOOKUP(H$67&amp;"_2",管理者用人口入力シート!BH:CE,J84,FALSE),0)</f>
        <v>22</v>
      </c>
      <c r="J84" s="2">
        <v>19</v>
      </c>
      <c r="K84" s="12"/>
      <c r="N84" s="2" t="s">
        <v>15</v>
      </c>
      <c r="O84" s="17">
        <f>ROUND(VLOOKUP(O$67&amp;"_1",管理者用人口入力シート!CO:DL,Q84,FALSE),0)</f>
        <v>25</v>
      </c>
      <c r="P84" s="17">
        <f>ROUND(VLOOKUP(O$67&amp;"_2",管理者用人口入力シート!CO:DL,Q84,FALSE),0)</f>
        <v>22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12</v>
      </c>
      <c r="I85" s="17">
        <f>ROUND(VLOOKUP(H$67&amp;"_2",管理者用人口入力シート!BH:CE,J85,FALSE),0)</f>
        <v>13</v>
      </c>
      <c r="J85" s="2">
        <v>20</v>
      </c>
      <c r="K85" s="12"/>
      <c r="N85" s="2" t="s">
        <v>16</v>
      </c>
      <c r="O85" s="17">
        <f>ROUND(VLOOKUP(O$67&amp;"_1",管理者用人口入力シート!CO:DL,Q85,FALSE),0)</f>
        <v>12</v>
      </c>
      <c r="P85" s="17">
        <f>ROUND(VLOOKUP(O$67&amp;"_2",管理者用人口入力シート!CO:DL,Q85,FALSE),0)</f>
        <v>13</v>
      </c>
      <c r="Q85" s="2">
        <v>20</v>
      </c>
      <c r="U85" s="85"/>
    </row>
    <row r="86" spans="1:21" x14ac:dyDescent="0.15">
      <c r="G86" s="2" t="s">
        <v>17</v>
      </c>
      <c r="H86" s="17">
        <f>ROUND(VLOOKUP(H$67&amp;"_1",管理者用人口入力シート!BH:CE,J86,FALSE),0)</f>
        <v>6</v>
      </c>
      <c r="I86" s="17">
        <f>ROUND(VLOOKUP(H$67&amp;"_2",管理者用人口入力シート!BH:CE,J86,FALSE),0)</f>
        <v>11</v>
      </c>
      <c r="J86" s="2">
        <v>21</v>
      </c>
      <c r="K86" s="12"/>
      <c r="N86" s="2" t="s">
        <v>17</v>
      </c>
      <c r="O86" s="17">
        <f>ROUND(VLOOKUP(O$67&amp;"_1",管理者用人口入力シート!CO:DL,Q86,FALSE),0)</f>
        <v>6</v>
      </c>
      <c r="P86" s="17">
        <f>ROUND(VLOOKUP(O$67&amp;"_2",管理者用人口入力シート!CO:DL,Q86,FALSE),0)</f>
        <v>11</v>
      </c>
      <c r="Q86" s="2">
        <v>21</v>
      </c>
      <c r="U86" s="85"/>
    </row>
    <row r="87" spans="1:21" x14ac:dyDescent="0.15">
      <c r="A87" s="2" t="s">
        <v>62</v>
      </c>
      <c r="B87" s="316">
        <f>管理者入力シート!B5</f>
        <v>2020</v>
      </c>
      <c r="C87" s="317"/>
      <c r="D87" s="2" t="s">
        <v>114</v>
      </c>
      <c r="G87" s="2" t="s">
        <v>18</v>
      </c>
      <c r="H87" s="17">
        <f>ROUND(VLOOKUP(H$67&amp;"_1",管理者用人口入力シート!BH:CE,J87,FALSE),0)</f>
        <v>5</v>
      </c>
      <c r="I87" s="17">
        <f>ROUND(VLOOKUP(H$67&amp;"_2",管理者用人口入力シート!BH:CE,J87,FALSE),0)</f>
        <v>7</v>
      </c>
      <c r="J87" s="2">
        <v>22</v>
      </c>
      <c r="K87" s="12"/>
      <c r="N87" s="2" t="s">
        <v>18</v>
      </c>
      <c r="O87" s="17">
        <f>ROUND(VLOOKUP(O$67&amp;"_1",管理者用人口入力シート!CO:DL,Q87,FALSE),0)</f>
        <v>5</v>
      </c>
      <c r="P87" s="17">
        <f>ROUND(VLOOKUP(O$67&amp;"_2",管理者用人口入力シート!CO:DL,Q87,FALSE),0)</f>
        <v>7</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2</v>
      </c>
      <c r="J88" s="2">
        <v>23</v>
      </c>
      <c r="K88" s="12"/>
      <c r="N88" s="2" t="s">
        <v>19</v>
      </c>
      <c r="O88" s="17">
        <f>ROUND(VLOOKUP(O$67&amp;"_1",管理者用人口入力シート!CO:DL,Q88,FALSE),0)</f>
        <v>0</v>
      </c>
      <c r="P88" s="17">
        <f>ROUND(VLOOKUP(O$67&amp;"_2",管理者用人口入力シート!CO:DL,Q88,FALSE),0)</f>
        <v>2</v>
      </c>
      <c r="Q88" s="2">
        <v>23</v>
      </c>
      <c r="U88" s="85"/>
    </row>
    <row r="89" spans="1:21" x14ac:dyDescent="0.15">
      <c r="A89" s="2" t="s">
        <v>0</v>
      </c>
      <c r="B89" s="17">
        <f>ROUND(VLOOKUP(B$87&amp;"_1",管理者用人口入力シート!A:X,D89,FALSE),0)</f>
        <v>6</v>
      </c>
      <c r="C89" s="17">
        <f>ROUND(VLOOKUP(B$87&amp;"_2",管理者用人口入力シート!A:X,D89,FALSE),0)</f>
        <v>8</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12</v>
      </c>
      <c r="C90" s="17">
        <f>ROUND(VLOOKUP(B$87&amp;"_2",管理者用人口入力シート!A:X,D90,FALSE),0)</f>
        <v>6</v>
      </c>
      <c r="D90" s="2">
        <v>5</v>
      </c>
    </row>
    <row r="91" spans="1:21" x14ac:dyDescent="0.15">
      <c r="A91" s="2" t="s">
        <v>2</v>
      </c>
      <c r="B91" s="17">
        <f>ROUND(VLOOKUP(B$87&amp;"_1",管理者用人口入力シート!A:X,D91,FALSE),0)</f>
        <v>10</v>
      </c>
      <c r="C91" s="17">
        <f>ROUND(VLOOKUP(B$87&amp;"_2",管理者用人口入力シート!A:X,D91,FALSE),0)</f>
        <v>11</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9</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10</v>
      </c>
      <c r="C93" s="17">
        <f>ROUND(VLOOKUP(B$87&amp;"_2",管理者用人口入力シート!A:X,D93,FALSE),0)</f>
        <v>1</v>
      </c>
      <c r="D93" s="2">
        <v>8</v>
      </c>
      <c r="G93" s="2" t="s">
        <v>0</v>
      </c>
      <c r="H93" s="17">
        <f>ROUND(VLOOKUP(H$91&amp;"_1",管理者用人口入力シート!BH:CE,J93,FALSE),0)</f>
        <v>3</v>
      </c>
      <c r="I93" s="17">
        <f>ROUND(VLOOKUP(H$91&amp;"_2",管理者用人口入力シート!BH:CE,J93,FALSE),0)</f>
        <v>4</v>
      </c>
      <c r="J93" s="2">
        <v>4</v>
      </c>
      <c r="K93" s="12"/>
      <c r="N93" s="2" t="s">
        <v>0</v>
      </c>
      <c r="O93" s="17">
        <f>ROUND(VLOOKUP(O$91&amp;"_1",管理者用人口入力シート!CO:DL,Q93,FALSE),0)</f>
        <v>5</v>
      </c>
      <c r="P93" s="17">
        <f>ROUND(VLOOKUP(O$91&amp;"_2",管理者用人口入力シート!CO:DL,Q93,FALSE),0)</f>
        <v>6</v>
      </c>
      <c r="Q93" s="2">
        <v>4</v>
      </c>
      <c r="T93" s="85"/>
    </row>
    <row r="94" spans="1:21" x14ac:dyDescent="0.15">
      <c r="A94" s="2" t="s">
        <v>5</v>
      </c>
      <c r="B94" s="17">
        <f>ROUND(VLOOKUP(B$87&amp;"_1",管理者用人口入力シート!A:X,D94,FALSE),0)</f>
        <v>14</v>
      </c>
      <c r="C94" s="17">
        <f>ROUND(VLOOKUP(B$87&amp;"_2",管理者用人口入力シート!A:X,D94,FALSE),0)</f>
        <v>9</v>
      </c>
      <c r="D94" s="2">
        <v>9</v>
      </c>
      <c r="G94" s="2" t="s">
        <v>1</v>
      </c>
      <c r="H94" s="17">
        <f>ROUND(VLOOKUP(H$91&amp;"_1",管理者用人口入力シート!BH:CE,J94,FALSE),0)</f>
        <v>4</v>
      </c>
      <c r="I94" s="17">
        <f>ROUND(VLOOKUP(H$91&amp;"_2",管理者用人口入力シート!BH:CE,J94,FALSE),0)</f>
        <v>6</v>
      </c>
      <c r="J94" s="2">
        <v>5</v>
      </c>
      <c r="K94" s="12"/>
      <c r="N94" s="2" t="s">
        <v>1</v>
      </c>
      <c r="O94" s="17">
        <f>ROUND(VLOOKUP(O$91&amp;"_1",管理者用人口入力シート!CO:DL,Q94,FALSE),0)</f>
        <v>5</v>
      </c>
      <c r="P94" s="17">
        <f>ROUND(VLOOKUP(O$91&amp;"_2",管理者用人口入力シート!CO:DL,Q94,FALSE),0)</f>
        <v>7</v>
      </c>
      <c r="Q94" s="2">
        <v>5</v>
      </c>
      <c r="T94" s="85"/>
    </row>
    <row r="95" spans="1:21" x14ac:dyDescent="0.15">
      <c r="A95" s="2" t="s">
        <v>6</v>
      </c>
      <c r="B95" s="17">
        <f>ROUND(VLOOKUP(B$87&amp;"_1",管理者用人口入力シート!A:X,D95,FALSE),0)</f>
        <v>7</v>
      </c>
      <c r="C95" s="17">
        <f>ROUND(VLOOKUP(B$87&amp;"_2",管理者用人口入力シート!A:X,D95,FALSE),0)</f>
        <v>11</v>
      </c>
      <c r="D95" s="2">
        <v>10</v>
      </c>
      <c r="G95" s="2" t="s">
        <v>2</v>
      </c>
      <c r="H95" s="17">
        <f>ROUND(VLOOKUP(H$91&amp;"_1",管理者用人口入力シート!BH:CE,J95,FALSE),0)</f>
        <v>6</v>
      </c>
      <c r="I95" s="17">
        <f>ROUND(VLOOKUP(H$91&amp;"_2",管理者用人口入力シート!BH:CE,J95,FALSE),0)</f>
        <v>6</v>
      </c>
      <c r="J95" s="2">
        <v>6</v>
      </c>
      <c r="K95" s="12"/>
      <c r="N95" s="2" t="s">
        <v>2</v>
      </c>
      <c r="O95" s="17">
        <f>ROUND(VLOOKUP(O$91&amp;"_1",管理者用人口入力シート!CO:DL,Q95,FALSE),0)</f>
        <v>7</v>
      </c>
      <c r="P95" s="17">
        <f>ROUND(VLOOKUP(O$91&amp;"_2",管理者用人口入力シート!CO:DL,Q95,FALSE),0)</f>
        <v>7</v>
      </c>
      <c r="Q95" s="2">
        <v>6</v>
      </c>
      <c r="T95" s="85"/>
    </row>
    <row r="96" spans="1:21" x14ac:dyDescent="0.15">
      <c r="A96" s="2" t="s">
        <v>7</v>
      </c>
      <c r="B96" s="17">
        <f>ROUND(VLOOKUP(B$87&amp;"_1",管理者用人口入力シート!A:X,D96,FALSE),0)</f>
        <v>7</v>
      </c>
      <c r="C96" s="17">
        <f>ROUND(VLOOKUP(B$87&amp;"_2",管理者用人口入力シート!A:X,D96,FALSE),0)</f>
        <v>7</v>
      </c>
      <c r="D96" s="2">
        <v>11</v>
      </c>
      <c r="G96" s="2" t="s">
        <v>3</v>
      </c>
      <c r="H96" s="17">
        <f>ROUND(VLOOKUP(H$91&amp;"_1",管理者用人口入力シート!BH:CE,J96,FALSE),0)</f>
        <v>8</v>
      </c>
      <c r="I96" s="17">
        <f>ROUND(VLOOKUP(H$91&amp;"_2",管理者用人口入力シート!BH:CE,J96,FALSE),0)</f>
        <v>3</v>
      </c>
      <c r="J96" s="2">
        <v>7</v>
      </c>
      <c r="K96" s="12"/>
      <c r="N96" s="2" t="s">
        <v>3</v>
      </c>
      <c r="O96" s="17">
        <f>ROUND(VLOOKUP(O$91&amp;"_1",管理者用人口入力シート!CO:DL,Q96,FALSE),0)</f>
        <v>9</v>
      </c>
      <c r="P96" s="17">
        <f>ROUND(VLOOKUP(O$91&amp;"_2",管理者用人口入力シート!CO:DL,Q96,FALSE),0)</f>
        <v>4</v>
      </c>
      <c r="Q96" s="2">
        <v>7</v>
      </c>
      <c r="T96" s="85"/>
    </row>
    <row r="97" spans="1:20" x14ac:dyDescent="0.15">
      <c r="A97" s="2" t="s">
        <v>8</v>
      </c>
      <c r="B97" s="17">
        <f>ROUND(VLOOKUP(B$87&amp;"_1",管理者用人口入力シート!A:X,D97,FALSE),0)</f>
        <v>11</v>
      </c>
      <c r="C97" s="17">
        <f>ROUND(VLOOKUP(B$87&amp;"_2",管理者用人口入力シート!A:X,D97,FALSE),0)</f>
        <v>12</v>
      </c>
      <c r="D97" s="2">
        <v>12</v>
      </c>
      <c r="G97" s="2" t="s">
        <v>4</v>
      </c>
      <c r="H97" s="17">
        <f>ROUND(VLOOKUP(H$91&amp;"_1",管理者用人口入力シート!BH:CE,J97,FALSE),0)</f>
        <v>6</v>
      </c>
      <c r="I97" s="17">
        <f>ROUND(VLOOKUP(H$91&amp;"_2",管理者用人口入力シート!BH:CE,J97,FALSE),0)</f>
        <v>2</v>
      </c>
      <c r="J97" s="2">
        <v>8</v>
      </c>
      <c r="K97" s="12"/>
      <c r="N97" s="2" t="s">
        <v>4</v>
      </c>
      <c r="O97" s="17">
        <f>ROUND(VLOOKUP(O$91&amp;"_1",管理者用人口入力シート!CO:DL,Q97,FALSE),0)</f>
        <v>6</v>
      </c>
      <c r="P97" s="17">
        <f>ROUND(VLOOKUP(O$91&amp;"_2",管理者用人口入力シート!CO:DL,Q97,FALSE),0)</f>
        <v>2</v>
      </c>
      <c r="Q97" s="2">
        <v>8</v>
      </c>
      <c r="T97" s="85"/>
    </row>
    <row r="98" spans="1:20" x14ac:dyDescent="0.15">
      <c r="A98" s="2" t="s">
        <v>9</v>
      </c>
      <c r="B98" s="17">
        <f>ROUND(VLOOKUP(B$87&amp;"_1",管理者用人口入力シート!A:X,D98,FALSE),0)</f>
        <v>14</v>
      </c>
      <c r="C98" s="17">
        <f>ROUND(VLOOKUP(B$87&amp;"_2",管理者用人口入力シート!A:X,D98,FALSE),0)</f>
        <v>11</v>
      </c>
      <c r="D98" s="2">
        <v>13</v>
      </c>
      <c r="G98" s="2" t="s">
        <v>5</v>
      </c>
      <c r="H98" s="17">
        <f>ROUND(VLOOKUP(H$91&amp;"_1",管理者用人口入力シート!BH:CE,J98,FALSE),0)</f>
        <v>9</v>
      </c>
      <c r="I98" s="17">
        <f>ROUND(VLOOKUP(H$91&amp;"_2",管理者用人口入力シート!BH:CE,J98,FALSE),0)</f>
        <v>2</v>
      </c>
      <c r="J98" s="2">
        <v>9</v>
      </c>
      <c r="K98" s="12"/>
      <c r="N98" s="2" t="s">
        <v>5</v>
      </c>
      <c r="O98" s="17">
        <f>ROUND(VLOOKUP(O$91&amp;"_1",管理者用人口入力シート!CO:DL,Q98,FALSE),0)</f>
        <v>11</v>
      </c>
      <c r="P98" s="17">
        <f>ROUND(VLOOKUP(O$91&amp;"_2",管理者用人口入力シート!CO:DL,Q98,FALSE),0)</f>
        <v>4</v>
      </c>
      <c r="Q98" s="2">
        <v>9</v>
      </c>
      <c r="T98" s="85"/>
    </row>
    <row r="99" spans="1:20" x14ac:dyDescent="0.15">
      <c r="A99" s="2" t="s">
        <v>10</v>
      </c>
      <c r="B99" s="17">
        <f>ROUND(VLOOKUP(B$87&amp;"_1",管理者用人口入力シート!A:X,D99,FALSE),0)</f>
        <v>12</v>
      </c>
      <c r="C99" s="17">
        <f>ROUND(VLOOKUP(B$87&amp;"_2",管理者用人口入力シート!A:X,D99,FALSE),0)</f>
        <v>17</v>
      </c>
      <c r="D99" s="2">
        <v>14</v>
      </c>
      <c r="G99" s="2" t="s">
        <v>6</v>
      </c>
      <c r="H99" s="17">
        <f>ROUND(VLOOKUP(H$91&amp;"_1",管理者用人口入力シート!BH:CE,J99,FALSE),0)</f>
        <v>13</v>
      </c>
      <c r="I99" s="17">
        <f>ROUND(VLOOKUP(H$91&amp;"_2",管理者用人口入力シート!BH:CE,J99,FALSE),0)</f>
        <v>2</v>
      </c>
      <c r="J99" s="2">
        <v>10</v>
      </c>
      <c r="K99" s="12"/>
      <c r="N99" s="2" t="s">
        <v>6</v>
      </c>
      <c r="O99" s="17">
        <f>ROUND(VLOOKUP(O$91&amp;"_1",管理者用人口入力シート!CO:DL,Q99,FALSE),0)</f>
        <v>15</v>
      </c>
      <c r="P99" s="17">
        <f>ROUND(VLOOKUP(O$91&amp;"_2",管理者用人口入力シート!CO:DL,Q99,FALSE),0)</f>
        <v>4</v>
      </c>
      <c r="Q99" s="2">
        <v>10</v>
      </c>
      <c r="T99" s="85"/>
    </row>
    <row r="100" spans="1:20" x14ac:dyDescent="0.15">
      <c r="A100" s="2" t="s">
        <v>11</v>
      </c>
      <c r="B100" s="17">
        <f>ROUND(VLOOKUP(B$87&amp;"_1",管理者用人口入力シート!A:X,D100,FALSE),0)</f>
        <v>16</v>
      </c>
      <c r="C100" s="17">
        <f>ROUND(VLOOKUP(B$87&amp;"_2",管理者用人口入力シート!A:X,D100,FALSE),0)</f>
        <v>17</v>
      </c>
      <c r="D100" s="2">
        <v>15</v>
      </c>
      <c r="G100" s="2" t="s">
        <v>7</v>
      </c>
      <c r="H100" s="17">
        <f>ROUND(VLOOKUP(H$91&amp;"_1",管理者用人口入力シート!BH:CE,J100,FALSE),0)</f>
        <v>10</v>
      </c>
      <c r="I100" s="17">
        <f>ROUND(VLOOKUP(H$91&amp;"_2",管理者用人口入力シート!BH:CE,J100,FALSE),0)</f>
        <v>8</v>
      </c>
      <c r="J100" s="2">
        <v>11</v>
      </c>
      <c r="K100" s="12"/>
      <c r="N100" s="2" t="s">
        <v>7</v>
      </c>
      <c r="O100" s="17">
        <f>ROUND(VLOOKUP(O$91&amp;"_1",管理者用人口入力シート!CO:DL,Q100,FALSE),0)</f>
        <v>10</v>
      </c>
      <c r="P100" s="17">
        <f>ROUND(VLOOKUP(O$91&amp;"_2",管理者用人口入力シート!CO:DL,Q100,FALSE),0)</f>
        <v>8</v>
      </c>
      <c r="Q100" s="2">
        <v>11</v>
      </c>
      <c r="T100" s="85"/>
    </row>
    <row r="101" spans="1:20" x14ac:dyDescent="0.15">
      <c r="A101" s="2" t="s">
        <v>12</v>
      </c>
      <c r="B101" s="17">
        <f>ROUND(VLOOKUP(B$87&amp;"_1",管理者用人口入力シート!A:X,D101,FALSE),0)</f>
        <v>29</v>
      </c>
      <c r="C101" s="17">
        <f>ROUND(VLOOKUP(B$87&amp;"_2",管理者用人口入力シート!A:X,D101,FALSE),0)</f>
        <v>23</v>
      </c>
      <c r="D101" s="2">
        <v>16</v>
      </c>
      <c r="G101" s="2" t="s">
        <v>8</v>
      </c>
      <c r="H101" s="17">
        <f>ROUND(VLOOKUP(H$91&amp;"_1",管理者用人口入力シート!BH:CE,J101,FALSE),0)</f>
        <v>5</v>
      </c>
      <c r="I101" s="17">
        <f>ROUND(VLOOKUP(H$91&amp;"_2",管理者用人口入力シート!BH:CE,J101,FALSE),0)</f>
        <v>9</v>
      </c>
      <c r="J101" s="2">
        <v>12</v>
      </c>
      <c r="K101" s="12"/>
      <c r="N101" s="2" t="s">
        <v>8</v>
      </c>
      <c r="O101" s="17">
        <f>ROUND(VLOOKUP(O$91&amp;"_1",管理者用人口入力シート!CO:DL,Q101,FALSE),0)</f>
        <v>5</v>
      </c>
      <c r="P101" s="17">
        <f>ROUND(VLOOKUP(O$91&amp;"_2",管理者用人口入力シート!CO:DL,Q101,FALSE),0)</f>
        <v>10</v>
      </c>
      <c r="Q101" s="2">
        <v>12</v>
      </c>
      <c r="T101" s="85"/>
    </row>
    <row r="102" spans="1:20" x14ac:dyDescent="0.15">
      <c r="A102" s="2" t="s">
        <v>13</v>
      </c>
      <c r="B102" s="17">
        <f>ROUND(VLOOKUP(B$87&amp;"_1",管理者用人口入力シート!A:X,D102,FALSE),0)</f>
        <v>32</v>
      </c>
      <c r="C102" s="17">
        <f>ROUND(VLOOKUP(B$87&amp;"_2",管理者用人口入力シート!A:X,D102,FALSE),0)</f>
        <v>30</v>
      </c>
      <c r="D102" s="2">
        <v>17</v>
      </c>
      <c r="G102" s="2" t="s">
        <v>9</v>
      </c>
      <c r="H102" s="17">
        <f>ROUND(VLOOKUP(H$91&amp;"_1",管理者用人口入力シート!BH:CE,J102,FALSE),0)</f>
        <v>9</v>
      </c>
      <c r="I102" s="17">
        <f>ROUND(VLOOKUP(H$91&amp;"_2",管理者用人口入力シート!BH:CE,J102,FALSE),0)</f>
        <v>6</v>
      </c>
      <c r="J102" s="2">
        <v>13</v>
      </c>
      <c r="K102" s="12"/>
      <c r="N102" s="2" t="s">
        <v>9</v>
      </c>
      <c r="O102" s="17">
        <f>ROUND(VLOOKUP(O$91&amp;"_1",管理者用人口入力シート!CO:DL,Q102,FALSE),0)</f>
        <v>9</v>
      </c>
      <c r="P102" s="17">
        <f>ROUND(VLOOKUP(O$91&amp;"_2",管理者用人口入力シート!CO:DL,Q102,FALSE),0)</f>
        <v>7</v>
      </c>
      <c r="Q102" s="2">
        <v>13</v>
      </c>
      <c r="T102" s="85"/>
    </row>
    <row r="103" spans="1:20" x14ac:dyDescent="0.15">
      <c r="A103" s="2" t="s">
        <v>14</v>
      </c>
      <c r="B103" s="17">
        <f>ROUND(VLOOKUP(B$87&amp;"_1",管理者用人口入力シート!A:X,D103,FALSE),0)</f>
        <v>29</v>
      </c>
      <c r="C103" s="17">
        <f>ROUND(VLOOKUP(B$87&amp;"_2",管理者用人口入力シート!A:X,D103,FALSE),0)</f>
        <v>25</v>
      </c>
      <c r="D103" s="2">
        <v>18</v>
      </c>
      <c r="G103" s="2" t="s">
        <v>10</v>
      </c>
      <c r="H103" s="17">
        <f>ROUND(VLOOKUP(H$91&amp;"_1",管理者用人口入力シート!BH:CE,J103,FALSE),0)</f>
        <v>12</v>
      </c>
      <c r="I103" s="17">
        <f>ROUND(VLOOKUP(H$91&amp;"_2",管理者用人口入力シート!BH:CE,J103,FALSE),0)</f>
        <v>12</v>
      </c>
      <c r="J103" s="2">
        <v>14</v>
      </c>
      <c r="K103" s="12"/>
      <c r="N103" s="2" t="s">
        <v>10</v>
      </c>
      <c r="O103" s="17">
        <f>ROUND(VLOOKUP(O$91&amp;"_1",管理者用人口入力シート!CO:DL,Q103,FALSE),0)</f>
        <v>12</v>
      </c>
      <c r="P103" s="17">
        <f>ROUND(VLOOKUP(O$91&amp;"_2",管理者用人口入力シート!CO:DL,Q103,FALSE),0)</f>
        <v>12</v>
      </c>
      <c r="Q103" s="2">
        <v>14</v>
      </c>
      <c r="T103" s="85"/>
    </row>
    <row r="104" spans="1:20" x14ac:dyDescent="0.15">
      <c r="A104" s="2" t="s">
        <v>15</v>
      </c>
      <c r="B104" s="17">
        <f>ROUND(VLOOKUP(B$87&amp;"_1",管理者用人口入力シート!A:X,D104,FALSE),0)</f>
        <v>17</v>
      </c>
      <c r="C104" s="17">
        <f>ROUND(VLOOKUP(B$87&amp;"_2",管理者用人口入力シート!A:X,D104,FALSE),0)</f>
        <v>16</v>
      </c>
      <c r="D104" s="2">
        <v>19</v>
      </c>
      <c r="G104" s="2" t="s">
        <v>11</v>
      </c>
      <c r="H104" s="17">
        <f>ROUND(VLOOKUP(H$91&amp;"_1",管理者用人口入力シート!BH:CE,J104,FALSE),0)</f>
        <v>14</v>
      </c>
      <c r="I104" s="17">
        <f>ROUND(VLOOKUP(H$91&amp;"_2",管理者用人口入力シート!BH:CE,J104,FALSE),0)</f>
        <v>13</v>
      </c>
      <c r="J104" s="2">
        <v>15</v>
      </c>
      <c r="K104" s="12"/>
      <c r="N104" s="2" t="s">
        <v>11</v>
      </c>
      <c r="O104" s="17">
        <f>ROUND(VLOOKUP(O$91&amp;"_1",管理者用人口入力シート!CO:DL,Q104,FALSE),0)</f>
        <v>14</v>
      </c>
      <c r="P104" s="17">
        <f>ROUND(VLOOKUP(O$91&amp;"_2",管理者用人口入力シート!CO:DL,Q104,FALSE),0)</f>
        <v>13</v>
      </c>
      <c r="Q104" s="2">
        <v>15</v>
      </c>
      <c r="T104" s="85"/>
    </row>
    <row r="105" spans="1:20" x14ac:dyDescent="0.15">
      <c r="A105" s="2" t="s">
        <v>16</v>
      </c>
      <c r="B105" s="17">
        <f>ROUND(VLOOKUP(B$87&amp;"_1",管理者用人口入力シート!A:X,D105,FALSE),0)</f>
        <v>10</v>
      </c>
      <c r="C105" s="17">
        <f>ROUND(VLOOKUP(B$87&amp;"_2",管理者用人口入力シート!A:X,D105,FALSE),0)</f>
        <v>17</v>
      </c>
      <c r="D105" s="2">
        <v>20</v>
      </c>
      <c r="G105" s="2" t="s">
        <v>12</v>
      </c>
      <c r="H105" s="17">
        <f>ROUND(VLOOKUP(H$91&amp;"_1",管理者用人口入力シート!BH:CE,J105,FALSE),0)</f>
        <v>13</v>
      </c>
      <c r="I105" s="17">
        <f>ROUND(VLOOKUP(H$91&amp;"_2",管理者用人口入力シート!BH:CE,J105,FALSE),0)</f>
        <v>19</v>
      </c>
      <c r="J105" s="2">
        <v>16</v>
      </c>
      <c r="K105" s="12"/>
      <c r="N105" s="2" t="s">
        <v>12</v>
      </c>
      <c r="O105" s="17">
        <f>ROUND(VLOOKUP(O$91&amp;"_1",管理者用人口入力シート!CO:DL,Q105,FALSE),0)</f>
        <v>13</v>
      </c>
      <c r="P105" s="17">
        <f>ROUND(VLOOKUP(O$91&amp;"_2",管理者用人口入力シート!CO:DL,Q105,FALSE),0)</f>
        <v>19</v>
      </c>
      <c r="Q105" s="2">
        <v>16</v>
      </c>
      <c r="T105" s="85"/>
    </row>
    <row r="106" spans="1:20" x14ac:dyDescent="0.15">
      <c r="A106" s="2" t="s">
        <v>17</v>
      </c>
      <c r="B106" s="17">
        <f>ROUND(VLOOKUP(B$87&amp;"_1",管理者用人口入力シート!A:X,D106,FALSE),0)</f>
        <v>12</v>
      </c>
      <c r="C106" s="17">
        <f>ROUND(VLOOKUP(B$87&amp;"_2",管理者用人口入力シート!A:X,D106,FALSE),0)</f>
        <v>16</v>
      </c>
      <c r="D106" s="2">
        <v>21</v>
      </c>
      <c r="G106" s="2" t="s">
        <v>13</v>
      </c>
      <c r="H106" s="17">
        <f>ROUND(VLOOKUP(H$91&amp;"_1",管理者用人口入力シート!BH:CE,J106,FALSE),0)</f>
        <v>17</v>
      </c>
      <c r="I106" s="17">
        <f>ROUND(VLOOKUP(H$91&amp;"_2",管理者用人口入力シート!BH:CE,J106,FALSE),0)</f>
        <v>18</v>
      </c>
      <c r="J106" s="2">
        <v>17</v>
      </c>
      <c r="K106" s="12"/>
      <c r="N106" s="2" t="s">
        <v>13</v>
      </c>
      <c r="O106" s="17">
        <f>ROUND(VLOOKUP(O$91&amp;"_1",管理者用人口入力シート!CO:DL,Q106,FALSE),0)</f>
        <v>17</v>
      </c>
      <c r="P106" s="17">
        <f>ROUND(VLOOKUP(O$91&amp;"_2",管理者用人口入力シート!CO:DL,Q106,FALSE),0)</f>
        <v>18</v>
      </c>
      <c r="Q106" s="2">
        <v>17</v>
      </c>
      <c r="T106" s="85"/>
    </row>
    <row r="107" spans="1:20" x14ac:dyDescent="0.15">
      <c r="A107" s="2" t="s">
        <v>18</v>
      </c>
      <c r="B107" s="17">
        <f>ROUND(VLOOKUP(B$87&amp;"_1",管理者用人口入力シート!A:X,D107,FALSE),0)</f>
        <v>6</v>
      </c>
      <c r="C107" s="17">
        <f>ROUND(VLOOKUP(B$87&amp;"_2",管理者用人口入力シート!A:X,D107,FALSE),0)</f>
        <v>9</v>
      </c>
      <c r="D107" s="2">
        <v>22</v>
      </c>
      <c r="G107" s="2" t="s">
        <v>14</v>
      </c>
      <c r="H107" s="17">
        <f>ROUND(VLOOKUP(H$91&amp;"_1",管理者用人口入力シート!BH:CE,J107,FALSE),0)</f>
        <v>27</v>
      </c>
      <c r="I107" s="17">
        <f>ROUND(VLOOKUP(H$91&amp;"_2",管理者用人口入力シート!BH:CE,J107,FALSE),0)</f>
        <v>21</v>
      </c>
      <c r="J107" s="2">
        <v>18</v>
      </c>
      <c r="K107" s="12"/>
      <c r="N107" s="2" t="s">
        <v>14</v>
      </c>
      <c r="O107" s="17">
        <f>ROUND(VLOOKUP(O$91&amp;"_1",管理者用人口入力シート!CO:DL,Q107,FALSE),0)</f>
        <v>27</v>
      </c>
      <c r="P107" s="17">
        <f>ROUND(VLOOKUP(O$91&amp;"_2",管理者用人口入力シート!CO:DL,Q107,FALSE),0)</f>
        <v>21</v>
      </c>
      <c r="Q107" s="2">
        <v>18</v>
      </c>
      <c r="T107" s="85"/>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26</v>
      </c>
      <c r="I108" s="17">
        <f>ROUND(VLOOKUP(H$91&amp;"_2",管理者用人口入力シート!BH:CE,J108,FALSE),0)</f>
        <v>26</v>
      </c>
      <c r="J108" s="2">
        <v>19</v>
      </c>
      <c r="K108" s="12"/>
      <c r="N108" s="2" t="s">
        <v>15</v>
      </c>
      <c r="O108" s="17">
        <f>ROUND(VLOOKUP(O$91&amp;"_1",管理者用人口入力シート!CO:DL,Q108,FALSE),0)</f>
        <v>26</v>
      </c>
      <c r="P108" s="17">
        <f>ROUND(VLOOKUP(O$91&amp;"_2",管理者用人口入力シート!CO:DL,Q108,FALSE),0)</f>
        <v>26</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17</v>
      </c>
      <c r="I109" s="17">
        <f>ROUND(VLOOKUP(H$91&amp;"_2",管理者用人口入力シート!BH:CE,J109,FALSE),0)</f>
        <v>17</v>
      </c>
      <c r="J109" s="2">
        <v>20</v>
      </c>
      <c r="K109" s="12"/>
      <c r="N109" s="2" t="s">
        <v>16</v>
      </c>
      <c r="O109" s="17">
        <f>ROUND(VLOOKUP(O$91&amp;"_1",管理者用人口入力シート!CO:DL,Q109,FALSE),0)</f>
        <v>17</v>
      </c>
      <c r="P109" s="17">
        <f>ROUND(VLOOKUP(O$91&amp;"_2",管理者用人口入力シート!CO:DL,Q109,FALSE),0)</f>
        <v>17</v>
      </c>
      <c r="Q109" s="2">
        <v>20</v>
      </c>
      <c r="T109" s="85"/>
    </row>
    <row r="110" spans="1:20" x14ac:dyDescent="0.15">
      <c r="G110" s="2" t="s">
        <v>17</v>
      </c>
      <c r="H110" s="17">
        <f>ROUND(VLOOKUP(H$91&amp;"_1",管理者用人口入力シート!BH:CE,J110,FALSE),0)</f>
        <v>7</v>
      </c>
      <c r="I110" s="17">
        <f>ROUND(VLOOKUP(H$91&amp;"_2",管理者用人口入力シート!BH:CE,J110,FALSE),0)</f>
        <v>8</v>
      </c>
      <c r="J110" s="2">
        <v>21</v>
      </c>
      <c r="K110" s="12"/>
      <c r="N110" s="2" t="s">
        <v>17</v>
      </c>
      <c r="O110" s="17">
        <f>ROUND(VLOOKUP(O$91&amp;"_1",管理者用人口入力シート!CO:DL,Q110,FALSE),0)</f>
        <v>7</v>
      </c>
      <c r="P110" s="17">
        <f>ROUND(VLOOKUP(O$91&amp;"_2",管理者用人口入力シート!CO:DL,Q110,FALSE),0)</f>
        <v>8</v>
      </c>
      <c r="Q110" s="2">
        <v>21</v>
      </c>
      <c r="T110" s="85"/>
    </row>
    <row r="111" spans="1:20" x14ac:dyDescent="0.15">
      <c r="G111" s="2" t="s">
        <v>18</v>
      </c>
      <c r="H111" s="17">
        <f>ROUND(VLOOKUP(H$91&amp;"_1",管理者用人口入力シート!BH:CE,J111,FALSE),0)</f>
        <v>3</v>
      </c>
      <c r="I111" s="17">
        <f>ROUND(VLOOKUP(H$91&amp;"_2",管理者用人口入力シート!BH:CE,J111,FALSE),0)</f>
        <v>5</v>
      </c>
      <c r="J111" s="2">
        <v>22</v>
      </c>
      <c r="K111" s="12"/>
      <c r="N111" s="2" t="s">
        <v>18</v>
      </c>
      <c r="O111" s="17">
        <f>ROUND(VLOOKUP(O$91&amp;"_1",管理者用人口入力シート!CO:DL,Q111,FALSE),0)</f>
        <v>3</v>
      </c>
      <c r="P111" s="17">
        <f>ROUND(VLOOKUP(O$91&amp;"_2",管理者用人口入力シート!CO:DL,Q111,FALSE),0)</f>
        <v>5</v>
      </c>
      <c r="Q111" s="2">
        <v>22</v>
      </c>
      <c r="T111" s="85"/>
    </row>
    <row r="112" spans="1:20" x14ac:dyDescent="0.15">
      <c r="G112" s="2" t="s">
        <v>19</v>
      </c>
      <c r="H112" s="17">
        <f>ROUND(VLOOKUP(H$91&amp;"_1",管理者用人口入力シート!BH:CE,J112,FALSE),0)</f>
        <v>0</v>
      </c>
      <c r="I112" s="17">
        <f>ROUND(VLOOKUP(H$91&amp;"_2",管理者用人口入力シート!BH:CE,J112,FALSE),0)</f>
        <v>1</v>
      </c>
      <c r="J112" s="2">
        <v>23</v>
      </c>
      <c r="K112" s="12"/>
      <c r="N112" s="2" t="s">
        <v>19</v>
      </c>
      <c r="O112" s="17">
        <f>ROUND(VLOOKUP(O$91&amp;"_1",管理者用人口入力シート!CO:DL,Q112,FALSE),0)</f>
        <v>0</v>
      </c>
      <c r="P112" s="17">
        <f>ROUND(VLOOKUP(O$91&amp;"_2",管理者用人口入力シート!CO:DL,Q112,FALSE),0)</f>
        <v>1</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2</v>
      </c>
      <c r="J117" s="2">
        <v>4</v>
      </c>
      <c r="N117" s="2" t="s">
        <v>0</v>
      </c>
      <c r="O117" s="17">
        <f>ROUND(VLOOKUP(O$115&amp;"_1",管理者用人口入力シート!CO:DL,Q117,FALSE),0)</f>
        <v>4</v>
      </c>
      <c r="P117" s="17">
        <f>ROUND(VLOOKUP(O$115&amp;"_2",管理者用人口入力シート!CO:DL,Q117,FALSE),0)</f>
        <v>5</v>
      </c>
      <c r="Q117" s="2">
        <v>4</v>
      </c>
      <c r="T117" s="85"/>
    </row>
    <row r="118" spans="7:20" x14ac:dyDescent="0.15">
      <c r="G118" s="2" t="s">
        <v>1</v>
      </c>
      <c r="H118" s="17">
        <f>ROUND(VLOOKUP(H$115&amp;"_1",管理者用人口入力シート!BH:CE,J118,FALSE),0)</f>
        <v>3</v>
      </c>
      <c r="I118" s="17">
        <f>ROUND(VLOOKUP(H$115&amp;"_2",管理者用人口入力シート!BH:CE,J118,FALSE),0)</f>
        <v>4</v>
      </c>
      <c r="J118" s="2">
        <v>5</v>
      </c>
      <c r="N118" s="2" t="s">
        <v>1</v>
      </c>
      <c r="O118" s="17">
        <f>ROUND(VLOOKUP(O$115&amp;"_1",管理者用人口入力シート!CO:DL,Q118,FALSE),0)</f>
        <v>4</v>
      </c>
      <c r="P118" s="17">
        <f>ROUND(VLOOKUP(O$115&amp;"_2",管理者用人口入力シート!CO:DL,Q118,FALSE),0)</f>
        <v>6</v>
      </c>
      <c r="Q118" s="2">
        <v>5</v>
      </c>
      <c r="T118" s="85"/>
    </row>
    <row r="119" spans="7:20" x14ac:dyDescent="0.15">
      <c r="G119" s="2" t="s">
        <v>2</v>
      </c>
      <c r="H119" s="17">
        <f>ROUND(VLOOKUP(H$115&amp;"_1",管理者用人口入力シート!BH:CE,J119,FALSE),0)</f>
        <v>4</v>
      </c>
      <c r="I119" s="17">
        <f>ROUND(VLOOKUP(H$115&amp;"_2",管理者用人口入力シート!BH:CE,J119,FALSE),0)</f>
        <v>4</v>
      </c>
      <c r="J119" s="2">
        <v>6</v>
      </c>
      <c r="N119" s="2" t="s">
        <v>2</v>
      </c>
      <c r="O119" s="17">
        <f>ROUND(VLOOKUP(O$115&amp;"_1",管理者用人口入力シート!CO:DL,Q119,FALSE),0)</f>
        <v>6</v>
      </c>
      <c r="P119" s="17">
        <f>ROUND(VLOOKUP(O$115&amp;"_2",管理者用人口入力シート!CO:DL,Q119,FALSE),0)</f>
        <v>6</v>
      </c>
      <c r="Q119" s="2">
        <v>6</v>
      </c>
      <c r="T119" s="85"/>
    </row>
    <row r="120" spans="7:20" x14ac:dyDescent="0.15">
      <c r="G120" s="2" t="s">
        <v>3</v>
      </c>
      <c r="H120" s="17">
        <f>ROUND(VLOOKUP(H$115&amp;"_1",管理者用人口入力シート!BH:CE,J120,FALSE),0)</f>
        <v>4</v>
      </c>
      <c r="I120" s="17">
        <f>ROUND(VLOOKUP(H$115&amp;"_2",管理者用人口入力シート!BH:CE,J120,FALSE),0)</f>
        <v>4</v>
      </c>
      <c r="J120" s="2">
        <v>7</v>
      </c>
      <c r="N120" s="2" t="s">
        <v>3</v>
      </c>
      <c r="O120" s="17">
        <f>ROUND(VLOOKUP(O$115&amp;"_1",管理者用人口入力シート!CO:DL,Q120,FALSE),0)</f>
        <v>4</v>
      </c>
      <c r="P120" s="17">
        <f>ROUND(VLOOKUP(O$115&amp;"_2",管理者用人口入力シート!CO:DL,Q120,FALSE),0)</f>
        <v>5</v>
      </c>
      <c r="Q120" s="2">
        <v>7</v>
      </c>
      <c r="T120" s="85"/>
    </row>
    <row r="121" spans="7:20" x14ac:dyDescent="0.15">
      <c r="G121" s="2" t="s">
        <v>4</v>
      </c>
      <c r="H121" s="17">
        <f>ROUND(VLOOKUP(H$115&amp;"_1",管理者用人口入力シート!BH:CE,J121,FALSE),0)</f>
        <v>8</v>
      </c>
      <c r="I121" s="17">
        <f>ROUND(VLOOKUP(H$115&amp;"_2",管理者用人口入力シート!BH:CE,J121,FALSE),0)</f>
        <v>1</v>
      </c>
      <c r="J121" s="2">
        <v>8</v>
      </c>
      <c r="N121" s="2" t="s">
        <v>4</v>
      </c>
      <c r="O121" s="17">
        <f>ROUND(VLOOKUP(O$115&amp;"_1",管理者用人口入力シート!CO:DL,Q121,FALSE),0)</f>
        <v>8</v>
      </c>
      <c r="P121" s="17">
        <f>ROUND(VLOOKUP(O$115&amp;"_2",管理者用人口入力シート!CO:DL,Q121,FALSE),0)</f>
        <v>1</v>
      </c>
      <c r="Q121" s="2">
        <v>8</v>
      </c>
      <c r="T121" s="85"/>
    </row>
    <row r="122" spans="7:20" x14ac:dyDescent="0.15">
      <c r="G122" s="2" t="s">
        <v>5</v>
      </c>
      <c r="H122" s="17">
        <f>ROUND(VLOOKUP(H$115&amp;"_1",管理者用人口入力シート!BH:CE,J122,FALSE),0)</f>
        <v>7</v>
      </c>
      <c r="I122" s="17">
        <f>ROUND(VLOOKUP(H$115&amp;"_2",管理者用人口入力シート!BH:CE,J122,FALSE),0)</f>
        <v>3</v>
      </c>
      <c r="J122" s="2">
        <v>9</v>
      </c>
      <c r="N122" s="2" t="s">
        <v>5</v>
      </c>
      <c r="O122" s="17">
        <f>ROUND(VLOOKUP(O$115&amp;"_1",管理者用人口入力シート!CO:DL,Q122,FALSE),0)</f>
        <v>9</v>
      </c>
      <c r="P122" s="17">
        <f>ROUND(VLOOKUP(O$115&amp;"_2",管理者用人口入力シート!CO:DL,Q122,FALSE),0)</f>
        <v>5</v>
      </c>
      <c r="Q122" s="2">
        <v>9</v>
      </c>
      <c r="T122" s="85"/>
    </row>
    <row r="123" spans="7:20" x14ac:dyDescent="0.15">
      <c r="G123" s="2" t="s">
        <v>6</v>
      </c>
      <c r="H123" s="17">
        <f>ROUND(VLOOKUP(H$115&amp;"_1",管理者用人口入力シート!BH:CE,J123,FALSE),0)</f>
        <v>10</v>
      </c>
      <c r="I123" s="17">
        <f>ROUND(VLOOKUP(H$115&amp;"_2",管理者用人口入力シート!BH:CE,J123,FALSE),0)</f>
        <v>2</v>
      </c>
      <c r="J123" s="2">
        <v>10</v>
      </c>
      <c r="N123" s="2" t="s">
        <v>6</v>
      </c>
      <c r="O123" s="17">
        <f>ROUND(VLOOKUP(O$115&amp;"_1",管理者用人口入力シート!CO:DL,Q123,FALSE),0)</f>
        <v>13</v>
      </c>
      <c r="P123" s="17">
        <f>ROUND(VLOOKUP(O$115&amp;"_2",管理者用人口入力シート!CO:DL,Q123,FALSE),0)</f>
        <v>4</v>
      </c>
      <c r="Q123" s="2">
        <v>10</v>
      </c>
      <c r="T123" s="85"/>
    </row>
    <row r="124" spans="7:20" x14ac:dyDescent="0.15">
      <c r="G124" s="2" t="s">
        <v>7</v>
      </c>
      <c r="H124" s="17">
        <f>ROUND(VLOOKUP(H$115&amp;"_1",管理者用人口入力シート!BH:CE,J124,FALSE),0)</f>
        <v>8</v>
      </c>
      <c r="I124" s="17">
        <f>ROUND(VLOOKUP(H$115&amp;"_2",管理者用人口入力シート!BH:CE,J124,FALSE),0)</f>
        <v>2</v>
      </c>
      <c r="J124" s="2">
        <v>11</v>
      </c>
      <c r="N124" s="2" t="s">
        <v>7</v>
      </c>
      <c r="O124" s="17">
        <f>ROUND(VLOOKUP(O$115&amp;"_1",管理者用人口入力シート!CO:DL,Q124,FALSE),0)</f>
        <v>10</v>
      </c>
      <c r="P124" s="17">
        <f>ROUND(VLOOKUP(O$115&amp;"_2",管理者用人口入力シート!CO:DL,Q124,FALSE),0)</f>
        <v>4</v>
      </c>
      <c r="Q124" s="2">
        <v>11</v>
      </c>
      <c r="T124" s="85"/>
    </row>
    <row r="125" spans="7:20" x14ac:dyDescent="0.15">
      <c r="G125" s="2" t="s">
        <v>8</v>
      </c>
      <c r="H125" s="17">
        <f>ROUND(VLOOKUP(H$115&amp;"_1",管理者用人口入力シート!BH:CE,J125,FALSE),0)</f>
        <v>12</v>
      </c>
      <c r="I125" s="17">
        <f>ROUND(VLOOKUP(H$115&amp;"_2",管理者用人口入力シート!BH:CE,J125,FALSE),0)</f>
        <v>7</v>
      </c>
      <c r="J125" s="2">
        <v>12</v>
      </c>
      <c r="N125" s="2" t="s">
        <v>8</v>
      </c>
      <c r="O125" s="17">
        <f>ROUND(VLOOKUP(O$115&amp;"_1",管理者用人口入力シート!CO:DL,Q125,FALSE),0)</f>
        <v>12</v>
      </c>
      <c r="P125" s="17">
        <f>ROUND(VLOOKUP(O$115&amp;"_2",管理者用人口入力シート!CO:DL,Q125,FALSE),0)</f>
        <v>8</v>
      </c>
      <c r="Q125" s="2">
        <v>12</v>
      </c>
      <c r="T125" s="85"/>
    </row>
    <row r="126" spans="7:20" x14ac:dyDescent="0.15">
      <c r="G126" s="2" t="s">
        <v>9</v>
      </c>
      <c r="H126" s="17">
        <f>ROUND(VLOOKUP(H$115&amp;"_1",管理者用人口入力シート!BH:CE,J126,FALSE),0)</f>
        <v>6</v>
      </c>
      <c r="I126" s="17">
        <f>ROUND(VLOOKUP(H$115&amp;"_2",管理者用人口入力シート!BH:CE,J126,FALSE),0)</f>
        <v>8</v>
      </c>
      <c r="J126" s="2">
        <v>13</v>
      </c>
      <c r="N126" s="2" t="s">
        <v>9</v>
      </c>
      <c r="O126" s="17">
        <f>ROUND(VLOOKUP(O$115&amp;"_1",管理者用人口入力シート!CO:DL,Q126,FALSE),0)</f>
        <v>6</v>
      </c>
      <c r="P126" s="17">
        <f>ROUND(VLOOKUP(O$115&amp;"_2",管理者用人口入力シート!CO:DL,Q126,FALSE),0)</f>
        <v>9</v>
      </c>
      <c r="Q126" s="2">
        <v>13</v>
      </c>
      <c r="T126" s="85"/>
    </row>
    <row r="127" spans="7:20" x14ac:dyDescent="0.15">
      <c r="G127" s="2" t="s">
        <v>10</v>
      </c>
      <c r="H127" s="17">
        <f>ROUND(VLOOKUP(H$115&amp;"_1",管理者用人口入力シート!BH:CE,J127,FALSE),0)</f>
        <v>8</v>
      </c>
      <c r="I127" s="17">
        <f>ROUND(VLOOKUP(H$115&amp;"_2",管理者用人口入力シート!BH:CE,J127,FALSE),0)</f>
        <v>7</v>
      </c>
      <c r="J127" s="2">
        <v>14</v>
      </c>
      <c r="N127" s="2" t="s">
        <v>10</v>
      </c>
      <c r="O127" s="17">
        <f>ROUND(VLOOKUP(O$115&amp;"_1",管理者用人口入力シート!CO:DL,Q127,FALSE),0)</f>
        <v>8</v>
      </c>
      <c r="P127" s="17">
        <f>ROUND(VLOOKUP(O$115&amp;"_2",管理者用人口入力シート!CO:DL,Q127,FALSE),0)</f>
        <v>8</v>
      </c>
      <c r="Q127" s="2">
        <v>14</v>
      </c>
      <c r="T127" s="85"/>
    </row>
    <row r="128" spans="7:20" x14ac:dyDescent="0.15">
      <c r="G128" s="2" t="s">
        <v>11</v>
      </c>
      <c r="H128" s="17">
        <f>ROUND(VLOOKUP(H$115&amp;"_1",管理者用人口入力シート!BH:CE,J128,FALSE),0)</f>
        <v>13</v>
      </c>
      <c r="I128" s="17">
        <f>ROUND(VLOOKUP(H$115&amp;"_2",管理者用人口入力シート!BH:CE,J128,FALSE),0)</f>
        <v>12</v>
      </c>
      <c r="J128" s="2">
        <v>15</v>
      </c>
      <c r="N128" s="2" t="s">
        <v>11</v>
      </c>
      <c r="O128" s="17">
        <f>ROUND(VLOOKUP(O$115&amp;"_1",管理者用人口入力シート!CO:DL,Q128,FALSE),0)</f>
        <v>13</v>
      </c>
      <c r="P128" s="17">
        <f>ROUND(VLOOKUP(O$115&amp;"_2",管理者用人口入力シート!CO:DL,Q128,FALSE),0)</f>
        <v>12</v>
      </c>
      <c r="Q128" s="2">
        <v>15</v>
      </c>
      <c r="T128" s="85"/>
    </row>
    <row r="129" spans="7:20" x14ac:dyDescent="0.15">
      <c r="G129" s="2" t="s">
        <v>12</v>
      </c>
      <c r="H129" s="17">
        <f>ROUND(VLOOKUP(H$115&amp;"_1",管理者用人口入力シート!BH:CE,J129,FALSE),0)</f>
        <v>15</v>
      </c>
      <c r="I129" s="17">
        <f>ROUND(VLOOKUP(H$115&amp;"_2",管理者用人口入力シート!BH:CE,J129,FALSE),0)</f>
        <v>15</v>
      </c>
      <c r="J129" s="2">
        <v>16</v>
      </c>
      <c r="N129" s="2" t="s">
        <v>12</v>
      </c>
      <c r="O129" s="17">
        <f>ROUND(VLOOKUP(O$115&amp;"_1",管理者用人口入力シート!CO:DL,Q129,FALSE),0)</f>
        <v>15</v>
      </c>
      <c r="P129" s="17">
        <f>ROUND(VLOOKUP(O$115&amp;"_2",管理者用人口入力シート!CO:DL,Q129,FALSE),0)</f>
        <v>15</v>
      </c>
      <c r="Q129" s="2">
        <v>16</v>
      </c>
      <c r="T129" s="85"/>
    </row>
    <row r="130" spans="7:20" x14ac:dyDescent="0.15">
      <c r="G130" s="2" t="s">
        <v>13</v>
      </c>
      <c r="H130" s="17">
        <f>ROUND(VLOOKUP(H$115&amp;"_1",管理者用人口入力シート!BH:CE,J130,FALSE),0)</f>
        <v>13</v>
      </c>
      <c r="I130" s="17">
        <f>ROUND(VLOOKUP(H$115&amp;"_2",管理者用人口入力シート!BH:CE,J130,FALSE),0)</f>
        <v>18</v>
      </c>
      <c r="J130" s="2">
        <v>17</v>
      </c>
      <c r="N130" s="2" t="s">
        <v>13</v>
      </c>
      <c r="O130" s="17">
        <f>ROUND(VLOOKUP(O$115&amp;"_1",管理者用人口入力シート!CO:DL,Q130,FALSE),0)</f>
        <v>13</v>
      </c>
      <c r="P130" s="17">
        <f>ROUND(VLOOKUP(O$115&amp;"_2",管理者用人口入力シート!CO:DL,Q130,FALSE),0)</f>
        <v>18</v>
      </c>
      <c r="Q130" s="2">
        <v>17</v>
      </c>
      <c r="T130" s="85"/>
    </row>
    <row r="131" spans="7:20" x14ac:dyDescent="0.15">
      <c r="G131" s="2" t="s">
        <v>14</v>
      </c>
      <c r="H131" s="17">
        <f>ROUND(VLOOKUP(H$115&amp;"_1",管理者用人口入力シート!BH:CE,J131,FALSE),0)</f>
        <v>16</v>
      </c>
      <c r="I131" s="17">
        <f>ROUND(VLOOKUP(H$115&amp;"_2",管理者用人口入力シート!BH:CE,J131,FALSE),0)</f>
        <v>18</v>
      </c>
      <c r="J131" s="2">
        <v>18</v>
      </c>
      <c r="N131" s="2" t="s">
        <v>14</v>
      </c>
      <c r="O131" s="17">
        <f>ROUND(VLOOKUP(O$115&amp;"_1",管理者用人口入力シート!CO:DL,Q131,FALSE),0)</f>
        <v>16</v>
      </c>
      <c r="P131" s="17">
        <f>ROUND(VLOOKUP(O$115&amp;"_2",管理者用人口入力シート!CO:DL,Q131,FALSE),0)</f>
        <v>18</v>
      </c>
      <c r="Q131" s="2">
        <v>18</v>
      </c>
      <c r="T131" s="85"/>
    </row>
    <row r="132" spans="7:20" x14ac:dyDescent="0.15">
      <c r="G132" s="2" t="s">
        <v>15</v>
      </c>
      <c r="H132" s="17">
        <f>ROUND(VLOOKUP(H$115&amp;"_1",管理者用人口入力シート!BH:CE,J132,FALSE),0)</f>
        <v>23</v>
      </c>
      <c r="I132" s="17">
        <f>ROUND(VLOOKUP(H$115&amp;"_2",管理者用人口入力シート!BH:CE,J132,FALSE),0)</f>
        <v>18</v>
      </c>
      <c r="J132" s="2">
        <v>19</v>
      </c>
      <c r="N132" s="2" t="s">
        <v>15</v>
      </c>
      <c r="O132" s="17">
        <f>ROUND(VLOOKUP(O$115&amp;"_1",管理者用人口入力シート!CO:DL,Q132,FALSE),0)</f>
        <v>23</v>
      </c>
      <c r="P132" s="17">
        <f>ROUND(VLOOKUP(O$115&amp;"_2",管理者用人口入力シート!CO:DL,Q132,FALSE),0)</f>
        <v>18</v>
      </c>
      <c r="Q132" s="2">
        <v>19</v>
      </c>
      <c r="T132" s="85"/>
    </row>
    <row r="133" spans="7:20" x14ac:dyDescent="0.15">
      <c r="G133" s="2" t="s">
        <v>16</v>
      </c>
      <c r="H133" s="17">
        <f>ROUND(VLOOKUP(H$115&amp;"_1",管理者用人口入力シート!BH:CE,J133,FALSE),0)</f>
        <v>18</v>
      </c>
      <c r="I133" s="17">
        <f>ROUND(VLOOKUP(H$115&amp;"_2",管理者用人口入力シート!BH:CE,J133,FALSE),0)</f>
        <v>20</v>
      </c>
      <c r="J133" s="2">
        <v>20</v>
      </c>
      <c r="N133" s="2" t="s">
        <v>16</v>
      </c>
      <c r="O133" s="17">
        <f>ROUND(VLOOKUP(O$115&amp;"_1",管理者用人口入力シート!CO:DL,Q133,FALSE),0)</f>
        <v>18</v>
      </c>
      <c r="P133" s="17">
        <f>ROUND(VLOOKUP(O$115&amp;"_2",管理者用人口入力シート!CO:DL,Q133,FALSE),0)</f>
        <v>20</v>
      </c>
      <c r="Q133" s="2">
        <v>20</v>
      </c>
      <c r="T133" s="85"/>
    </row>
    <row r="134" spans="7:20" x14ac:dyDescent="0.15">
      <c r="G134" s="2" t="s">
        <v>17</v>
      </c>
      <c r="H134" s="17">
        <f>ROUND(VLOOKUP(H$115&amp;"_1",管理者用人口入力シート!BH:CE,J134,FALSE),0)</f>
        <v>10</v>
      </c>
      <c r="I134" s="17">
        <f>ROUND(VLOOKUP(H$115&amp;"_2",管理者用人口入力シート!BH:CE,J134,FALSE),0)</f>
        <v>11</v>
      </c>
      <c r="J134" s="2">
        <v>21</v>
      </c>
      <c r="N134" s="2" t="s">
        <v>17</v>
      </c>
      <c r="O134" s="17">
        <f>ROUND(VLOOKUP(O$115&amp;"_1",管理者用人口入力シート!CO:DL,Q134,FALSE),0)</f>
        <v>10</v>
      </c>
      <c r="P134" s="17">
        <f>ROUND(VLOOKUP(O$115&amp;"_2",管理者用人口入力シート!CO:DL,Q134,FALSE),0)</f>
        <v>11</v>
      </c>
      <c r="Q134" s="2">
        <v>21</v>
      </c>
      <c r="T134" s="85"/>
    </row>
    <row r="135" spans="7:20" x14ac:dyDescent="0.15">
      <c r="G135" s="2" t="s">
        <v>18</v>
      </c>
      <c r="H135" s="17">
        <f>ROUND(VLOOKUP(H$115&amp;"_1",管理者用人口入力シート!BH:CE,J135,FALSE),0)</f>
        <v>3</v>
      </c>
      <c r="I135" s="17">
        <f>ROUND(VLOOKUP(H$115&amp;"_2",管理者用人口入力シート!BH:CE,J135,FALSE),0)</f>
        <v>4</v>
      </c>
      <c r="J135" s="2">
        <v>22</v>
      </c>
      <c r="N135" s="2" t="s">
        <v>18</v>
      </c>
      <c r="O135" s="17">
        <f>ROUND(VLOOKUP(O$115&amp;"_1",管理者用人口入力シート!CO:DL,Q135,FALSE),0)</f>
        <v>3</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1</v>
      </c>
      <c r="J136" s="2">
        <v>23</v>
      </c>
      <c r="N136" s="2" t="s">
        <v>19</v>
      </c>
      <c r="O136" s="17">
        <f>ROUND(VLOOKUP(O$115&amp;"_1",管理者用人口入力シート!CO:DL,Q136,FALSE),0)</f>
        <v>0</v>
      </c>
      <c r="P136" s="17">
        <f>ROUND(VLOOKUP(O$115&amp;"_2",管理者用人口入力シート!CO:DL,Q136,FALSE),0)</f>
        <v>1</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2</v>
      </c>
      <c r="J141" s="2">
        <v>4</v>
      </c>
      <c r="N141" s="2" t="s">
        <v>0</v>
      </c>
      <c r="O141" s="17">
        <f>ROUND(VLOOKUP(O$139&amp;"_1",管理者用人口入力シート!CO:DL,Q141,FALSE),0)</f>
        <v>4</v>
      </c>
      <c r="P141" s="17">
        <f>ROUND(VLOOKUP(O$139&amp;"_2",管理者用人口入力シート!CO:DL,Q141,FALSE),0)</f>
        <v>5</v>
      </c>
      <c r="Q141" s="2">
        <v>4</v>
      </c>
    </row>
    <row r="142" spans="7:20" x14ac:dyDescent="0.15">
      <c r="G142" s="2" t="s">
        <v>1</v>
      </c>
      <c r="H142" s="17">
        <f>ROUND(VLOOKUP(H$139&amp;"_1",管理者用人口入力シート!BH:CE,J142,FALSE),0)</f>
        <v>1</v>
      </c>
      <c r="I142" s="17">
        <f>ROUND(VLOOKUP(H$139&amp;"_2",管理者用人口入力シート!BH:CE,J142,FALSE),0)</f>
        <v>2</v>
      </c>
      <c r="J142" s="2">
        <v>5</v>
      </c>
      <c r="N142" s="2" t="s">
        <v>1</v>
      </c>
      <c r="O142" s="17">
        <f>ROUND(VLOOKUP(O$139&amp;"_1",管理者用人口入力シート!CO:DL,Q142,FALSE),0)</f>
        <v>4</v>
      </c>
      <c r="P142" s="17">
        <f>ROUND(VLOOKUP(O$139&amp;"_2",管理者用人口入力シート!CO:DL,Q142,FALSE),0)</f>
        <v>5</v>
      </c>
      <c r="Q142" s="2">
        <v>5</v>
      </c>
    </row>
    <row r="143" spans="7:20" x14ac:dyDescent="0.15">
      <c r="G143" s="2" t="s">
        <v>2</v>
      </c>
      <c r="H143" s="17">
        <f>ROUND(VLOOKUP(H$139&amp;"_1",管理者用人口入力シート!BH:CE,J143,FALSE),0)</f>
        <v>3</v>
      </c>
      <c r="I143" s="17">
        <f>ROUND(VLOOKUP(H$139&amp;"_2",管理者用人口入力シート!BH:CE,J143,FALSE),0)</f>
        <v>3</v>
      </c>
      <c r="J143" s="2">
        <v>6</v>
      </c>
      <c r="N143" s="2" t="s">
        <v>2</v>
      </c>
      <c r="O143" s="17">
        <f>ROUND(VLOOKUP(O$139&amp;"_1",管理者用人口入力シート!CO:DL,Q143,FALSE),0)</f>
        <v>6</v>
      </c>
      <c r="P143" s="17">
        <f>ROUND(VLOOKUP(O$139&amp;"_2",管理者用人口入力シート!CO:DL,Q143,FALSE),0)</f>
        <v>5</v>
      </c>
      <c r="Q143" s="2">
        <v>6</v>
      </c>
    </row>
    <row r="144" spans="7:20" x14ac:dyDescent="0.15">
      <c r="G144" s="2" t="s">
        <v>3</v>
      </c>
      <c r="H144" s="17">
        <f>ROUND(VLOOKUP(H$139&amp;"_1",管理者用人口入力シート!BH:CE,J144,FALSE),0)</f>
        <v>3</v>
      </c>
      <c r="I144" s="17">
        <f>ROUND(VLOOKUP(H$139&amp;"_2",管理者用人口入力シート!BH:CE,J144,FALSE),0)</f>
        <v>3</v>
      </c>
      <c r="J144" s="2">
        <v>7</v>
      </c>
      <c r="N144" s="2" t="s">
        <v>3</v>
      </c>
      <c r="O144" s="17">
        <f>ROUND(VLOOKUP(O$139&amp;"_1",管理者用人口入力シート!CO:DL,Q144,FALSE),0)</f>
        <v>4</v>
      </c>
      <c r="P144" s="17">
        <f>ROUND(VLOOKUP(O$139&amp;"_2",管理者用人口入力シート!CO:DL,Q144,FALSE),0)</f>
        <v>5</v>
      </c>
      <c r="Q144" s="2">
        <v>7</v>
      </c>
    </row>
    <row r="145" spans="7:17" x14ac:dyDescent="0.15">
      <c r="G145" s="2" t="s">
        <v>4</v>
      </c>
      <c r="H145" s="17">
        <f>ROUND(VLOOKUP(H$139&amp;"_1",管理者用人口入力シート!BH:CE,J145,FALSE),0)</f>
        <v>3</v>
      </c>
      <c r="I145" s="17">
        <f>ROUND(VLOOKUP(H$139&amp;"_2",管理者用人口入力シート!BH:CE,J145,FALSE),0)</f>
        <v>1</v>
      </c>
      <c r="J145" s="2">
        <v>8</v>
      </c>
      <c r="N145" s="2" t="s">
        <v>4</v>
      </c>
      <c r="O145" s="17">
        <f>ROUND(VLOOKUP(O$139&amp;"_1",管理者用人口入力シート!CO:DL,Q145,FALSE),0)</f>
        <v>4</v>
      </c>
      <c r="P145" s="17">
        <f>ROUND(VLOOKUP(O$139&amp;"_2",管理者用人口入力シート!CO:DL,Q145,FALSE),0)</f>
        <v>1</v>
      </c>
      <c r="Q145" s="2">
        <v>8</v>
      </c>
    </row>
    <row r="146" spans="7:17" x14ac:dyDescent="0.15">
      <c r="G146" s="2" t="s">
        <v>5</v>
      </c>
      <c r="H146" s="17">
        <f>ROUND(VLOOKUP(H$139&amp;"_1",管理者用人口入力シート!BH:CE,J146,FALSE),0)</f>
        <v>9</v>
      </c>
      <c r="I146" s="17">
        <f>ROUND(VLOOKUP(H$139&amp;"_2",管理者用人口入力シート!BH:CE,J146,FALSE),0)</f>
        <v>1</v>
      </c>
      <c r="J146" s="2">
        <v>9</v>
      </c>
      <c r="N146" s="2" t="s">
        <v>5</v>
      </c>
      <c r="O146" s="17">
        <f>ROUND(VLOOKUP(O$139&amp;"_1",管理者用人口入力シート!CO:DL,Q146,FALSE),0)</f>
        <v>12</v>
      </c>
      <c r="P146" s="17">
        <f>ROUND(VLOOKUP(O$139&amp;"_2",管理者用人口入力シート!CO:DL,Q146,FALSE),0)</f>
        <v>4</v>
      </c>
      <c r="Q146" s="2">
        <v>9</v>
      </c>
    </row>
    <row r="147" spans="7:17" x14ac:dyDescent="0.15">
      <c r="G147" s="2" t="s">
        <v>6</v>
      </c>
      <c r="H147" s="17">
        <f>ROUND(VLOOKUP(H$139&amp;"_1",管理者用人口入力シート!BH:CE,J147,FALSE),0)</f>
        <v>8</v>
      </c>
      <c r="I147" s="17">
        <f>ROUND(VLOOKUP(H$139&amp;"_2",管理者用人口入力シート!BH:CE,J147,FALSE),0)</f>
        <v>3</v>
      </c>
      <c r="J147" s="2">
        <v>10</v>
      </c>
      <c r="N147" s="2" t="s">
        <v>6</v>
      </c>
      <c r="O147" s="17">
        <f>ROUND(VLOOKUP(O$139&amp;"_1",管理者用人口入力シート!CO:DL,Q147,FALSE),0)</f>
        <v>11</v>
      </c>
      <c r="P147" s="17">
        <f>ROUND(VLOOKUP(O$139&amp;"_2",管理者用人口入力シート!CO:DL,Q147,FALSE),0)</f>
        <v>5</v>
      </c>
      <c r="Q147" s="2">
        <v>10</v>
      </c>
    </row>
    <row r="148" spans="7:17" x14ac:dyDescent="0.15">
      <c r="G148" s="2" t="s">
        <v>7</v>
      </c>
      <c r="H148" s="17">
        <f>ROUND(VLOOKUP(H$139&amp;"_1",管理者用人口入力シート!BH:CE,J148,FALSE),0)</f>
        <v>7</v>
      </c>
      <c r="I148" s="17">
        <f>ROUND(VLOOKUP(H$139&amp;"_2",管理者用人口入力シート!BH:CE,J148,FALSE),0)</f>
        <v>2</v>
      </c>
      <c r="J148" s="2">
        <v>11</v>
      </c>
      <c r="N148" s="2" t="s">
        <v>7</v>
      </c>
      <c r="O148" s="17">
        <f>ROUND(VLOOKUP(O$139&amp;"_1",管理者用人口入力シート!CO:DL,Q148,FALSE),0)</f>
        <v>9</v>
      </c>
      <c r="P148" s="17">
        <f>ROUND(VLOOKUP(O$139&amp;"_2",管理者用人口入力シート!CO:DL,Q148,FALSE),0)</f>
        <v>4</v>
      </c>
      <c r="Q148" s="2">
        <v>11</v>
      </c>
    </row>
    <row r="149" spans="7:17" x14ac:dyDescent="0.15">
      <c r="G149" s="2" t="s">
        <v>8</v>
      </c>
      <c r="H149" s="17">
        <f>ROUND(VLOOKUP(H$139&amp;"_1",管理者用人口入力シート!BH:CE,J149,FALSE),0)</f>
        <v>10</v>
      </c>
      <c r="I149" s="17">
        <f>ROUND(VLOOKUP(H$139&amp;"_2",管理者用人口入力シート!BH:CE,J149,FALSE),0)</f>
        <v>2</v>
      </c>
      <c r="J149" s="2">
        <v>12</v>
      </c>
      <c r="N149" s="2" t="s">
        <v>8</v>
      </c>
      <c r="O149" s="17">
        <f>ROUND(VLOOKUP(O$139&amp;"_1",管理者用人口入力シート!CO:DL,Q149,FALSE),0)</f>
        <v>12</v>
      </c>
      <c r="P149" s="17">
        <f>ROUND(VLOOKUP(O$139&amp;"_2",管理者用人口入力シート!CO:DL,Q149,FALSE),0)</f>
        <v>4</v>
      </c>
      <c r="Q149" s="2">
        <v>12</v>
      </c>
    </row>
    <row r="150" spans="7:17" x14ac:dyDescent="0.15">
      <c r="G150" s="2" t="s">
        <v>9</v>
      </c>
      <c r="H150" s="17">
        <f>ROUND(VLOOKUP(H$139&amp;"_1",管理者用人口入力シート!BH:CE,J150,FALSE),0)</f>
        <v>14</v>
      </c>
      <c r="I150" s="17">
        <f>ROUND(VLOOKUP(H$139&amp;"_2",管理者用人口入力シート!BH:CE,J150,FALSE),0)</f>
        <v>6</v>
      </c>
      <c r="J150" s="2">
        <v>13</v>
      </c>
      <c r="N150" s="2" t="s">
        <v>9</v>
      </c>
      <c r="O150" s="17">
        <f>ROUND(VLOOKUP(O$139&amp;"_1",管理者用人口入力シート!CO:DL,Q150,FALSE),0)</f>
        <v>14</v>
      </c>
      <c r="P150" s="17">
        <f>ROUND(VLOOKUP(O$139&amp;"_2",管理者用人口入力シート!CO:DL,Q150,FALSE),0)</f>
        <v>7</v>
      </c>
      <c r="Q150" s="2">
        <v>13</v>
      </c>
    </row>
    <row r="151" spans="7:17" x14ac:dyDescent="0.15">
      <c r="G151" s="2" t="s">
        <v>10</v>
      </c>
      <c r="H151" s="17">
        <f>ROUND(VLOOKUP(H$139&amp;"_1",管理者用人口入力シート!BH:CE,J151,FALSE),0)</f>
        <v>6</v>
      </c>
      <c r="I151" s="17">
        <f>ROUND(VLOOKUP(H$139&amp;"_2",管理者用人口入力シート!BH:CE,J151,FALSE),0)</f>
        <v>9</v>
      </c>
      <c r="J151" s="2">
        <v>14</v>
      </c>
      <c r="N151" s="2" t="s">
        <v>10</v>
      </c>
      <c r="O151" s="17">
        <f>ROUND(VLOOKUP(O$139&amp;"_1",管理者用人口入力シート!CO:DL,Q151,FALSE),0)</f>
        <v>6</v>
      </c>
      <c r="P151" s="17">
        <f>ROUND(VLOOKUP(O$139&amp;"_2",管理者用人口入力シート!CO:DL,Q151,FALSE),0)</f>
        <v>10</v>
      </c>
      <c r="Q151" s="2">
        <v>14</v>
      </c>
    </row>
    <row r="152" spans="7:17" x14ac:dyDescent="0.15">
      <c r="G152" s="2" t="s">
        <v>11</v>
      </c>
      <c r="H152" s="17">
        <f>ROUND(VLOOKUP(H$139&amp;"_1",管理者用人口入力シート!BH:CE,J152,FALSE),0)</f>
        <v>9</v>
      </c>
      <c r="I152" s="17">
        <f>ROUND(VLOOKUP(H$139&amp;"_2",管理者用人口入力シート!BH:CE,J152,FALSE),0)</f>
        <v>7</v>
      </c>
      <c r="J152" s="2">
        <v>15</v>
      </c>
      <c r="N152" s="2" t="s">
        <v>11</v>
      </c>
      <c r="O152" s="17">
        <f>ROUND(VLOOKUP(O$139&amp;"_1",管理者用人口入力シート!CO:DL,Q152,FALSE),0)</f>
        <v>9</v>
      </c>
      <c r="P152" s="17">
        <f>ROUND(VLOOKUP(O$139&amp;"_2",管理者用人口入力シート!CO:DL,Q152,FALSE),0)</f>
        <v>8</v>
      </c>
      <c r="Q152" s="2">
        <v>15</v>
      </c>
    </row>
    <row r="153" spans="7:17" x14ac:dyDescent="0.15">
      <c r="G153" s="2" t="s">
        <v>12</v>
      </c>
      <c r="H153" s="17">
        <f>ROUND(VLOOKUP(H$139&amp;"_1",管理者用人口入力シート!BH:CE,J153,FALSE),0)</f>
        <v>13</v>
      </c>
      <c r="I153" s="17">
        <f>ROUND(VLOOKUP(H$139&amp;"_2",管理者用人口入力シート!BH:CE,J153,FALSE),0)</f>
        <v>13</v>
      </c>
      <c r="J153" s="2">
        <v>16</v>
      </c>
      <c r="N153" s="2" t="s">
        <v>12</v>
      </c>
      <c r="O153" s="17">
        <f>ROUND(VLOOKUP(O$139&amp;"_1",管理者用人口入力シート!CO:DL,Q153,FALSE),0)</f>
        <v>13</v>
      </c>
      <c r="P153" s="17">
        <f>ROUND(VLOOKUP(O$139&amp;"_2",管理者用人口入力シート!CO:DL,Q153,FALSE),0)</f>
        <v>13</v>
      </c>
      <c r="Q153" s="2">
        <v>16</v>
      </c>
    </row>
    <row r="154" spans="7:17" x14ac:dyDescent="0.15">
      <c r="G154" s="2" t="s">
        <v>13</v>
      </c>
      <c r="H154" s="17">
        <f>ROUND(VLOOKUP(H$139&amp;"_1",管理者用人口入力シート!BH:CE,J154,FALSE),0)</f>
        <v>15</v>
      </c>
      <c r="I154" s="17">
        <f>ROUND(VLOOKUP(H$139&amp;"_2",管理者用人口入力シート!BH:CE,J154,FALSE),0)</f>
        <v>14</v>
      </c>
      <c r="J154" s="2">
        <v>17</v>
      </c>
      <c r="N154" s="2" t="s">
        <v>13</v>
      </c>
      <c r="O154" s="17">
        <f>ROUND(VLOOKUP(O$139&amp;"_1",管理者用人口入力シート!CO:DL,Q154,FALSE),0)</f>
        <v>15</v>
      </c>
      <c r="P154" s="17">
        <f>ROUND(VLOOKUP(O$139&amp;"_2",管理者用人口入力シート!CO:DL,Q154,FALSE),0)</f>
        <v>14</v>
      </c>
      <c r="Q154" s="2">
        <v>17</v>
      </c>
    </row>
    <row r="155" spans="7:17" x14ac:dyDescent="0.15">
      <c r="G155" s="2" t="s">
        <v>14</v>
      </c>
      <c r="H155" s="17">
        <f>ROUND(VLOOKUP(H$139&amp;"_1",管理者用人口入力シート!BH:CE,J155,FALSE),0)</f>
        <v>12</v>
      </c>
      <c r="I155" s="17">
        <f>ROUND(VLOOKUP(H$139&amp;"_2",管理者用人口入力シート!BH:CE,J155,FALSE),0)</f>
        <v>18</v>
      </c>
      <c r="J155" s="2">
        <v>18</v>
      </c>
      <c r="N155" s="2" t="s">
        <v>14</v>
      </c>
      <c r="O155" s="17">
        <f>ROUND(VLOOKUP(O$139&amp;"_1",管理者用人口入力シート!CO:DL,Q155,FALSE),0)</f>
        <v>12</v>
      </c>
      <c r="P155" s="17">
        <f>ROUND(VLOOKUP(O$139&amp;"_2",管理者用人口入力シート!CO:DL,Q155,FALSE),0)</f>
        <v>18</v>
      </c>
      <c r="Q155" s="2">
        <v>18</v>
      </c>
    </row>
    <row r="156" spans="7:17" x14ac:dyDescent="0.15">
      <c r="G156" s="2" t="s">
        <v>15</v>
      </c>
      <c r="H156" s="17">
        <f>ROUND(VLOOKUP(H$139&amp;"_1",管理者用人口入力シート!BH:CE,J156,FALSE),0)</f>
        <v>14</v>
      </c>
      <c r="I156" s="17">
        <f>ROUND(VLOOKUP(H$139&amp;"_2",管理者用人口入力シート!BH:CE,J156,FALSE),0)</f>
        <v>16</v>
      </c>
      <c r="J156" s="2">
        <v>19</v>
      </c>
      <c r="N156" s="2" t="s">
        <v>15</v>
      </c>
      <c r="O156" s="17">
        <f>ROUND(VLOOKUP(O$139&amp;"_1",管理者用人口入力シート!CO:DL,Q156,FALSE),0)</f>
        <v>14</v>
      </c>
      <c r="P156" s="17">
        <f>ROUND(VLOOKUP(O$139&amp;"_2",管理者用人口入力シート!CO:DL,Q156,FALSE),0)</f>
        <v>16</v>
      </c>
      <c r="Q156" s="2">
        <v>19</v>
      </c>
    </row>
    <row r="157" spans="7:17" x14ac:dyDescent="0.15">
      <c r="G157" s="2" t="s">
        <v>16</v>
      </c>
      <c r="H157" s="17">
        <f>ROUND(VLOOKUP(H$139&amp;"_1",管理者用人口入力シート!BH:CE,J157,FALSE),0)</f>
        <v>16</v>
      </c>
      <c r="I157" s="17">
        <f>ROUND(VLOOKUP(H$139&amp;"_2",管理者用人口入力シート!BH:CE,J157,FALSE),0)</f>
        <v>14</v>
      </c>
      <c r="J157" s="2">
        <v>20</v>
      </c>
      <c r="N157" s="2" t="s">
        <v>16</v>
      </c>
      <c r="O157" s="17">
        <f>ROUND(VLOOKUP(O$139&amp;"_1",管理者用人口入力シート!CO:DL,Q157,FALSE),0)</f>
        <v>16</v>
      </c>
      <c r="P157" s="17">
        <f>ROUND(VLOOKUP(O$139&amp;"_2",管理者用人口入力シート!CO:DL,Q157,FALSE),0)</f>
        <v>14</v>
      </c>
      <c r="Q157" s="2">
        <v>20</v>
      </c>
    </row>
    <row r="158" spans="7:17" x14ac:dyDescent="0.15">
      <c r="G158" s="2" t="s">
        <v>17</v>
      </c>
      <c r="H158" s="17">
        <f>ROUND(VLOOKUP(H$139&amp;"_1",管理者用人口入力シート!BH:CE,J158,FALSE),0)</f>
        <v>11</v>
      </c>
      <c r="I158" s="17">
        <f>ROUND(VLOOKUP(H$139&amp;"_2",管理者用人口入力シート!BH:CE,J158,FALSE),0)</f>
        <v>13</v>
      </c>
      <c r="J158" s="2">
        <v>21</v>
      </c>
      <c r="N158" s="2" t="s">
        <v>17</v>
      </c>
      <c r="O158" s="17">
        <f>ROUND(VLOOKUP(O$139&amp;"_1",管理者用人口入力シート!CO:DL,Q158,FALSE),0)</f>
        <v>11</v>
      </c>
      <c r="P158" s="17">
        <f>ROUND(VLOOKUP(O$139&amp;"_2",管理者用人口入力シート!CO:DL,Q158,FALSE),0)</f>
        <v>13</v>
      </c>
      <c r="Q158" s="2">
        <v>21</v>
      </c>
    </row>
    <row r="159" spans="7:17" x14ac:dyDescent="0.15">
      <c r="G159" s="2" t="s">
        <v>18</v>
      </c>
      <c r="H159" s="17">
        <f>ROUND(VLOOKUP(H$139&amp;"_1",管理者用人口入力シート!BH:CE,J159,FALSE),0)</f>
        <v>5</v>
      </c>
      <c r="I159" s="17">
        <f>ROUND(VLOOKUP(H$139&amp;"_2",管理者用人口入力シート!BH:CE,J159,FALSE),0)</f>
        <v>5</v>
      </c>
      <c r="J159" s="2">
        <v>22</v>
      </c>
      <c r="N159" s="2" t="s">
        <v>18</v>
      </c>
      <c r="O159" s="17">
        <f>ROUND(VLOOKUP(O$139&amp;"_1",管理者用人口入力シート!CO:DL,Q159,FALSE),0)</f>
        <v>5</v>
      </c>
      <c r="P159" s="17">
        <f>ROUND(VLOOKUP(O$139&amp;"_2",管理者用人口入力シート!CO:DL,Q159,FALSE),0)</f>
        <v>5</v>
      </c>
      <c r="Q159" s="2">
        <v>22</v>
      </c>
    </row>
    <row r="160" spans="7:17" x14ac:dyDescent="0.15">
      <c r="G160" s="2" t="s">
        <v>19</v>
      </c>
      <c r="H160" s="17">
        <f>ROUND(VLOOKUP(H$139&amp;"_1",管理者用人口入力シート!BH:CE,J160,FALSE),0)</f>
        <v>0</v>
      </c>
      <c r="I160" s="17">
        <f>ROUND(VLOOKUP(H$139&amp;"_2",管理者用人口入力シート!BH:CE,J160,FALSE),0)</f>
        <v>1</v>
      </c>
      <c r="J160" s="2">
        <v>23</v>
      </c>
      <c r="N160" s="2" t="s">
        <v>19</v>
      </c>
      <c r="O160" s="17">
        <f>ROUND(VLOOKUP(O$139&amp;"_1",管理者用人口入力シート!CO:DL,Q160,FALSE),0)</f>
        <v>0</v>
      </c>
      <c r="P160" s="17">
        <f>ROUND(VLOOKUP(O$139&amp;"_2",管理者用人口入力シート!CO:DL,Q160,FALSE),0)</f>
        <v>1</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4</v>
      </c>
      <c r="P165" s="17">
        <f>ROUND(VLOOKUP(O$163&amp;"_2",管理者用人口入力シート!CO:DL,Q165,FALSE),0)</f>
        <v>5</v>
      </c>
      <c r="Q165" s="2">
        <v>4</v>
      </c>
    </row>
    <row r="166" spans="7:17" x14ac:dyDescent="0.15">
      <c r="G166" s="2" t="s">
        <v>1</v>
      </c>
      <c r="H166" s="17">
        <f>ROUND(VLOOKUP(H$163&amp;"_1",管理者用人口入力シート!BH:CE,J166,FALSE),0)</f>
        <v>1</v>
      </c>
      <c r="I166" s="17">
        <f>ROUND(VLOOKUP(H$163&amp;"_2",管理者用人口入力シート!BH:CE,J166,FALSE),0)</f>
        <v>2</v>
      </c>
      <c r="J166" s="2">
        <v>5</v>
      </c>
      <c r="N166" s="2" t="s">
        <v>1</v>
      </c>
      <c r="O166" s="17">
        <f>ROUND(VLOOKUP(O$163&amp;"_1",管理者用人口入力シート!CO:DL,Q166,FALSE),0)</f>
        <v>4</v>
      </c>
      <c r="P166" s="17">
        <f>ROUND(VLOOKUP(O$163&amp;"_2",管理者用人口入力シート!CO:DL,Q166,FALSE),0)</f>
        <v>5</v>
      </c>
      <c r="Q166" s="2">
        <v>5</v>
      </c>
    </row>
    <row r="167" spans="7:17" x14ac:dyDescent="0.15">
      <c r="G167" s="2" t="s">
        <v>2</v>
      </c>
      <c r="H167" s="17">
        <f>ROUND(VLOOKUP(H$163&amp;"_1",管理者用人口入力シート!BH:CE,J167,FALSE),0)</f>
        <v>2</v>
      </c>
      <c r="I167" s="17">
        <f>ROUND(VLOOKUP(H$163&amp;"_2",管理者用人口入力シート!BH:CE,J167,FALSE),0)</f>
        <v>2</v>
      </c>
      <c r="J167" s="2">
        <v>6</v>
      </c>
      <c r="N167" s="2" t="s">
        <v>2</v>
      </c>
      <c r="O167" s="17">
        <f>ROUND(VLOOKUP(O$163&amp;"_1",管理者用人口入力シート!CO:DL,Q167,FALSE),0)</f>
        <v>5</v>
      </c>
      <c r="P167" s="17">
        <f>ROUND(VLOOKUP(O$163&amp;"_2",管理者用人口入力シート!CO:DL,Q167,FALSE),0)</f>
        <v>4</v>
      </c>
      <c r="Q167" s="2">
        <v>6</v>
      </c>
    </row>
    <row r="168" spans="7:17" x14ac:dyDescent="0.15">
      <c r="G168" s="2" t="s">
        <v>3</v>
      </c>
      <c r="H168" s="17">
        <f>ROUND(VLOOKUP(H$163&amp;"_1",管理者用人口入力シート!BH:CE,J168,FALSE),0)</f>
        <v>2</v>
      </c>
      <c r="I168" s="17">
        <f>ROUND(VLOOKUP(H$163&amp;"_2",管理者用人口入力シート!BH:CE,J168,FALSE),0)</f>
        <v>2</v>
      </c>
      <c r="J168" s="2">
        <v>7</v>
      </c>
      <c r="N168" s="2" t="s">
        <v>3</v>
      </c>
      <c r="O168" s="17">
        <f>ROUND(VLOOKUP(O$163&amp;"_1",管理者用人口入力シート!CO:DL,Q168,FALSE),0)</f>
        <v>4</v>
      </c>
      <c r="P168" s="17">
        <f>ROUND(VLOOKUP(O$163&amp;"_2",管理者用人口入力シート!CO:DL,Q168,FALSE),0)</f>
        <v>4</v>
      </c>
      <c r="Q168" s="2">
        <v>7</v>
      </c>
    </row>
    <row r="169" spans="7:17" x14ac:dyDescent="0.15">
      <c r="G169" s="2" t="s">
        <v>4</v>
      </c>
      <c r="H169" s="17">
        <f>ROUND(VLOOKUP(H$163&amp;"_1",管理者用人口入力シート!BH:CE,J169,FALSE),0)</f>
        <v>3</v>
      </c>
      <c r="I169" s="17">
        <f>ROUND(VLOOKUP(H$163&amp;"_2",管理者用人口入力シート!BH:CE,J169,FALSE),0)</f>
        <v>1</v>
      </c>
      <c r="J169" s="2">
        <v>8</v>
      </c>
      <c r="N169" s="2" t="s">
        <v>4</v>
      </c>
      <c r="O169" s="17">
        <f>ROUND(VLOOKUP(O$163&amp;"_1",管理者用人口入力シート!CO:DL,Q169,FALSE),0)</f>
        <v>4</v>
      </c>
      <c r="P169" s="17">
        <f>ROUND(VLOOKUP(O$163&amp;"_2",管理者用人口入力シート!CO:DL,Q169,FALSE),0)</f>
        <v>1</v>
      </c>
      <c r="Q169" s="2">
        <v>8</v>
      </c>
    </row>
    <row r="170" spans="7:17" x14ac:dyDescent="0.15">
      <c r="G170" s="2" t="s">
        <v>5</v>
      </c>
      <c r="H170" s="17">
        <f>ROUND(VLOOKUP(H$163&amp;"_1",管理者用人口入力シート!BH:CE,J170,FALSE),0)</f>
        <v>4</v>
      </c>
      <c r="I170" s="17">
        <f>ROUND(VLOOKUP(H$163&amp;"_2",管理者用人口入力シート!BH:CE,J170,FALSE),0)</f>
        <v>2</v>
      </c>
      <c r="J170" s="2">
        <v>9</v>
      </c>
      <c r="N170" s="2" t="s">
        <v>5</v>
      </c>
      <c r="O170" s="17">
        <f>ROUND(VLOOKUP(O$163&amp;"_1",管理者用人口入力シート!CO:DL,Q170,FALSE),0)</f>
        <v>7</v>
      </c>
      <c r="P170" s="17">
        <f>ROUND(VLOOKUP(O$163&amp;"_2",管理者用人口入力シート!CO:DL,Q170,FALSE),0)</f>
        <v>4</v>
      </c>
      <c r="Q170" s="2">
        <v>9</v>
      </c>
    </row>
    <row r="171" spans="7:17" x14ac:dyDescent="0.15">
      <c r="G171" s="2" t="s">
        <v>6</v>
      </c>
      <c r="H171" s="17">
        <f>ROUND(VLOOKUP(H$163&amp;"_1",管理者用人口入力シート!BH:CE,J171,FALSE),0)</f>
        <v>10</v>
      </c>
      <c r="I171" s="17">
        <f>ROUND(VLOOKUP(H$163&amp;"_2",管理者用人口入力シート!BH:CE,J171,FALSE),0)</f>
        <v>1</v>
      </c>
      <c r="J171" s="2">
        <v>10</v>
      </c>
      <c r="N171" s="2" t="s">
        <v>6</v>
      </c>
      <c r="O171" s="17">
        <f>ROUND(VLOOKUP(O$163&amp;"_1",管理者用人口入力シート!CO:DL,Q171,FALSE),0)</f>
        <v>13</v>
      </c>
      <c r="P171" s="17">
        <f>ROUND(VLOOKUP(O$163&amp;"_2",管理者用人口入力シート!CO:DL,Q171,FALSE),0)</f>
        <v>3</v>
      </c>
      <c r="Q171" s="2">
        <v>10</v>
      </c>
    </row>
    <row r="172" spans="7:17" x14ac:dyDescent="0.15">
      <c r="G172" s="2" t="s">
        <v>7</v>
      </c>
      <c r="H172" s="17">
        <f>ROUND(VLOOKUP(H$163&amp;"_1",管理者用人口入力シート!BH:CE,J172,FALSE),0)</f>
        <v>6</v>
      </c>
      <c r="I172" s="17">
        <f>ROUND(VLOOKUP(H$163&amp;"_2",管理者用人口入力シート!BH:CE,J172,FALSE),0)</f>
        <v>3</v>
      </c>
      <c r="J172" s="2">
        <v>11</v>
      </c>
      <c r="N172" s="2" t="s">
        <v>7</v>
      </c>
      <c r="O172" s="17">
        <f>ROUND(VLOOKUP(O$163&amp;"_1",管理者用人口入力シート!CO:DL,Q172,FALSE),0)</f>
        <v>7</v>
      </c>
      <c r="P172" s="17">
        <f>ROUND(VLOOKUP(O$163&amp;"_2",管理者用人口入力シート!CO:DL,Q172,FALSE),0)</f>
        <v>5</v>
      </c>
      <c r="Q172" s="2">
        <v>11</v>
      </c>
    </row>
    <row r="173" spans="7:17" x14ac:dyDescent="0.15">
      <c r="G173" s="2" t="s">
        <v>8</v>
      </c>
      <c r="H173" s="17">
        <f>ROUND(VLOOKUP(H$163&amp;"_1",管理者用人口入力シート!BH:CE,J173,FALSE),0)</f>
        <v>8</v>
      </c>
      <c r="I173" s="17">
        <f>ROUND(VLOOKUP(H$163&amp;"_2",管理者用人口入力シート!BH:CE,J173,FALSE),0)</f>
        <v>1</v>
      </c>
      <c r="J173" s="2">
        <v>12</v>
      </c>
      <c r="N173" s="2" t="s">
        <v>8</v>
      </c>
      <c r="O173" s="17">
        <f>ROUND(VLOOKUP(O$163&amp;"_1",管理者用人口入力シート!CO:DL,Q173,FALSE),0)</f>
        <v>10</v>
      </c>
      <c r="P173" s="17">
        <f>ROUND(VLOOKUP(O$163&amp;"_2",管理者用人口入力シート!CO:DL,Q173,FALSE),0)</f>
        <v>4</v>
      </c>
      <c r="Q173" s="2">
        <v>12</v>
      </c>
    </row>
    <row r="174" spans="7:17" x14ac:dyDescent="0.15">
      <c r="G174" s="2" t="s">
        <v>9</v>
      </c>
      <c r="H174" s="17">
        <f>ROUND(VLOOKUP(H$163&amp;"_1",管理者用人口入力シート!BH:CE,J174,FALSE),0)</f>
        <v>12</v>
      </c>
      <c r="I174" s="17">
        <f>ROUND(VLOOKUP(H$163&amp;"_2",管理者用人口入力シート!BH:CE,J174,FALSE),0)</f>
        <v>1</v>
      </c>
      <c r="J174" s="2">
        <v>13</v>
      </c>
      <c r="N174" s="2" t="s">
        <v>9</v>
      </c>
      <c r="O174" s="17">
        <f>ROUND(VLOOKUP(O$163&amp;"_1",管理者用人口入力シート!CO:DL,Q174,FALSE),0)</f>
        <v>14</v>
      </c>
      <c r="P174" s="17">
        <f>ROUND(VLOOKUP(O$163&amp;"_2",管理者用人口入力シート!CO:DL,Q174,FALSE),0)</f>
        <v>4</v>
      </c>
      <c r="Q174" s="2">
        <v>13</v>
      </c>
    </row>
    <row r="175" spans="7:17" x14ac:dyDescent="0.15">
      <c r="G175" s="2" t="s">
        <v>10</v>
      </c>
      <c r="H175" s="17">
        <f>ROUND(VLOOKUP(H$163&amp;"_1",管理者用人口入力シート!BH:CE,J175,FALSE),0)</f>
        <v>13</v>
      </c>
      <c r="I175" s="17">
        <f>ROUND(VLOOKUP(H$163&amp;"_2",管理者用人口入力シート!BH:CE,J175,FALSE),0)</f>
        <v>7</v>
      </c>
      <c r="J175" s="2">
        <v>14</v>
      </c>
      <c r="N175" s="2" t="s">
        <v>10</v>
      </c>
      <c r="O175" s="17">
        <f>ROUND(VLOOKUP(O$163&amp;"_1",管理者用人口入力シート!CO:DL,Q175,FALSE),0)</f>
        <v>13</v>
      </c>
      <c r="P175" s="17">
        <f>ROUND(VLOOKUP(O$163&amp;"_2",管理者用人口入力シート!CO:DL,Q175,FALSE),0)</f>
        <v>8</v>
      </c>
      <c r="Q175" s="2">
        <v>14</v>
      </c>
    </row>
    <row r="176" spans="7:17" x14ac:dyDescent="0.15">
      <c r="G176" s="2" t="s">
        <v>11</v>
      </c>
      <c r="H176" s="17">
        <f>ROUND(VLOOKUP(H$163&amp;"_1",管理者用人口入力シート!BH:CE,J176,FALSE),0)</f>
        <v>6</v>
      </c>
      <c r="I176" s="17">
        <f>ROUND(VLOOKUP(H$163&amp;"_2",管理者用人口入力シート!BH:CE,J176,FALSE),0)</f>
        <v>9</v>
      </c>
      <c r="J176" s="2">
        <v>15</v>
      </c>
      <c r="N176" s="2" t="s">
        <v>11</v>
      </c>
      <c r="O176" s="17">
        <f>ROUND(VLOOKUP(O$163&amp;"_1",管理者用人口入力シート!CO:DL,Q176,FALSE),0)</f>
        <v>6</v>
      </c>
      <c r="P176" s="17">
        <f>ROUND(VLOOKUP(O$163&amp;"_2",管理者用人口入力シート!CO:DL,Q176,FALSE),0)</f>
        <v>10</v>
      </c>
      <c r="Q176" s="2">
        <v>15</v>
      </c>
    </row>
    <row r="177" spans="7:17" x14ac:dyDescent="0.15">
      <c r="G177" s="2" t="s">
        <v>12</v>
      </c>
      <c r="H177" s="17">
        <f>ROUND(VLOOKUP(H$163&amp;"_1",管理者用人口入力シート!BH:CE,J177,FALSE),0)</f>
        <v>9</v>
      </c>
      <c r="I177" s="17">
        <f>ROUND(VLOOKUP(H$163&amp;"_2",管理者用人口入力シート!BH:CE,J177,FALSE),0)</f>
        <v>7</v>
      </c>
      <c r="J177" s="2">
        <v>16</v>
      </c>
      <c r="N177" s="2" t="s">
        <v>12</v>
      </c>
      <c r="O177" s="17">
        <f>ROUND(VLOOKUP(O$163&amp;"_1",管理者用人口入力シート!CO:DL,Q177,FALSE),0)</f>
        <v>9</v>
      </c>
      <c r="P177" s="17">
        <f>ROUND(VLOOKUP(O$163&amp;"_2",管理者用人口入力シート!CO:DL,Q177,FALSE),0)</f>
        <v>8</v>
      </c>
      <c r="Q177" s="2">
        <v>16</v>
      </c>
    </row>
    <row r="178" spans="7:17" x14ac:dyDescent="0.15">
      <c r="G178" s="2" t="s">
        <v>13</v>
      </c>
      <c r="H178" s="17">
        <f>ROUND(VLOOKUP(H$163&amp;"_1",管理者用人口入力シート!BH:CE,J178,FALSE),0)</f>
        <v>14</v>
      </c>
      <c r="I178" s="17">
        <f>ROUND(VLOOKUP(H$163&amp;"_2",管理者用人口入力シート!BH:CE,J178,FALSE),0)</f>
        <v>13</v>
      </c>
      <c r="J178" s="2">
        <v>17</v>
      </c>
      <c r="N178" s="2" t="s">
        <v>13</v>
      </c>
      <c r="O178" s="17">
        <f>ROUND(VLOOKUP(O$163&amp;"_1",管理者用人口入力シート!CO:DL,Q178,FALSE),0)</f>
        <v>14</v>
      </c>
      <c r="P178" s="17">
        <f>ROUND(VLOOKUP(O$163&amp;"_2",管理者用人口入力シート!CO:DL,Q178,FALSE),0)</f>
        <v>13</v>
      </c>
      <c r="Q178" s="2">
        <v>17</v>
      </c>
    </row>
    <row r="179" spans="7:17" x14ac:dyDescent="0.15">
      <c r="G179" s="2" t="s">
        <v>14</v>
      </c>
      <c r="H179" s="17">
        <f>ROUND(VLOOKUP(H$163&amp;"_1",管理者用人口入力シート!BH:CE,J179,FALSE),0)</f>
        <v>14</v>
      </c>
      <c r="I179" s="17">
        <f>ROUND(VLOOKUP(H$163&amp;"_2",管理者用人口入力シート!BH:CE,J179,FALSE),0)</f>
        <v>14</v>
      </c>
      <c r="J179" s="2">
        <v>18</v>
      </c>
      <c r="N179" s="2" t="s">
        <v>14</v>
      </c>
      <c r="O179" s="17">
        <f>ROUND(VLOOKUP(O$163&amp;"_1",管理者用人口入力シート!CO:DL,Q179,FALSE),0)</f>
        <v>14</v>
      </c>
      <c r="P179" s="17">
        <f>ROUND(VLOOKUP(O$163&amp;"_2",管理者用人口入力シート!CO:DL,Q179,FALSE),0)</f>
        <v>14</v>
      </c>
      <c r="Q179" s="2">
        <v>18</v>
      </c>
    </row>
    <row r="180" spans="7:17" x14ac:dyDescent="0.15">
      <c r="G180" s="2" t="s">
        <v>15</v>
      </c>
      <c r="H180" s="17">
        <f>ROUND(VLOOKUP(H$163&amp;"_1",管理者用人口入力シート!BH:CE,J180,FALSE),0)</f>
        <v>11</v>
      </c>
      <c r="I180" s="17">
        <f>ROUND(VLOOKUP(H$163&amp;"_2",管理者用人口入力シート!BH:CE,J180,FALSE),0)</f>
        <v>15</v>
      </c>
      <c r="J180" s="2">
        <v>19</v>
      </c>
      <c r="N180" s="2" t="s">
        <v>15</v>
      </c>
      <c r="O180" s="17">
        <f>ROUND(VLOOKUP(O$163&amp;"_1",管理者用人口入力シート!CO:DL,Q180,FALSE),0)</f>
        <v>11</v>
      </c>
      <c r="P180" s="17">
        <f>ROUND(VLOOKUP(O$163&amp;"_2",管理者用人口入力シート!CO:DL,Q180,FALSE),0)</f>
        <v>15</v>
      </c>
      <c r="Q180" s="2">
        <v>19</v>
      </c>
    </row>
    <row r="181" spans="7:17" x14ac:dyDescent="0.15">
      <c r="G181" s="2" t="s">
        <v>16</v>
      </c>
      <c r="H181" s="17">
        <f>ROUND(VLOOKUP(H$163&amp;"_1",管理者用人口入力シート!BH:CE,J181,FALSE),0)</f>
        <v>10</v>
      </c>
      <c r="I181" s="17">
        <f>ROUND(VLOOKUP(H$163&amp;"_2",管理者用人口入力シート!BH:CE,J181,FALSE),0)</f>
        <v>12</v>
      </c>
      <c r="J181" s="2">
        <v>20</v>
      </c>
      <c r="N181" s="2" t="s">
        <v>16</v>
      </c>
      <c r="O181" s="17">
        <f>ROUND(VLOOKUP(O$163&amp;"_1",管理者用人口入力シート!CO:DL,Q181,FALSE),0)</f>
        <v>10</v>
      </c>
      <c r="P181" s="17">
        <f>ROUND(VLOOKUP(O$163&amp;"_2",管理者用人口入力シート!CO:DL,Q181,FALSE),0)</f>
        <v>12</v>
      </c>
      <c r="Q181" s="2">
        <v>20</v>
      </c>
    </row>
    <row r="182" spans="7:17" x14ac:dyDescent="0.15">
      <c r="G182" s="2" t="s">
        <v>17</v>
      </c>
      <c r="H182" s="17">
        <f>ROUND(VLOOKUP(H$163&amp;"_1",管理者用人口入力シート!BH:CE,J182,FALSE),0)</f>
        <v>10</v>
      </c>
      <c r="I182" s="17">
        <f>ROUND(VLOOKUP(H$163&amp;"_2",管理者用人口入力シート!BH:CE,J182,FALSE),0)</f>
        <v>9</v>
      </c>
      <c r="J182" s="2">
        <v>21</v>
      </c>
      <c r="N182" s="2" t="s">
        <v>17</v>
      </c>
      <c r="O182" s="17">
        <f>ROUND(VLOOKUP(O$163&amp;"_1",管理者用人口入力シート!CO:DL,Q182,FALSE),0)</f>
        <v>10</v>
      </c>
      <c r="P182" s="17">
        <f>ROUND(VLOOKUP(O$163&amp;"_2",管理者用人口入力シート!CO:DL,Q182,FALSE),0)</f>
        <v>9</v>
      </c>
      <c r="Q182" s="2">
        <v>21</v>
      </c>
    </row>
    <row r="183" spans="7:17" x14ac:dyDescent="0.15">
      <c r="G183" s="2" t="s">
        <v>18</v>
      </c>
      <c r="H183" s="17">
        <f>ROUND(VLOOKUP(H$163&amp;"_1",管理者用人口入力シート!BH:CE,J183,FALSE),0)</f>
        <v>5</v>
      </c>
      <c r="I183" s="17">
        <f>ROUND(VLOOKUP(H$163&amp;"_2",管理者用人口入力シート!BH:CE,J183,FALSE),0)</f>
        <v>6</v>
      </c>
      <c r="J183" s="2">
        <v>22</v>
      </c>
      <c r="N183" s="2" t="s">
        <v>18</v>
      </c>
      <c r="O183" s="17">
        <f>ROUND(VLOOKUP(O$163&amp;"_1",管理者用人口入力シート!CO:DL,Q183,FALSE),0)</f>
        <v>5</v>
      </c>
      <c r="P183" s="17">
        <f>ROUND(VLOOKUP(O$163&amp;"_2",管理者用人口入力シート!CO:DL,Q183,FALSE),0)</f>
        <v>6</v>
      </c>
      <c r="Q183" s="2">
        <v>22</v>
      </c>
    </row>
    <row r="184" spans="7:17" x14ac:dyDescent="0.15">
      <c r="G184" s="2" t="s">
        <v>19</v>
      </c>
      <c r="H184" s="17">
        <f>ROUND(VLOOKUP(H$163&amp;"_1",管理者用人口入力シート!BH:CE,J184,FALSE),0)</f>
        <v>0</v>
      </c>
      <c r="I184" s="17">
        <f>ROUND(VLOOKUP(H$163&amp;"_2",管理者用人口入力シート!BH:CE,J184,FALSE),0)</f>
        <v>1</v>
      </c>
      <c r="J184" s="2">
        <v>23</v>
      </c>
      <c r="N184" s="2" t="s">
        <v>19</v>
      </c>
      <c r="O184" s="17">
        <f>ROUND(VLOOKUP(O$163&amp;"_1",管理者用人口入力シート!CO:DL,Q184,FALSE),0)</f>
        <v>0</v>
      </c>
      <c r="P184" s="17">
        <f>ROUND(VLOOKUP(O$163&amp;"_2",管理者用人口入力シート!CO:DL,Q184,FALSE),0)</f>
        <v>1</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1</v>
      </c>
      <c r="I190" s="17">
        <f>ROUND(VLOOKUP(H$187&amp;"_2",管理者用人口入力シート!BH:CE,J190,FALSE),0)</f>
        <v>2</v>
      </c>
      <c r="J190" s="2">
        <v>5</v>
      </c>
      <c r="N190" s="2" t="s">
        <v>1</v>
      </c>
      <c r="O190" s="17">
        <f>ROUND(VLOOKUP(O$187&amp;"_1",管理者用人口入力シート!CO:DL,Q190,FALSE),0)</f>
        <v>4</v>
      </c>
      <c r="P190" s="17">
        <f>ROUND(VLOOKUP(O$187&amp;"_2",管理者用人口入力シート!CO:DL,Q190,FALSE),0)</f>
        <v>5</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5</v>
      </c>
      <c r="P191" s="17">
        <f>ROUND(VLOOKUP(O$187&amp;"_2",管理者用人口入力シート!CO:DL,Q191,FALSE),0)</f>
        <v>4</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3</v>
      </c>
      <c r="Q192" s="2">
        <v>7</v>
      </c>
    </row>
    <row r="193" spans="7:17" x14ac:dyDescent="0.15">
      <c r="G193" s="2" t="s">
        <v>4</v>
      </c>
      <c r="H193" s="17">
        <f>ROUND(VLOOKUP(H$187&amp;"_1",管理者用人口入力シート!BH:CE,J193,FALSE),0)</f>
        <v>2</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1</v>
      </c>
      <c r="Q193" s="2">
        <v>8</v>
      </c>
    </row>
    <row r="194" spans="7:17" x14ac:dyDescent="0.15">
      <c r="G194" s="2" t="s">
        <v>5</v>
      </c>
      <c r="H194" s="17">
        <f>ROUND(VLOOKUP(H$187&amp;"_1",管理者用人口入力シート!BH:CE,J194,FALSE),0)</f>
        <v>3</v>
      </c>
      <c r="I194" s="17">
        <f>ROUND(VLOOKUP(H$187&amp;"_2",管理者用人口入力シート!BH:CE,J194,FALSE),0)</f>
        <v>1</v>
      </c>
      <c r="J194" s="2">
        <v>9</v>
      </c>
      <c r="N194" s="2" t="s">
        <v>5</v>
      </c>
      <c r="O194" s="17">
        <f>ROUND(VLOOKUP(O$187&amp;"_1",管理者用人口入力シート!CO:DL,Q194,FALSE),0)</f>
        <v>7</v>
      </c>
      <c r="P194" s="17">
        <f>ROUND(VLOOKUP(O$187&amp;"_2",管理者用人口入力シート!CO:DL,Q194,FALSE),0)</f>
        <v>4</v>
      </c>
      <c r="Q194" s="2">
        <v>9</v>
      </c>
    </row>
    <row r="195" spans="7:17" x14ac:dyDescent="0.15">
      <c r="G195" s="2" t="s">
        <v>6</v>
      </c>
      <c r="H195" s="17">
        <f>ROUND(VLOOKUP(H$187&amp;"_1",管理者用人口入力シート!BH:CE,J195,FALSE),0)</f>
        <v>5</v>
      </c>
      <c r="I195" s="17">
        <f>ROUND(VLOOKUP(H$187&amp;"_2",管理者用人口入力シート!BH:CE,J195,FALSE),0)</f>
        <v>2</v>
      </c>
      <c r="J195" s="2">
        <v>10</v>
      </c>
      <c r="N195" s="2" t="s">
        <v>6</v>
      </c>
      <c r="O195" s="17">
        <f>ROUND(VLOOKUP(O$187&amp;"_1",管理者用人口入力シート!CO:DL,Q195,FALSE),0)</f>
        <v>8</v>
      </c>
      <c r="P195" s="17">
        <f>ROUND(VLOOKUP(O$187&amp;"_2",管理者用人口入力シート!CO:DL,Q195,FALSE),0)</f>
        <v>4</v>
      </c>
      <c r="Q195" s="2">
        <v>10</v>
      </c>
    </row>
    <row r="196" spans="7:17" x14ac:dyDescent="0.15">
      <c r="G196" s="2" t="s">
        <v>7</v>
      </c>
      <c r="H196" s="17">
        <f>ROUND(VLOOKUP(H$187&amp;"_1",管理者用人口入力シート!BH:CE,J196,FALSE),0)</f>
        <v>7</v>
      </c>
      <c r="I196" s="17">
        <f>ROUND(VLOOKUP(H$187&amp;"_2",管理者用人口入力シート!BH:CE,J196,FALSE),0)</f>
        <v>1</v>
      </c>
      <c r="J196" s="2">
        <v>11</v>
      </c>
      <c r="N196" s="2" t="s">
        <v>7</v>
      </c>
      <c r="O196" s="17">
        <f>ROUND(VLOOKUP(O$187&amp;"_1",管理者用人口入力シート!CO:DL,Q196,FALSE),0)</f>
        <v>9</v>
      </c>
      <c r="P196" s="17">
        <f>ROUND(VLOOKUP(O$187&amp;"_2",管理者用人口入力シート!CO:DL,Q196,FALSE),0)</f>
        <v>3</v>
      </c>
      <c r="Q196" s="2">
        <v>11</v>
      </c>
    </row>
    <row r="197" spans="7:17" x14ac:dyDescent="0.15">
      <c r="G197" s="2" t="s">
        <v>8</v>
      </c>
      <c r="H197" s="17">
        <f>ROUND(VLOOKUP(H$187&amp;"_1",管理者用人口入力シート!BH:CE,J197,FALSE),0)</f>
        <v>7</v>
      </c>
      <c r="I197" s="17">
        <f>ROUND(VLOOKUP(H$187&amp;"_2",管理者用人口入力シート!BH:CE,J197,FALSE),0)</f>
        <v>3</v>
      </c>
      <c r="J197" s="2">
        <v>12</v>
      </c>
      <c r="N197" s="2" t="s">
        <v>8</v>
      </c>
      <c r="O197" s="17">
        <f>ROUND(VLOOKUP(O$187&amp;"_1",管理者用人口入力シート!CO:DL,Q197,FALSE),0)</f>
        <v>9</v>
      </c>
      <c r="P197" s="17">
        <f>ROUND(VLOOKUP(O$187&amp;"_2",管理者用人口入力シート!CO:DL,Q197,FALSE),0)</f>
        <v>5</v>
      </c>
      <c r="Q197" s="2">
        <v>12</v>
      </c>
    </row>
    <row r="198" spans="7:17" x14ac:dyDescent="0.15">
      <c r="G198" s="2" t="s">
        <v>9</v>
      </c>
      <c r="H198" s="17">
        <f>ROUND(VLOOKUP(H$187&amp;"_1",管理者用人口入力シート!BH:CE,J198,FALSE),0)</f>
        <v>9</v>
      </c>
      <c r="I198" s="17">
        <f>ROUND(VLOOKUP(H$187&amp;"_2",管理者用人口入力シート!BH:CE,J198,FALSE),0)</f>
        <v>1</v>
      </c>
      <c r="J198" s="2">
        <v>13</v>
      </c>
      <c r="N198" s="2" t="s">
        <v>9</v>
      </c>
      <c r="O198" s="17">
        <f>ROUND(VLOOKUP(O$187&amp;"_1",管理者用人口入力シート!CO:DL,Q198,FALSE),0)</f>
        <v>12</v>
      </c>
      <c r="P198" s="17">
        <f>ROUND(VLOOKUP(O$187&amp;"_2",管理者用人口入力シート!CO:DL,Q198,FALSE),0)</f>
        <v>4</v>
      </c>
      <c r="Q198" s="2">
        <v>13</v>
      </c>
    </row>
    <row r="199" spans="7:17" x14ac:dyDescent="0.15">
      <c r="G199" s="2" t="s">
        <v>10</v>
      </c>
      <c r="H199" s="17">
        <f>ROUND(VLOOKUP(H$187&amp;"_1",管理者用人口入力シート!BH:CE,J199,FALSE),0)</f>
        <v>11</v>
      </c>
      <c r="I199" s="17">
        <f>ROUND(VLOOKUP(H$187&amp;"_2",管理者用人口入力シート!BH:CE,J199,FALSE),0)</f>
        <v>2</v>
      </c>
      <c r="J199" s="2">
        <v>14</v>
      </c>
      <c r="N199" s="2" t="s">
        <v>10</v>
      </c>
      <c r="O199" s="17">
        <f>ROUND(VLOOKUP(O$187&amp;"_1",管理者用人口入力シート!CO:DL,Q199,FALSE),0)</f>
        <v>13</v>
      </c>
      <c r="P199" s="17">
        <f>ROUND(VLOOKUP(O$187&amp;"_2",管理者用人口入力シート!CO:DL,Q199,FALSE),0)</f>
        <v>4</v>
      </c>
      <c r="Q199" s="2">
        <v>14</v>
      </c>
    </row>
    <row r="200" spans="7:17" x14ac:dyDescent="0.15">
      <c r="G200" s="2" t="s">
        <v>11</v>
      </c>
      <c r="H200" s="17">
        <f>ROUND(VLOOKUP(H$187&amp;"_1",管理者用人口入力シート!BH:CE,J200,FALSE),0)</f>
        <v>14</v>
      </c>
      <c r="I200" s="17">
        <f>ROUND(VLOOKUP(H$187&amp;"_2",管理者用人口入力シート!BH:CE,J200,FALSE),0)</f>
        <v>7</v>
      </c>
      <c r="J200" s="2">
        <v>15</v>
      </c>
      <c r="N200" s="2" t="s">
        <v>11</v>
      </c>
      <c r="O200" s="17">
        <f>ROUND(VLOOKUP(O$187&amp;"_1",管理者用人口入力シート!CO:DL,Q200,FALSE),0)</f>
        <v>14</v>
      </c>
      <c r="P200" s="17">
        <f>ROUND(VLOOKUP(O$187&amp;"_2",管理者用人口入力シート!CO:DL,Q200,FALSE),0)</f>
        <v>8</v>
      </c>
      <c r="Q200" s="2">
        <v>15</v>
      </c>
    </row>
    <row r="201" spans="7:17" x14ac:dyDescent="0.15">
      <c r="G201" s="2" t="s">
        <v>12</v>
      </c>
      <c r="H201" s="17">
        <f>ROUND(VLOOKUP(H$187&amp;"_1",管理者用人口入力シート!BH:CE,J201,FALSE),0)</f>
        <v>6</v>
      </c>
      <c r="I201" s="17">
        <f>ROUND(VLOOKUP(H$187&amp;"_2",管理者用人口入力シート!BH:CE,J201,FALSE),0)</f>
        <v>10</v>
      </c>
      <c r="J201" s="2">
        <v>16</v>
      </c>
      <c r="N201" s="2" t="s">
        <v>12</v>
      </c>
      <c r="O201" s="17">
        <f>ROUND(VLOOKUP(O$187&amp;"_1",管理者用人口入力シート!CO:DL,Q201,FALSE),0)</f>
        <v>6</v>
      </c>
      <c r="P201" s="17">
        <f>ROUND(VLOOKUP(O$187&amp;"_2",管理者用人口入力シート!CO:DL,Q201,FALSE),0)</f>
        <v>12</v>
      </c>
      <c r="Q201" s="2">
        <v>16</v>
      </c>
    </row>
    <row r="202" spans="7:17" x14ac:dyDescent="0.15">
      <c r="G202" s="2" t="s">
        <v>13</v>
      </c>
      <c r="H202" s="17">
        <f>ROUND(VLOOKUP(H$187&amp;"_1",管理者用人口入力シート!BH:CE,J202,FALSE),0)</f>
        <v>9</v>
      </c>
      <c r="I202" s="17">
        <f>ROUND(VLOOKUP(H$187&amp;"_2",管理者用人口入力シート!BH:CE,J202,FALSE),0)</f>
        <v>7</v>
      </c>
      <c r="J202" s="2">
        <v>17</v>
      </c>
      <c r="N202" s="2" t="s">
        <v>13</v>
      </c>
      <c r="O202" s="17">
        <f>ROUND(VLOOKUP(O$187&amp;"_1",管理者用人口入力シート!CO:DL,Q202,FALSE),0)</f>
        <v>9</v>
      </c>
      <c r="P202" s="17">
        <f>ROUND(VLOOKUP(O$187&amp;"_2",管理者用人口入力シート!CO:DL,Q202,FALSE),0)</f>
        <v>8</v>
      </c>
      <c r="Q202" s="2">
        <v>17</v>
      </c>
    </row>
    <row r="203" spans="7:17" x14ac:dyDescent="0.15">
      <c r="G203" s="2" t="s">
        <v>14</v>
      </c>
      <c r="H203" s="17">
        <f>ROUND(VLOOKUP(H$187&amp;"_1",管理者用人口入力シート!BH:CE,J203,FALSE),0)</f>
        <v>13</v>
      </c>
      <c r="I203" s="17">
        <f>ROUND(VLOOKUP(H$187&amp;"_2",管理者用人口入力シート!BH:CE,J203,FALSE),0)</f>
        <v>12</v>
      </c>
      <c r="J203" s="2">
        <v>18</v>
      </c>
      <c r="N203" s="2" t="s">
        <v>14</v>
      </c>
      <c r="O203" s="17">
        <f>ROUND(VLOOKUP(O$187&amp;"_1",管理者用人口入力シート!CO:DL,Q203,FALSE),0)</f>
        <v>13</v>
      </c>
      <c r="P203" s="17">
        <f>ROUND(VLOOKUP(O$187&amp;"_2",管理者用人口入力シート!CO:DL,Q203,FALSE),0)</f>
        <v>12</v>
      </c>
      <c r="Q203" s="2">
        <v>18</v>
      </c>
    </row>
    <row r="204" spans="7:17" x14ac:dyDescent="0.15">
      <c r="G204" s="2" t="s">
        <v>15</v>
      </c>
      <c r="H204" s="17">
        <f>ROUND(VLOOKUP(H$187&amp;"_1",管理者用人口入力シート!BH:CE,J204,FALSE),0)</f>
        <v>12</v>
      </c>
      <c r="I204" s="17">
        <f>ROUND(VLOOKUP(H$187&amp;"_2",管理者用人口入力シート!BH:CE,J204,FALSE),0)</f>
        <v>12</v>
      </c>
      <c r="J204" s="2">
        <v>19</v>
      </c>
      <c r="N204" s="2" t="s">
        <v>15</v>
      </c>
      <c r="O204" s="17">
        <f>ROUND(VLOOKUP(O$187&amp;"_1",管理者用人口入力シート!CO:DL,Q204,FALSE),0)</f>
        <v>12</v>
      </c>
      <c r="P204" s="17">
        <f>ROUND(VLOOKUP(O$187&amp;"_2",管理者用人口入力シート!CO:DL,Q204,FALSE),0)</f>
        <v>12</v>
      </c>
      <c r="Q204" s="2">
        <v>19</v>
      </c>
    </row>
    <row r="205" spans="7:17" x14ac:dyDescent="0.15">
      <c r="G205" s="2" t="s">
        <v>16</v>
      </c>
      <c r="H205" s="17">
        <f>ROUND(VLOOKUP(H$187&amp;"_1",管理者用人口入力シート!BH:CE,J205,FALSE),0)</f>
        <v>7</v>
      </c>
      <c r="I205" s="17">
        <f>ROUND(VLOOKUP(H$187&amp;"_2",管理者用人口入力シート!BH:CE,J205,FALSE),0)</f>
        <v>12</v>
      </c>
      <c r="J205" s="2">
        <v>20</v>
      </c>
      <c r="N205" s="2" t="s">
        <v>16</v>
      </c>
      <c r="O205" s="17">
        <f>ROUND(VLOOKUP(O$187&amp;"_1",管理者用人口入力シート!CO:DL,Q205,FALSE),0)</f>
        <v>7</v>
      </c>
      <c r="P205" s="17">
        <f>ROUND(VLOOKUP(O$187&amp;"_2",管理者用人口入力シート!CO:DL,Q205,FALSE),0)</f>
        <v>12</v>
      </c>
      <c r="Q205" s="2">
        <v>20</v>
      </c>
    </row>
    <row r="206" spans="7:17" x14ac:dyDescent="0.15">
      <c r="G206" s="2" t="s">
        <v>17</v>
      </c>
      <c r="H206" s="17">
        <f>ROUND(VLOOKUP(H$187&amp;"_1",管理者用人口入力シート!BH:CE,J206,FALSE),0)</f>
        <v>6</v>
      </c>
      <c r="I206" s="17">
        <f>ROUND(VLOOKUP(H$187&amp;"_2",管理者用人口入力シート!BH:CE,J206,FALSE),0)</f>
        <v>8</v>
      </c>
      <c r="J206" s="2">
        <v>21</v>
      </c>
      <c r="N206" s="2" t="s">
        <v>17</v>
      </c>
      <c r="O206" s="17">
        <f>ROUND(VLOOKUP(O$187&amp;"_1",管理者用人口入力シート!CO:DL,Q206,FALSE),0)</f>
        <v>6</v>
      </c>
      <c r="P206" s="17">
        <f>ROUND(VLOOKUP(O$187&amp;"_2",管理者用人口入力シート!CO:DL,Q206,FALSE),0)</f>
        <v>8</v>
      </c>
      <c r="Q206" s="2">
        <v>21</v>
      </c>
    </row>
    <row r="207" spans="7:17" x14ac:dyDescent="0.15">
      <c r="G207" s="2" t="s">
        <v>18</v>
      </c>
      <c r="H207" s="17">
        <f>ROUND(VLOOKUP(H$187&amp;"_1",管理者用人口入力シート!BH:CE,J207,FALSE),0)</f>
        <v>4</v>
      </c>
      <c r="I207" s="17">
        <f>ROUND(VLOOKUP(H$187&amp;"_2",管理者用人口入力シート!BH:CE,J207,FALSE),0)</f>
        <v>4</v>
      </c>
      <c r="J207" s="2">
        <v>22</v>
      </c>
      <c r="N207" s="2" t="s">
        <v>18</v>
      </c>
      <c r="O207" s="17">
        <f>ROUND(VLOOKUP(O$187&amp;"_1",管理者用人口入力シート!CO:DL,Q207,FALSE),0)</f>
        <v>4</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1</v>
      </c>
      <c r="J208" s="2">
        <v>23</v>
      </c>
      <c r="N208" s="2" t="s">
        <v>19</v>
      </c>
      <c r="O208" s="17">
        <f>ROUND(VLOOKUP(O$187&amp;"_1",管理者用人口入力シート!CO:DL,Q208,FALSE),0)</f>
        <v>0</v>
      </c>
      <c r="P208" s="17">
        <f>ROUND(VLOOKUP(O$187&amp;"_2",管理者用人口入力シート!CO:DL,Q208,FALSE),0)</f>
        <v>1</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v>
      </c>
      <c r="P214" s="17">
        <f>O93+P93</f>
        <v>11</v>
      </c>
      <c r="Q214" s="2">
        <v>4</v>
      </c>
    </row>
    <row r="215" spans="7:17" x14ac:dyDescent="0.15">
      <c r="N215" s="2" t="s">
        <v>1</v>
      </c>
      <c r="O215" s="17">
        <f t="shared" ref="O215:O233" si="37">H94+I94</f>
        <v>10</v>
      </c>
      <c r="P215" s="17">
        <f t="shared" ref="P215:P233" si="38">O94+P94</f>
        <v>12</v>
      </c>
      <c r="Q215" s="2">
        <v>5</v>
      </c>
    </row>
    <row r="216" spans="7:17" x14ac:dyDescent="0.15">
      <c r="N216" s="2" t="s">
        <v>2</v>
      </c>
      <c r="O216" s="17">
        <f t="shared" si="37"/>
        <v>12</v>
      </c>
      <c r="P216" s="17">
        <f t="shared" si="38"/>
        <v>14</v>
      </c>
      <c r="Q216" s="2">
        <v>6</v>
      </c>
    </row>
    <row r="217" spans="7:17" x14ac:dyDescent="0.15">
      <c r="N217" s="2" t="s">
        <v>3</v>
      </c>
      <c r="O217" s="17">
        <f t="shared" si="37"/>
        <v>11</v>
      </c>
      <c r="P217" s="17">
        <f t="shared" si="38"/>
        <v>13</v>
      </c>
      <c r="Q217" s="2">
        <v>7</v>
      </c>
    </row>
    <row r="218" spans="7:17" x14ac:dyDescent="0.15">
      <c r="N218" s="2" t="s">
        <v>4</v>
      </c>
      <c r="O218" s="17">
        <f t="shared" si="37"/>
        <v>8</v>
      </c>
      <c r="P218" s="17">
        <f t="shared" si="38"/>
        <v>8</v>
      </c>
      <c r="Q218" s="2">
        <v>8</v>
      </c>
    </row>
    <row r="219" spans="7:17" x14ac:dyDescent="0.15">
      <c r="N219" s="2" t="s">
        <v>5</v>
      </c>
      <c r="O219" s="17">
        <f t="shared" si="37"/>
        <v>11</v>
      </c>
      <c r="P219" s="17">
        <f t="shared" si="38"/>
        <v>15</v>
      </c>
      <c r="Q219" s="2">
        <v>9</v>
      </c>
    </row>
    <row r="220" spans="7:17" x14ac:dyDescent="0.15">
      <c r="N220" s="2" t="s">
        <v>6</v>
      </c>
      <c r="O220" s="17">
        <f t="shared" si="37"/>
        <v>15</v>
      </c>
      <c r="P220" s="17">
        <f t="shared" si="38"/>
        <v>19</v>
      </c>
      <c r="Q220" s="2">
        <v>10</v>
      </c>
    </row>
    <row r="221" spans="7:17" x14ac:dyDescent="0.15">
      <c r="N221" s="2" t="s">
        <v>7</v>
      </c>
      <c r="O221" s="17">
        <f t="shared" si="37"/>
        <v>18</v>
      </c>
      <c r="P221" s="17">
        <f t="shared" si="38"/>
        <v>18</v>
      </c>
      <c r="Q221" s="2">
        <v>11</v>
      </c>
    </row>
    <row r="222" spans="7:17" x14ac:dyDescent="0.15">
      <c r="N222" s="2" t="s">
        <v>8</v>
      </c>
      <c r="O222" s="17">
        <f t="shared" si="37"/>
        <v>14</v>
      </c>
      <c r="P222" s="17">
        <f t="shared" si="38"/>
        <v>15</v>
      </c>
      <c r="Q222" s="2">
        <v>12</v>
      </c>
    </row>
    <row r="223" spans="7:17" x14ac:dyDescent="0.15">
      <c r="N223" s="2" t="s">
        <v>9</v>
      </c>
      <c r="O223" s="17">
        <f t="shared" si="37"/>
        <v>15</v>
      </c>
      <c r="P223" s="17">
        <f t="shared" si="38"/>
        <v>16</v>
      </c>
      <c r="Q223" s="2">
        <v>13</v>
      </c>
    </row>
    <row r="224" spans="7:17" x14ac:dyDescent="0.15">
      <c r="N224" s="2" t="s">
        <v>10</v>
      </c>
      <c r="O224" s="17">
        <f t="shared" si="37"/>
        <v>24</v>
      </c>
      <c r="P224" s="17">
        <f t="shared" si="38"/>
        <v>24</v>
      </c>
      <c r="Q224" s="2">
        <v>14</v>
      </c>
    </row>
    <row r="225" spans="14:17" x14ac:dyDescent="0.15">
      <c r="N225" s="2" t="s">
        <v>11</v>
      </c>
      <c r="O225" s="17">
        <f t="shared" si="37"/>
        <v>27</v>
      </c>
      <c r="P225" s="17">
        <f t="shared" si="38"/>
        <v>27</v>
      </c>
      <c r="Q225" s="2">
        <v>15</v>
      </c>
    </row>
    <row r="226" spans="14:17" x14ac:dyDescent="0.15">
      <c r="N226" s="2" t="s">
        <v>12</v>
      </c>
      <c r="O226" s="17">
        <f t="shared" si="37"/>
        <v>32</v>
      </c>
      <c r="P226" s="17">
        <f t="shared" si="38"/>
        <v>32</v>
      </c>
      <c r="Q226" s="2">
        <v>16</v>
      </c>
    </row>
    <row r="227" spans="14:17" x14ac:dyDescent="0.15">
      <c r="N227" s="2" t="s">
        <v>13</v>
      </c>
      <c r="O227" s="17">
        <f t="shared" si="37"/>
        <v>35</v>
      </c>
      <c r="P227" s="17">
        <f t="shared" si="38"/>
        <v>35</v>
      </c>
      <c r="Q227" s="2">
        <v>17</v>
      </c>
    </row>
    <row r="228" spans="14:17" x14ac:dyDescent="0.15">
      <c r="N228" s="2" t="s">
        <v>14</v>
      </c>
      <c r="O228" s="17">
        <f t="shared" si="37"/>
        <v>48</v>
      </c>
      <c r="P228" s="17">
        <f t="shared" si="38"/>
        <v>48</v>
      </c>
      <c r="Q228" s="2">
        <v>18</v>
      </c>
    </row>
    <row r="229" spans="14:17" x14ac:dyDescent="0.15">
      <c r="N229" s="2" t="s">
        <v>15</v>
      </c>
      <c r="O229" s="17">
        <f t="shared" si="37"/>
        <v>52</v>
      </c>
      <c r="P229" s="17">
        <f t="shared" si="38"/>
        <v>52</v>
      </c>
      <c r="Q229" s="2">
        <v>19</v>
      </c>
    </row>
    <row r="230" spans="14:17" x14ac:dyDescent="0.15">
      <c r="N230" s="2" t="s">
        <v>16</v>
      </c>
      <c r="O230" s="17">
        <f t="shared" si="37"/>
        <v>34</v>
      </c>
      <c r="P230" s="17">
        <f t="shared" si="38"/>
        <v>34</v>
      </c>
      <c r="Q230" s="2">
        <v>20</v>
      </c>
    </row>
    <row r="231" spans="14:17" x14ac:dyDescent="0.15">
      <c r="N231" s="2" t="s">
        <v>17</v>
      </c>
      <c r="O231" s="17">
        <f t="shared" si="37"/>
        <v>15</v>
      </c>
      <c r="P231" s="17">
        <f t="shared" si="38"/>
        <v>15</v>
      </c>
      <c r="Q231" s="2">
        <v>21</v>
      </c>
    </row>
    <row r="232" spans="14:17" x14ac:dyDescent="0.15">
      <c r="N232" s="2" t="s">
        <v>18</v>
      </c>
      <c r="O232" s="17">
        <f t="shared" si="37"/>
        <v>8</v>
      </c>
      <c r="P232" s="17">
        <f t="shared" si="38"/>
        <v>8</v>
      </c>
      <c r="Q232" s="2">
        <v>22</v>
      </c>
    </row>
    <row r="233" spans="14:17" x14ac:dyDescent="0.15">
      <c r="N233" s="2" t="s">
        <v>19</v>
      </c>
      <c r="O233" s="17">
        <f t="shared" si="37"/>
        <v>1</v>
      </c>
      <c r="P233" s="17">
        <f t="shared" si="38"/>
        <v>1</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4</v>
      </c>
      <c r="P238" s="17">
        <f>O141+P141</f>
        <v>9</v>
      </c>
      <c r="Q238" s="2">
        <v>4</v>
      </c>
    </row>
    <row r="239" spans="14:17" x14ac:dyDescent="0.15">
      <c r="N239" s="2" t="s">
        <v>1</v>
      </c>
      <c r="O239" s="17">
        <f t="shared" ref="O239:O257" si="39">H142+I142</f>
        <v>3</v>
      </c>
      <c r="P239" s="17">
        <f t="shared" ref="P239:P257" si="40">O142+P142</f>
        <v>9</v>
      </c>
      <c r="Q239" s="2">
        <v>5</v>
      </c>
    </row>
    <row r="240" spans="14:17" x14ac:dyDescent="0.15">
      <c r="N240" s="2" t="s">
        <v>2</v>
      </c>
      <c r="O240" s="17">
        <f t="shared" si="39"/>
        <v>6</v>
      </c>
      <c r="P240" s="17">
        <f t="shared" si="40"/>
        <v>11</v>
      </c>
      <c r="Q240" s="2">
        <v>6</v>
      </c>
    </row>
    <row r="241" spans="14:17" x14ac:dyDescent="0.15">
      <c r="N241" s="2" t="s">
        <v>3</v>
      </c>
      <c r="O241" s="17">
        <f t="shared" si="39"/>
        <v>6</v>
      </c>
      <c r="P241" s="17">
        <f t="shared" si="40"/>
        <v>9</v>
      </c>
      <c r="Q241" s="2">
        <v>7</v>
      </c>
    </row>
    <row r="242" spans="14:17" x14ac:dyDescent="0.15">
      <c r="N242" s="2" t="s">
        <v>4</v>
      </c>
      <c r="O242" s="17">
        <f t="shared" si="39"/>
        <v>4</v>
      </c>
      <c r="P242" s="17">
        <f t="shared" si="40"/>
        <v>5</v>
      </c>
      <c r="Q242" s="2">
        <v>8</v>
      </c>
    </row>
    <row r="243" spans="14:17" x14ac:dyDescent="0.15">
      <c r="N243" s="2" t="s">
        <v>5</v>
      </c>
      <c r="O243" s="17">
        <f t="shared" si="39"/>
        <v>10</v>
      </c>
      <c r="P243" s="17">
        <f t="shared" si="40"/>
        <v>16</v>
      </c>
      <c r="Q243" s="2">
        <v>9</v>
      </c>
    </row>
    <row r="244" spans="14:17" x14ac:dyDescent="0.15">
      <c r="N244" s="2" t="s">
        <v>6</v>
      </c>
      <c r="O244" s="17">
        <f t="shared" si="39"/>
        <v>11</v>
      </c>
      <c r="P244" s="17">
        <f t="shared" si="40"/>
        <v>16</v>
      </c>
      <c r="Q244" s="2">
        <v>10</v>
      </c>
    </row>
    <row r="245" spans="14:17" x14ac:dyDescent="0.15">
      <c r="N245" s="2" t="s">
        <v>7</v>
      </c>
      <c r="O245" s="17">
        <f t="shared" si="39"/>
        <v>9</v>
      </c>
      <c r="P245" s="17">
        <f t="shared" si="40"/>
        <v>13</v>
      </c>
      <c r="Q245" s="2">
        <v>11</v>
      </c>
    </row>
    <row r="246" spans="14:17" x14ac:dyDescent="0.15">
      <c r="N246" s="2" t="s">
        <v>8</v>
      </c>
      <c r="O246" s="17">
        <f t="shared" si="39"/>
        <v>12</v>
      </c>
      <c r="P246" s="17">
        <f t="shared" si="40"/>
        <v>16</v>
      </c>
      <c r="Q246" s="2">
        <v>12</v>
      </c>
    </row>
    <row r="247" spans="14:17" x14ac:dyDescent="0.15">
      <c r="N247" s="2" t="s">
        <v>9</v>
      </c>
      <c r="O247" s="17">
        <f t="shared" si="39"/>
        <v>20</v>
      </c>
      <c r="P247" s="17">
        <f t="shared" si="40"/>
        <v>21</v>
      </c>
      <c r="Q247" s="2">
        <v>13</v>
      </c>
    </row>
    <row r="248" spans="14:17" x14ac:dyDescent="0.15">
      <c r="N248" s="2" t="s">
        <v>10</v>
      </c>
      <c r="O248" s="17">
        <f t="shared" si="39"/>
        <v>15</v>
      </c>
      <c r="P248" s="17">
        <f t="shared" si="40"/>
        <v>16</v>
      </c>
      <c r="Q248" s="2">
        <v>14</v>
      </c>
    </row>
    <row r="249" spans="14:17" x14ac:dyDescent="0.15">
      <c r="N249" s="2" t="s">
        <v>11</v>
      </c>
      <c r="O249" s="17">
        <f t="shared" si="39"/>
        <v>16</v>
      </c>
      <c r="P249" s="17">
        <f t="shared" si="40"/>
        <v>17</v>
      </c>
      <c r="Q249" s="2">
        <v>15</v>
      </c>
    </row>
    <row r="250" spans="14:17" x14ac:dyDescent="0.15">
      <c r="N250" s="2" t="s">
        <v>12</v>
      </c>
      <c r="O250" s="17">
        <f t="shared" si="39"/>
        <v>26</v>
      </c>
      <c r="P250" s="17">
        <f t="shared" si="40"/>
        <v>26</v>
      </c>
      <c r="Q250" s="2">
        <v>16</v>
      </c>
    </row>
    <row r="251" spans="14:17" x14ac:dyDescent="0.15">
      <c r="N251" s="2" t="s">
        <v>13</v>
      </c>
      <c r="O251" s="17">
        <f t="shared" si="39"/>
        <v>29</v>
      </c>
      <c r="P251" s="17">
        <f t="shared" si="40"/>
        <v>29</v>
      </c>
      <c r="Q251" s="2">
        <v>17</v>
      </c>
    </row>
    <row r="252" spans="14:17" x14ac:dyDescent="0.15">
      <c r="N252" s="2" t="s">
        <v>14</v>
      </c>
      <c r="O252" s="17">
        <f t="shared" si="39"/>
        <v>30</v>
      </c>
      <c r="P252" s="17">
        <f t="shared" si="40"/>
        <v>30</v>
      </c>
      <c r="Q252" s="2">
        <v>18</v>
      </c>
    </row>
    <row r="253" spans="14:17" x14ac:dyDescent="0.15">
      <c r="N253" s="2" t="s">
        <v>15</v>
      </c>
      <c r="O253" s="17">
        <f t="shared" si="39"/>
        <v>30</v>
      </c>
      <c r="P253" s="17">
        <f t="shared" si="40"/>
        <v>30</v>
      </c>
      <c r="Q253" s="2">
        <v>19</v>
      </c>
    </row>
    <row r="254" spans="14:17" x14ac:dyDescent="0.15">
      <c r="N254" s="2" t="s">
        <v>16</v>
      </c>
      <c r="O254" s="17">
        <f t="shared" si="39"/>
        <v>30</v>
      </c>
      <c r="P254" s="17">
        <f t="shared" si="40"/>
        <v>30</v>
      </c>
      <c r="Q254" s="2">
        <v>20</v>
      </c>
    </row>
    <row r="255" spans="14:17" x14ac:dyDescent="0.15">
      <c r="N255" s="2" t="s">
        <v>17</v>
      </c>
      <c r="O255" s="17">
        <f t="shared" si="39"/>
        <v>24</v>
      </c>
      <c r="P255" s="17">
        <f t="shared" si="40"/>
        <v>24</v>
      </c>
      <c r="Q255" s="2">
        <v>21</v>
      </c>
    </row>
    <row r="256" spans="14:17" x14ac:dyDescent="0.15">
      <c r="N256" s="2" t="s">
        <v>18</v>
      </c>
      <c r="O256" s="17">
        <f t="shared" si="39"/>
        <v>10</v>
      </c>
      <c r="P256" s="17">
        <f t="shared" si="40"/>
        <v>10</v>
      </c>
      <c r="Q256" s="2">
        <v>22</v>
      </c>
    </row>
    <row r="257" spans="14:17" x14ac:dyDescent="0.15">
      <c r="N257" s="2" t="s">
        <v>19</v>
      </c>
      <c r="O257" s="17">
        <f t="shared" si="39"/>
        <v>1</v>
      </c>
      <c r="P257" s="17">
        <f t="shared" si="40"/>
        <v>1</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2019-03-20T09:01:07Z</cp:lastPrinted>
  <dcterms:created xsi:type="dcterms:W3CDTF">2018-08-17T00:57:13Z</dcterms:created>
  <dcterms:modified xsi:type="dcterms:W3CDTF">2023-03-06T07:48:13Z</dcterms:modified>
</cp:coreProperties>
</file>